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Dossier reboisement Camelin\"/>
    </mc:Choice>
  </mc:AlternateContent>
  <xr:revisionPtr revIDLastSave="0" documentId="13_ncr:1_{0BCC0C0D-E157-4411-A7C4-E33695361424}" xr6:coauthVersionLast="47" xr6:coauthVersionMax="47" xr10:uidLastSave="{00000000-0000-0000-0000-000000000000}"/>
  <bookViews>
    <workbookView xWindow="28680" yWindow="-120" windowWidth="29040" windowHeight="1584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<sst xmlns="http://schemas.openxmlformats.org/spreadsheetml/2006/main" count="1172" uniqueCount="324">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</sst>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1.6708208289081574</c:v>
                </c:pt>
                <c:pt idx="2">
                  <c:v>2.163178073386427</c:v>
                </c:pt>
                <c:pt idx="3">
                  <c:v>2.8012174746327188</c:v>
                </c:pt>
                <c:pt idx="4">
                  <c:v>3.6282106482914434</c:v>
                </c:pt>
                <c:pt idx="5">
                  <c:v>4.7003283237568159</c:v>
                </c:pt>
                <c:pt idx="6">
                  <c:v>6.0904983497899456</c:v>
                </c:pt>
                <c:pt idx="7">
                  <c:v>7.8934211379575494</c:v>
                </c:pt>
                <c:pt idx="8">
                  <c:v>10.232090762095874</c:v>
                </c:pt>
                <c:pt idx="9">
                  <c:v>13.266274962332382</c:v>
                </c:pt>
                <c:pt idx="10">
                  <c:v>17.203544085368073</c:v>
                </c:pt>
                <c:pt idx="11">
                  <c:v>22.313617148310872</c:v>
                </c:pt>
                <c:pt idx="12">
                  <c:v>28.947025280656934</c:v>
                </c:pt>
                <c:pt idx="13">
                  <c:v>37.559395124744732</c:v>
                </c:pt>
                <c:pt idx="14">
                  <c:v>48.743048671219157</c:v>
                </c:pt>
                <c:pt idx="15">
                  <c:v>63.26812926080428</c:v>
                </c:pt>
                <c:pt idx="16">
                  <c:v>91.465786550472217</c:v>
                </c:pt>
                <c:pt idx="17">
                  <c:v>119.44328066165535</c:v>
                </c:pt>
                <c:pt idx="18">
                  <c:v>147.26006612469442</c:v>
                </c:pt>
                <c:pt idx="19">
                  <c:v>174.95094251296169</c:v>
                </c:pt>
                <c:pt idx="20">
                  <c:v>202.53869517569197</c:v>
                </c:pt>
                <c:pt idx="21">
                  <c:v>189.07736081536709</c:v>
                </c:pt>
                <c:pt idx="22">
                  <c:v>221.52055911910176</c:v>
                </c:pt>
                <c:pt idx="23">
                  <c:v>253.85456933232786</c:v>
                </c:pt>
                <c:pt idx="24">
                  <c:v>286.09525856499152</c:v>
                </c:pt>
                <c:pt idx="25">
                  <c:v>318.25461813727674</c:v>
                </c:pt>
                <c:pt idx="26">
                  <c:v>270.40996214485261</c:v>
                </c:pt>
                <c:pt idx="27">
                  <c:v>304.08848473578604</c:v>
                </c:pt>
                <c:pt idx="28">
                  <c:v>337.6840193812842</c:v>
                </c:pt>
                <c:pt idx="29">
                  <c:v>371.20597553980701</c:v>
                </c:pt>
                <c:pt idx="30">
                  <c:v>404.66192417221941</c:v>
                </c:pt>
                <c:pt idx="31">
                  <c:v>356.03481754405396</c:v>
                </c:pt>
                <c:pt idx="32">
                  <c:v>388.46781006988311</c:v>
                </c:pt>
                <c:pt idx="33">
                  <c:v>420.84203117611963</c:v>
                </c:pt>
                <c:pt idx="34">
                  <c:v>453.16263150905041</c:v>
                </c:pt>
                <c:pt idx="35">
                  <c:v>485.43396761372065</c:v>
                </c:pt>
                <c:pt idx="36">
                  <c:v>435.74946916782238</c:v>
                </c:pt>
                <c:pt idx="37">
                  <c:v>466.78943004630463</c:v>
                </c:pt>
                <c:pt idx="38">
                  <c:v>497.78541142859484</c:v>
                </c:pt>
                <c:pt idx="39">
                  <c:v>528.7405328723429</c:v>
                </c:pt>
                <c:pt idx="40">
                  <c:v>559.65751929195142</c:v>
                </c:pt>
                <c:pt idx="41">
                  <c:v>508.66604379284121</c:v>
                </c:pt>
                <c:pt idx="42">
                  <c:v>538.14488655121613</c:v>
                </c:pt>
                <c:pt idx="43">
                  <c:v>567.58980946497468</c:v>
                </c:pt>
                <c:pt idx="44">
                  <c:v>597.00281707875183</c:v>
                </c:pt>
                <c:pt idx="45">
                  <c:v>626.38570057063134</c:v>
                </c:pt>
                <c:pt idx="46">
                  <c:v>573.85050540888926</c:v>
                </c:pt>
                <c:pt idx="47">
                  <c:v>601.58932106586462</c:v>
                </c:pt>
                <c:pt idx="48">
                  <c:v>629.30156886637451</c:v>
                </c:pt>
                <c:pt idx="49">
                  <c:v>656.98858165602678</c:v>
                </c:pt>
                <c:pt idx="50">
                  <c:v>684.65157093676453</c:v>
                </c:pt>
                <c:pt idx="51">
                  <c:v>630.96765373572316</c:v>
                </c:pt>
                <c:pt idx="52">
                  <c:v>657.40474147385248</c:v>
                </c:pt>
                <c:pt idx="53">
                  <c:v>683.81994089448472</c:v>
                </c:pt>
                <c:pt idx="54">
                  <c:v>710.21421527675409</c:v>
                </c:pt>
                <c:pt idx="55">
                  <c:v>736.58845056468351</c:v>
                </c:pt>
                <c:pt idx="56">
                  <c:v>685.48318025651076</c:v>
                </c:pt>
                <c:pt idx="57">
                  <c:v>710.21421527675409</c:v>
                </c:pt>
                <c:pt idx="58">
                  <c:v>734.92765690824933</c:v>
                </c:pt>
                <c:pt idx="59">
                  <c:v>759.62417920474752</c:v>
                </c:pt>
                <c:pt idx="60">
                  <c:v>784.30440887889836</c:v>
                </c:pt>
                <c:pt idx="61">
                  <c:v>739.07949813858215</c:v>
                </c:pt>
                <c:pt idx="62">
                  <c:v>762.32112060791712</c:v>
                </c:pt>
                <c:pt idx="63">
                  <c:v>785.5483695028073</c:v>
                </c:pt>
                <c:pt idx="64">
                  <c:v>808.7617290710632</c:v>
                </c:pt>
                <c:pt idx="65">
                  <c:v>831.96165353467279</c:v>
                </c:pt>
                <c:pt idx="66">
                  <c:v>790.10921803182828</c:v>
                </c:pt>
                <c:pt idx="67">
                  <c:v>812.49118300447708</c:v>
                </c:pt>
                <c:pt idx="68">
                  <c:v>834.86072097789531</c:v>
                </c:pt>
                <c:pt idx="69">
                  <c:v>857.21821134649679</c:v>
                </c:pt>
                <c:pt idx="70">
                  <c:v>879.56401212877552</c:v>
                </c:pt>
                <c:pt idx="71">
                  <c:v>838.58779608834539</c:v>
                </c:pt>
                <c:pt idx="72">
                  <c:v>859.70164901109058</c:v>
                </c:pt>
                <c:pt idx="73">
                  <c:v>880.8051096418734</c:v>
                </c:pt>
                <c:pt idx="74">
                  <c:v>901.89846169493296</c:v>
                </c:pt>
                <c:pt idx="75">
                  <c:v>922.98197455025081</c:v>
                </c:pt>
                <c:pt idx="76">
                  <c:v>882.25301254160865</c:v>
                </c:pt>
                <c:pt idx="77">
                  <c:v>901.48496198577732</c:v>
                </c:pt>
                <c:pt idx="78">
                  <c:v>920.70872783184029</c:v>
                </c:pt>
                <c:pt idx="79">
                  <c:v>939.92450478949831</c:v>
                </c:pt>
                <c:pt idx="80">
                  <c:v>959.13247896881603</c:v>
                </c:pt>
                <c:pt idx="81">
                  <c:v>900.24444014394294</c:v>
                </c:pt>
                <c:pt idx="82">
                  <c:v>900.24444014394294</c:v>
                </c:pt>
                <c:pt idx="83">
                  <c:v>900.24444014394294</c:v>
                </c:pt>
                <c:pt idx="84">
                  <c:v>900.24444014394294</c:v>
                </c:pt>
                <c:pt idx="85">
                  <c:v>900.24444014394294</c:v>
                </c:pt>
                <c:pt idx="86">
                  <c:v>900.24444014394294</c:v>
                </c:pt>
                <c:pt idx="87">
                  <c:v>900.24444014394294</c:v>
                </c:pt>
                <c:pt idx="88">
                  <c:v>900.24444014394294</c:v>
                </c:pt>
                <c:pt idx="89">
                  <c:v>900.24444014394294</c:v>
                </c:pt>
                <c:pt idx="90">
                  <c:v>900.24444014394294</c:v>
                </c:pt>
                <c:pt idx="91">
                  <c:v>900.24444014394294</c:v>
                </c:pt>
                <c:pt idx="92">
                  <c:v>900.24444014394294</c:v>
                </c:pt>
                <c:pt idx="93">
                  <c:v>900.24444014394294</c:v>
                </c:pt>
                <c:pt idx="94">
                  <c:v>900.24444014394294</c:v>
                </c:pt>
                <c:pt idx="95">
                  <c:v>900.24444014394294</c:v>
                </c:pt>
                <c:pt idx="96">
                  <c:v>900.24444014394294</c:v>
                </c:pt>
                <c:pt idx="97">
                  <c:v>900.24444014394294</c:v>
                </c:pt>
                <c:pt idx="98">
                  <c:v>900.24444014394294</c:v>
                </c:pt>
                <c:pt idx="99">
                  <c:v>900.24444014394294</c:v>
                </c:pt>
                <c:pt idx="100">
                  <c:v>900.24444014394294</c:v>
                </c:pt>
                <c:pt idx="101">
                  <c:v>900.24444014394294</c:v>
                </c:pt>
                <c:pt idx="102">
                  <c:v>900.24444014394294</c:v>
                </c:pt>
                <c:pt idx="103">
                  <c:v>900.24444014394294</c:v>
                </c:pt>
                <c:pt idx="104">
                  <c:v>900.24444014394294</c:v>
                </c:pt>
                <c:pt idx="105">
                  <c:v>900.24444014394294</c:v>
                </c:pt>
                <c:pt idx="106">
                  <c:v>900.24444014394294</c:v>
                </c:pt>
                <c:pt idx="107">
                  <c:v>900.24444014394294</c:v>
                </c:pt>
                <c:pt idx="108">
                  <c:v>900.24444014394294</c:v>
                </c:pt>
                <c:pt idx="109">
                  <c:v>900.24444014394294</c:v>
                </c:pt>
                <c:pt idx="110">
                  <c:v>900.24444014394294</c:v>
                </c:pt>
                <c:pt idx="111">
                  <c:v>900.24444014394294</c:v>
                </c:pt>
                <c:pt idx="112">
                  <c:v>900.24444014394294</c:v>
                </c:pt>
                <c:pt idx="113">
                  <c:v>900.24444014394294</c:v>
                </c:pt>
                <c:pt idx="114">
                  <c:v>900.24444014394294</c:v>
                </c:pt>
                <c:pt idx="115">
                  <c:v>900.24444014394294</c:v>
                </c:pt>
                <c:pt idx="116">
                  <c:v>900.24444014394294</c:v>
                </c:pt>
                <c:pt idx="117">
                  <c:v>900.24444014394294</c:v>
                </c:pt>
                <c:pt idx="118">
                  <c:v>900.24444014394294</c:v>
                </c:pt>
                <c:pt idx="119">
                  <c:v>900.24444014394294</c:v>
                </c:pt>
                <c:pt idx="120">
                  <c:v>900.24444014394294</c:v>
                </c:pt>
                <c:pt idx="121">
                  <c:v>900.24444014394294</c:v>
                </c:pt>
                <c:pt idx="122">
                  <c:v>900.24444014394294</c:v>
                </c:pt>
                <c:pt idx="123">
                  <c:v>900.24444014394294</c:v>
                </c:pt>
                <c:pt idx="124">
                  <c:v>900.24444014394294</c:v>
                </c:pt>
                <c:pt idx="125">
                  <c:v>900.24444014394294</c:v>
                </c:pt>
                <c:pt idx="126">
                  <c:v>900.24444014394294</c:v>
                </c:pt>
                <c:pt idx="127">
                  <c:v>900.24444014394294</c:v>
                </c:pt>
                <c:pt idx="128">
                  <c:v>900.24444014394294</c:v>
                </c:pt>
                <c:pt idx="129">
                  <c:v>900.24444014394294</c:v>
                </c:pt>
                <c:pt idx="130">
                  <c:v>900.24444014394294</c:v>
                </c:pt>
                <c:pt idx="131">
                  <c:v>900.24444014394294</c:v>
                </c:pt>
                <c:pt idx="132">
                  <c:v>900.24444014394294</c:v>
                </c:pt>
                <c:pt idx="133">
                  <c:v>900.24444014394294</c:v>
                </c:pt>
                <c:pt idx="134">
                  <c:v>900.24444014394294</c:v>
                </c:pt>
                <c:pt idx="135">
                  <c:v>900.24444014394294</c:v>
                </c:pt>
                <c:pt idx="136">
                  <c:v>900.24444014394294</c:v>
                </c:pt>
                <c:pt idx="137">
                  <c:v>900.24444014394294</c:v>
                </c:pt>
                <c:pt idx="138">
                  <c:v>900.24444014394294</c:v>
                </c:pt>
                <c:pt idx="139">
                  <c:v>900.24444014394294</c:v>
                </c:pt>
                <c:pt idx="140">
                  <c:v>900.24444014394294</c:v>
                </c:pt>
                <c:pt idx="141">
                  <c:v>900.24444014394294</c:v>
                </c:pt>
                <c:pt idx="142">
                  <c:v>900.24444014394294</c:v>
                </c:pt>
                <c:pt idx="143">
                  <c:v>900.24444014394294</c:v>
                </c:pt>
                <c:pt idx="144">
                  <c:v>900.24444014394294</c:v>
                </c:pt>
                <c:pt idx="145">
                  <c:v>900.24444014394294</c:v>
                </c:pt>
                <c:pt idx="146">
                  <c:v>900.24444014394294</c:v>
                </c:pt>
                <c:pt idx="147">
                  <c:v>900.24444014394294</c:v>
                </c:pt>
                <c:pt idx="148">
                  <c:v>900.24444014394294</c:v>
                </c:pt>
                <c:pt idx="149">
                  <c:v>900.24444014394294</c:v>
                </c:pt>
                <c:pt idx="150">
                  <c:v>900.24444014394294</c:v>
                </c:pt>
                <c:pt idx="151">
                  <c:v>900.24444014394294</c:v>
                </c:pt>
                <c:pt idx="152">
                  <c:v>900.24444014394294</c:v>
                </c:pt>
                <c:pt idx="153">
                  <c:v>900.24444014394294</c:v>
                </c:pt>
                <c:pt idx="154">
                  <c:v>900.24444014394294</c:v>
                </c:pt>
                <c:pt idx="155">
                  <c:v>900.24444014394294</c:v>
                </c:pt>
                <c:pt idx="156">
                  <c:v>900.24444014394294</c:v>
                </c:pt>
                <c:pt idx="157">
                  <c:v>900.24444014394294</c:v>
                </c:pt>
                <c:pt idx="158">
                  <c:v>900.24444014394294</c:v>
                </c:pt>
                <c:pt idx="159">
                  <c:v>900.24444014394294</c:v>
                </c:pt>
                <c:pt idx="160">
                  <c:v>900.24444014394294</c:v>
                </c:pt>
                <c:pt idx="161">
                  <c:v>900.24444014394294</c:v>
                </c:pt>
                <c:pt idx="162">
                  <c:v>900.24444014394294</c:v>
                </c:pt>
                <c:pt idx="163">
                  <c:v>900.24444014394294</c:v>
                </c:pt>
                <c:pt idx="164">
                  <c:v>900.24444014394294</c:v>
                </c:pt>
                <c:pt idx="165">
                  <c:v>900.24444014394294</c:v>
                </c:pt>
                <c:pt idx="166">
                  <c:v>900.24444014394294</c:v>
                </c:pt>
                <c:pt idx="167">
                  <c:v>900.24444014394294</c:v>
                </c:pt>
                <c:pt idx="168">
                  <c:v>900.24444014394294</c:v>
                </c:pt>
                <c:pt idx="169">
                  <c:v>900.24444014394294</c:v>
                </c:pt>
                <c:pt idx="170">
                  <c:v>900.24444014394294</c:v>
                </c:pt>
                <c:pt idx="171">
                  <c:v>900.24444014394294</c:v>
                </c:pt>
                <c:pt idx="172">
                  <c:v>900.24444014394294</c:v>
                </c:pt>
                <c:pt idx="173">
                  <c:v>900.24444014394294</c:v>
                </c:pt>
                <c:pt idx="174">
                  <c:v>900.24444014394294</c:v>
                </c:pt>
                <c:pt idx="175">
                  <c:v>900.24444014394294</c:v>
                </c:pt>
                <c:pt idx="176">
                  <c:v>900.24444014394294</c:v>
                </c:pt>
                <c:pt idx="177">
                  <c:v>900.24444014394294</c:v>
                </c:pt>
                <c:pt idx="178">
                  <c:v>900.24444014394294</c:v>
                </c:pt>
                <c:pt idx="179">
                  <c:v>900.24444014394294</c:v>
                </c:pt>
                <c:pt idx="180">
                  <c:v>900.24444014394294</c:v>
                </c:pt>
                <c:pt idx="181">
                  <c:v>900.24444014394294</c:v>
                </c:pt>
                <c:pt idx="182">
                  <c:v>900.24444014394294</c:v>
                </c:pt>
                <c:pt idx="183">
                  <c:v>900.24444014394294</c:v>
                </c:pt>
                <c:pt idx="184">
                  <c:v>900.24444014394294</c:v>
                </c:pt>
                <c:pt idx="185">
                  <c:v>900.24444014394294</c:v>
                </c:pt>
                <c:pt idx="186">
                  <c:v>900.24444014394294</c:v>
                </c:pt>
                <c:pt idx="187">
                  <c:v>900.24444014394294</c:v>
                </c:pt>
                <c:pt idx="188">
                  <c:v>900.24444014394294</c:v>
                </c:pt>
                <c:pt idx="189">
                  <c:v>900.24444014394294</c:v>
                </c:pt>
                <c:pt idx="190">
                  <c:v>900.24444014394294</c:v>
                </c:pt>
                <c:pt idx="191">
                  <c:v>900.24444014394294</c:v>
                </c:pt>
                <c:pt idx="192">
                  <c:v>900.24444014394294</c:v>
                </c:pt>
                <c:pt idx="193">
                  <c:v>900.24444014394294</c:v>
                </c:pt>
                <c:pt idx="194">
                  <c:v>900.24444014394294</c:v>
                </c:pt>
                <c:pt idx="195">
                  <c:v>900.24444014394294</c:v>
                </c:pt>
                <c:pt idx="196">
                  <c:v>900.24444014394294</c:v>
                </c:pt>
                <c:pt idx="197">
                  <c:v>900.24444014394294</c:v>
                </c:pt>
                <c:pt idx="198">
                  <c:v>900.24444014394294</c:v>
                </c:pt>
                <c:pt idx="199">
                  <c:v>900.24444014394294</c:v>
                </c:pt>
                <c:pt idx="200">
                  <c:v>900.24444014394294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2.2999352776840598</c:v>
                </c:pt>
                <c:pt idx="2">
                  <c:v>3.0542964343687884</c:v>
                </c:pt>
                <c:pt idx="3">
                  <c:v>4.0571027961893833</c:v>
                </c:pt>
                <c:pt idx="4">
                  <c:v>5.3904951439042428</c:v>
                </c:pt>
                <c:pt idx="5">
                  <c:v>7.1638693726092955</c:v>
                </c:pt>
                <c:pt idx="6">
                  <c:v>9.5229500962251041</c:v>
                </c:pt>
                <c:pt idx="7">
                  <c:v>12.661894206823819</c:v>
                </c:pt>
                <c:pt idx="8">
                  <c:v>16.839439003248639</c:v>
                </c:pt>
                <c:pt idx="9">
                  <c:v>22.400450117584857</c:v>
                </c:pt>
                <c:pt idx="10">
                  <c:v>29.804679689998366</c:v>
                </c:pt>
                <c:pt idx="11">
                  <c:v>41.317521939592524</c:v>
                </c:pt>
                <c:pt idx="12">
                  <c:v>63.20800396722894</c:v>
                </c:pt>
                <c:pt idx="13">
                  <c:v>84.898706575488632</c:v>
                </c:pt>
                <c:pt idx="14">
                  <c:v>106.44872103982642</c:v>
                </c:pt>
                <c:pt idx="15">
                  <c:v>127.89076379214985</c:v>
                </c:pt>
                <c:pt idx="16">
                  <c:v>89.632636103290352</c:v>
                </c:pt>
                <c:pt idx="17">
                  <c:v>113.21493371581612</c:v>
                </c:pt>
                <c:pt idx="18">
                  <c:v>136.67634522884143</c:v>
                </c:pt>
                <c:pt idx="19">
                  <c:v>160.04062964847932</c:v>
                </c:pt>
                <c:pt idx="20">
                  <c:v>183.32399225800427</c:v>
                </c:pt>
                <c:pt idx="21">
                  <c:v>146.61696480780643</c:v>
                </c:pt>
                <c:pt idx="22">
                  <c:v>171.10951614287214</c:v>
                </c:pt>
                <c:pt idx="23">
                  <c:v>195.5194448326491</c:v>
                </c:pt>
                <c:pt idx="24">
                  <c:v>219.85852553656548</c:v>
                </c:pt>
                <c:pt idx="25">
                  <c:v>244.13570624979198</c:v>
                </c:pt>
                <c:pt idx="26">
                  <c:v>207.11771656527881</c:v>
                </c:pt>
                <c:pt idx="27">
                  <c:v>230.84826880073933</c:v>
                </c:pt>
                <c:pt idx="28">
                  <c:v>254.52305628500753</c:v>
                </c:pt>
                <c:pt idx="29">
                  <c:v>278.1479941736672</c:v>
                </c:pt>
                <c:pt idx="30">
                  <c:v>301.72791008451264</c:v>
                </c:pt>
                <c:pt idx="31">
                  <c:v>263.17183371378781</c:v>
                </c:pt>
                <c:pt idx="32">
                  <c:v>285.05390064654028</c:v>
                </c:pt>
                <c:pt idx="33">
                  <c:v>306.89837346468795</c:v>
                </c:pt>
                <c:pt idx="34">
                  <c:v>328.70830305462459</c:v>
                </c:pt>
                <c:pt idx="35">
                  <c:v>350.48630242966351</c:v>
                </c:pt>
                <c:pt idx="36">
                  <c:v>309.19573362623765</c:v>
                </c:pt>
                <c:pt idx="37">
                  <c:v>328.13477724523256</c:v>
                </c:pt>
                <c:pt idx="38">
                  <c:v>347.04969773123526</c:v>
                </c:pt>
                <c:pt idx="39">
                  <c:v>365.94199430788308</c:v>
                </c:pt>
                <c:pt idx="40">
                  <c:v>384.81299880518822</c:v>
                </c:pt>
                <c:pt idx="41">
                  <c:v>343.89882034741709</c:v>
                </c:pt>
                <c:pt idx="42">
                  <c:v>360.21936255423617</c:v>
                </c:pt>
                <c:pt idx="43">
                  <c:v>376.52373693698843</c:v>
                </c:pt>
                <c:pt idx="44">
                  <c:v>392.81274199759076</c:v>
                </c:pt>
                <c:pt idx="45">
                  <c:v>409.08710462349296</c:v>
                </c:pt>
                <c:pt idx="46">
                  <c:v>385.95603867315384</c:v>
                </c:pt>
                <c:pt idx="47">
                  <c:v>399.95238247192304</c:v>
                </c:pt>
                <c:pt idx="48">
                  <c:v>413.93812717251495</c:v>
                </c:pt>
                <c:pt idx="49">
                  <c:v>427.91368129854658</c:v>
                </c:pt>
                <c:pt idx="50">
                  <c:v>441.87942451482218</c:v>
                </c:pt>
                <c:pt idx="51">
                  <c:v>423.92168304087505</c:v>
                </c:pt>
                <c:pt idx="52">
                  <c:v>435.89528407935273</c:v>
                </c:pt>
                <c:pt idx="53">
                  <c:v>447.86182820601556</c:v>
                </c:pt>
                <c:pt idx="54">
                  <c:v>459.82153055595586</c:v>
                </c:pt>
                <c:pt idx="55">
                  <c:v>471.77459416013545</c:v>
                </c:pt>
                <c:pt idx="56">
                  <c:v>456.68987728025746</c:v>
                </c:pt>
                <c:pt idx="57">
                  <c:v>467.22181647445228</c:v>
                </c:pt>
                <c:pt idx="58">
                  <c:v>477.74869681257422</c:v>
                </c:pt>
                <c:pt idx="59">
                  <c:v>488.27064548957588</c:v>
                </c:pt>
                <c:pt idx="60">
                  <c:v>498.78778377080289</c:v>
                </c:pt>
                <c:pt idx="61">
                  <c:v>483.15246787827937</c:v>
                </c:pt>
                <c:pt idx="62">
                  <c:v>491.68213062047835</c:v>
                </c:pt>
                <c:pt idx="63">
                  <c:v>500.2086561044996</c:v>
                </c:pt>
                <c:pt idx="64">
                  <c:v>508.73210536359443</c:v>
                </c:pt>
                <c:pt idx="65">
                  <c:v>517.25253721854074</c:v>
                </c:pt>
                <c:pt idx="66">
                  <c:v>501.91359014094843</c:v>
                </c:pt>
                <c:pt idx="67">
                  <c:v>509.30022739028874</c:v>
                </c:pt>
                <c:pt idx="68">
                  <c:v>516.68460115485652</c:v>
                </c:pt>
                <c:pt idx="69">
                  <c:v>524.06674835795855</c:v>
                </c:pt>
                <c:pt idx="70">
                  <c:v>531.44670479747958</c:v>
                </c:pt>
                <c:pt idx="71">
                  <c:v>516.96857083246095</c:v>
                </c:pt>
                <c:pt idx="72">
                  <c:v>523.78286035475526</c:v>
                </c:pt>
                <c:pt idx="73">
                  <c:v>530.5952820462802</c:v>
                </c:pt>
                <c:pt idx="74">
                  <c:v>537.40586328008555</c:v>
                </c:pt>
                <c:pt idx="75">
                  <c:v>544.21463067857633</c:v>
                </c:pt>
                <c:pt idx="76">
                  <c:v>530.02765090640889</c:v>
                </c:pt>
                <c:pt idx="77">
                  <c:v>535.70338904609127</c:v>
                </c:pt>
                <c:pt idx="78">
                  <c:v>541.37786301655638</c:v>
                </c:pt>
                <c:pt idx="79">
                  <c:v>547.05108794372779</c:v>
                </c:pt>
                <c:pt idx="80">
                  <c:v>552.72307861406443</c:v>
                </c:pt>
                <c:pt idx="81">
                  <c:v>534.28457362551353</c:v>
                </c:pt>
                <c:pt idx="82">
                  <c:v>534.28457362551353</c:v>
                </c:pt>
                <c:pt idx="83">
                  <c:v>534.28457362551353</c:v>
                </c:pt>
                <c:pt idx="84">
                  <c:v>534.28457362551353</c:v>
                </c:pt>
                <c:pt idx="85">
                  <c:v>534.28457362551353</c:v>
                </c:pt>
                <c:pt idx="86">
                  <c:v>534.28457362551353</c:v>
                </c:pt>
                <c:pt idx="87">
                  <c:v>534.28457362551353</c:v>
                </c:pt>
                <c:pt idx="88">
                  <c:v>534.28457362551353</c:v>
                </c:pt>
                <c:pt idx="89">
                  <c:v>534.28457362551353</c:v>
                </c:pt>
                <c:pt idx="90">
                  <c:v>534.28457362551353</c:v>
                </c:pt>
                <c:pt idx="91">
                  <c:v>534.28457362551353</c:v>
                </c:pt>
                <c:pt idx="92">
                  <c:v>534.28457362551353</c:v>
                </c:pt>
                <c:pt idx="93">
                  <c:v>534.28457362551353</c:v>
                </c:pt>
                <c:pt idx="94">
                  <c:v>534.28457362551353</c:v>
                </c:pt>
                <c:pt idx="95">
                  <c:v>534.28457362551353</c:v>
                </c:pt>
                <c:pt idx="96">
                  <c:v>534.28457362551353</c:v>
                </c:pt>
                <c:pt idx="97">
                  <c:v>534.28457362551353</c:v>
                </c:pt>
                <c:pt idx="98">
                  <c:v>534.28457362551353</c:v>
                </c:pt>
                <c:pt idx="99">
                  <c:v>534.28457362551353</c:v>
                </c:pt>
                <c:pt idx="100">
                  <c:v>534.28457362551353</c:v>
                </c:pt>
                <c:pt idx="101">
                  <c:v>534.28457362551353</c:v>
                </c:pt>
                <c:pt idx="102">
                  <c:v>534.28457362551353</c:v>
                </c:pt>
                <c:pt idx="103">
                  <c:v>534.28457362551353</c:v>
                </c:pt>
                <c:pt idx="104">
                  <c:v>534.28457362551353</c:v>
                </c:pt>
                <c:pt idx="105">
                  <c:v>534.28457362551353</c:v>
                </c:pt>
                <c:pt idx="106">
                  <c:v>534.28457362551353</c:v>
                </c:pt>
                <c:pt idx="107">
                  <c:v>534.28457362551353</c:v>
                </c:pt>
                <c:pt idx="108">
                  <c:v>534.28457362551353</c:v>
                </c:pt>
                <c:pt idx="109">
                  <c:v>534.28457362551353</c:v>
                </c:pt>
                <c:pt idx="110">
                  <c:v>534.28457362551353</c:v>
                </c:pt>
                <c:pt idx="111">
                  <c:v>534.28457362551353</c:v>
                </c:pt>
                <c:pt idx="112">
                  <c:v>534.28457362551353</c:v>
                </c:pt>
                <c:pt idx="113">
                  <c:v>534.28457362551353</c:v>
                </c:pt>
                <c:pt idx="114">
                  <c:v>534.28457362551353</c:v>
                </c:pt>
                <c:pt idx="115">
                  <c:v>534.28457362551353</c:v>
                </c:pt>
                <c:pt idx="116">
                  <c:v>534.28457362551353</c:v>
                </c:pt>
                <c:pt idx="117">
                  <c:v>534.28457362551353</c:v>
                </c:pt>
                <c:pt idx="118">
                  <c:v>534.28457362551353</c:v>
                </c:pt>
                <c:pt idx="119">
                  <c:v>534.28457362551353</c:v>
                </c:pt>
                <c:pt idx="120">
                  <c:v>534.28457362551353</c:v>
                </c:pt>
                <c:pt idx="121">
                  <c:v>534.28457362551353</c:v>
                </c:pt>
                <c:pt idx="122">
                  <c:v>534.28457362551353</c:v>
                </c:pt>
                <c:pt idx="123">
                  <c:v>534.28457362551353</c:v>
                </c:pt>
                <c:pt idx="124">
                  <c:v>534.28457362551353</c:v>
                </c:pt>
                <c:pt idx="125">
                  <c:v>534.28457362551353</c:v>
                </c:pt>
                <c:pt idx="126">
                  <c:v>534.28457362551353</c:v>
                </c:pt>
                <c:pt idx="127">
                  <c:v>534.28457362551353</c:v>
                </c:pt>
                <c:pt idx="128">
                  <c:v>534.28457362551353</c:v>
                </c:pt>
                <c:pt idx="129">
                  <c:v>534.28457362551353</c:v>
                </c:pt>
                <c:pt idx="130">
                  <c:v>534.28457362551353</c:v>
                </c:pt>
                <c:pt idx="131">
                  <c:v>534.28457362551353</c:v>
                </c:pt>
                <c:pt idx="132">
                  <c:v>534.28457362551353</c:v>
                </c:pt>
                <c:pt idx="133">
                  <c:v>534.28457362551353</c:v>
                </c:pt>
                <c:pt idx="134">
                  <c:v>534.28457362551353</c:v>
                </c:pt>
                <c:pt idx="135">
                  <c:v>534.28457362551353</c:v>
                </c:pt>
                <c:pt idx="136">
                  <c:v>534.28457362551353</c:v>
                </c:pt>
                <c:pt idx="137">
                  <c:v>534.28457362551353</c:v>
                </c:pt>
                <c:pt idx="138">
                  <c:v>534.28457362551353</c:v>
                </c:pt>
                <c:pt idx="139">
                  <c:v>534.28457362551353</c:v>
                </c:pt>
                <c:pt idx="140">
                  <c:v>534.28457362551353</c:v>
                </c:pt>
                <c:pt idx="141">
                  <c:v>534.28457362551353</c:v>
                </c:pt>
                <c:pt idx="142">
                  <c:v>534.28457362551353</c:v>
                </c:pt>
                <c:pt idx="143">
                  <c:v>534.28457362551353</c:v>
                </c:pt>
                <c:pt idx="144">
                  <c:v>534.28457362551353</c:v>
                </c:pt>
                <c:pt idx="145">
                  <c:v>534.28457362551353</c:v>
                </c:pt>
                <c:pt idx="146">
                  <c:v>534.28457362551353</c:v>
                </c:pt>
                <c:pt idx="147">
                  <c:v>534.28457362551353</c:v>
                </c:pt>
                <c:pt idx="148">
                  <c:v>534.28457362551353</c:v>
                </c:pt>
                <c:pt idx="149">
                  <c:v>534.28457362551353</c:v>
                </c:pt>
                <c:pt idx="150">
                  <c:v>534.28457362551353</c:v>
                </c:pt>
                <c:pt idx="151">
                  <c:v>534.28457362551353</c:v>
                </c:pt>
                <c:pt idx="152">
                  <c:v>534.28457362551353</c:v>
                </c:pt>
                <c:pt idx="153">
                  <c:v>534.28457362551353</c:v>
                </c:pt>
                <c:pt idx="154">
                  <c:v>534.28457362551353</c:v>
                </c:pt>
                <c:pt idx="155">
                  <c:v>534.28457362551353</c:v>
                </c:pt>
                <c:pt idx="156">
                  <c:v>534.28457362551353</c:v>
                </c:pt>
                <c:pt idx="157">
                  <c:v>534.28457362551353</c:v>
                </c:pt>
                <c:pt idx="158">
                  <c:v>534.28457362551353</c:v>
                </c:pt>
                <c:pt idx="159">
                  <c:v>534.28457362551353</c:v>
                </c:pt>
                <c:pt idx="160">
                  <c:v>534.28457362551353</c:v>
                </c:pt>
                <c:pt idx="161">
                  <c:v>534.28457362551353</c:v>
                </c:pt>
                <c:pt idx="162">
                  <c:v>534.28457362551353</c:v>
                </c:pt>
                <c:pt idx="163">
                  <c:v>534.28457362551353</c:v>
                </c:pt>
                <c:pt idx="164">
                  <c:v>534.28457362551353</c:v>
                </c:pt>
                <c:pt idx="165">
                  <c:v>534.28457362551353</c:v>
                </c:pt>
                <c:pt idx="166">
                  <c:v>534.28457362551353</c:v>
                </c:pt>
                <c:pt idx="167">
                  <c:v>534.28457362551353</c:v>
                </c:pt>
                <c:pt idx="168">
                  <c:v>534.28457362551353</c:v>
                </c:pt>
                <c:pt idx="169">
                  <c:v>534.28457362551353</c:v>
                </c:pt>
                <c:pt idx="170">
                  <c:v>534.28457362551353</c:v>
                </c:pt>
                <c:pt idx="171">
                  <c:v>534.28457362551353</c:v>
                </c:pt>
                <c:pt idx="172">
                  <c:v>534.28457362551353</c:v>
                </c:pt>
                <c:pt idx="173">
                  <c:v>534.28457362551353</c:v>
                </c:pt>
                <c:pt idx="174">
                  <c:v>534.28457362551353</c:v>
                </c:pt>
                <c:pt idx="175">
                  <c:v>534.28457362551353</c:v>
                </c:pt>
                <c:pt idx="176">
                  <c:v>534.28457362551353</c:v>
                </c:pt>
                <c:pt idx="177">
                  <c:v>534.28457362551353</c:v>
                </c:pt>
                <c:pt idx="178">
                  <c:v>534.28457362551353</c:v>
                </c:pt>
                <c:pt idx="179">
                  <c:v>534.28457362551353</c:v>
                </c:pt>
                <c:pt idx="180">
                  <c:v>534.28457362551353</c:v>
                </c:pt>
                <c:pt idx="181">
                  <c:v>534.28457362551353</c:v>
                </c:pt>
                <c:pt idx="182">
                  <c:v>534.28457362551353</c:v>
                </c:pt>
                <c:pt idx="183">
                  <c:v>534.28457362551353</c:v>
                </c:pt>
                <c:pt idx="184">
                  <c:v>534.28457362551353</c:v>
                </c:pt>
                <c:pt idx="185">
                  <c:v>534.28457362551353</c:v>
                </c:pt>
                <c:pt idx="186">
                  <c:v>534.28457362551353</c:v>
                </c:pt>
                <c:pt idx="187">
                  <c:v>534.28457362551353</c:v>
                </c:pt>
                <c:pt idx="188">
                  <c:v>534.28457362551353</c:v>
                </c:pt>
                <c:pt idx="189">
                  <c:v>534.28457362551353</c:v>
                </c:pt>
                <c:pt idx="190">
                  <c:v>534.28457362551353</c:v>
                </c:pt>
                <c:pt idx="191">
                  <c:v>534.28457362551353</c:v>
                </c:pt>
                <c:pt idx="192">
                  <c:v>534.28457362551353</c:v>
                </c:pt>
                <c:pt idx="193">
                  <c:v>534.28457362551353</c:v>
                </c:pt>
                <c:pt idx="194">
                  <c:v>534.28457362551353</c:v>
                </c:pt>
                <c:pt idx="195">
                  <c:v>534.28457362551353</c:v>
                </c:pt>
                <c:pt idx="196">
                  <c:v>534.28457362551353</c:v>
                </c:pt>
                <c:pt idx="197">
                  <c:v>534.28457362551353</c:v>
                </c:pt>
                <c:pt idx="198">
                  <c:v>534.28457362551353</c:v>
                </c:pt>
                <c:pt idx="199">
                  <c:v>534.28457362551353</c:v>
                </c:pt>
                <c:pt idx="200">
                  <c:v>534.28457362551353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3" t="s">
        <v>291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2:13" ht="15" customHeight="1" x14ac:dyDescent="0.3"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2:13" ht="15" customHeight="1" x14ac:dyDescent="0.3"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</row>
    <row r="15" spans="2:13" ht="18.75" customHeight="1" x14ac:dyDescent="0.3"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</row>
    <row r="16" spans="2:13" ht="18.75" customHeight="1" x14ac:dyDescent="0.3"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</row>
    <row r="18" spans="2:13" ht="12" customHeight="1" x14ac:dyDescent="0.3">
      <c r="B18" s="263" t="s">
        <v>292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</row>
    <row r="19" spans="2:13" ht="12" customHeight="1" x14ac:dyDescent="0.3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</row>
    <row r="20" spans="2:13" ht="12" customHeight="1" x14ac:dyDescent="0.3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2:13" ht="12" customHeight="1" x14ac:dyDescent="0.3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</row>
    <row r="22" spans="2:13" ht="12" customHeight="1" x14ac:dyDescent="0.3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</row>
    <row r="23" spans="2:13" ht="12" customHeight="1" x14ac:dyDescent="0.3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</row>
    <row r="24" spans="2:13" ht="12" customHeight="1" x14ac:dyDescent="0.3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</row>
    <row r="25" spans="2:13" ht="12" customHeight="1" x14ac:dyDescent="0.3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</row>
    <row r="26" spans="2:13" ht="12" customHeight="1" x14ac:dyDescent="0.3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</row>
    <row r="27" spans="2:13" ht="12" customHeight="1" x14ac:dyDescent="0.3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2:13" ht="12" customHeight="1" x14ac:dyDescent="0.3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2:13" ht="12" customHeight="1" x14ac:dyDescent="0.3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</row>
    <row r="30" spans="2:13" ht="12" customHeight="1" x14ac:dyDescent="0.3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</row>
    <row r="31" spans="2:13" ht="12" customHeight="1" x14ac:dyDescent="0.3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Normal="100" workbookViewId="0">
      <selection activeCell="F91" sqref="F9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8" t="s">
        <v>190</v>
      </c>
      <c r="D1" s="268"/>
      <c r="E1" s="26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9" t="s">
        <v>192</v>
      </c>
      <c r="C3" s="270"/>
      <c r="D3" s="270"/>
      <c r="E3" s="270"/>
      <c r="F3" s="271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4" t="s">
        <v>231</v>
      </c>
      <c r="B5" s="274"/>
      <c r="C5" s="24">
        <v>1.44</v>
      </c>
      <c r="D5" s="275" t="s">
        <v>229</v>
      </c>
      <c r="E5" s="276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3" t="s">
        <v>226</v>
      </c>
      <c r="B7" s="273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46</v>
      </c>
      <c r="C9" s="32">
        <v>0.4</v>
      </c>
      <c r="D9" s="33">
        <f t="shared" ref="D9:D18" si="0">C9*$C$5</f>
        <v>0.57599999999999996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23</v>
      </c>
      <c r="C10" s="32">
        <v>0.4</v>
      </c>
      <c r="D10" s="33">
        <f t="shared" si="0"/>
        <v>0.57599999999999996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50</v>
      </c>
      <c r="C11" s="32">
        <v>0.2</v>
      </c>
      <c r="D11" s="33">
        <f t="shared" si="0"/>
        <v>0.28799999999999998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1.44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2" t="s">
        <v>232</v>
      </c>
      <c r="B22" s="27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3" t="s">
        <v>227</v>
      </c>
      <c r="B30" s="273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Sapin pectiné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4" t="s">
        <v>186</v>
      </c>
      <c r="D34" s="264"/>
      <c r="E34" s="265" t="s">
        <v>187</v>
      </c>
      <c r="F34" s="266"/>
      <c r="G34" s="266"/>
      <c r="H34" s="267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56</v>
      </c>
      <c r="C36" s="259"/>
      <c r="D36" s="259">
        <v>0</v>
      </c>
      <c r="E36" s="260"/>
      <c r="F36" s="260"/>
      <c r="G36" s="260"/>
      <c r="H36" s="260"/>
      <c r="I36" s="49">
        <f>IFERROR(B36/A36,"")</f>
        <v>3.7333333333333334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185</v>
      </c>
      <c r="C37" s="259">
        <v>1</v>
      </c>
      <c r="D37" s="259">
        <v>43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25.8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294</v>
      </c>
      <c r="C38" s="259">
        <v>2</v>
      </c>
      <c r="D38" s="259">
        <v>77</v>
      </c>
      <c r="E38" s="260"/>
      <c r="F38" s="260">
        <v>1</v>
      </c>
      <c r="G38" s="260"/>
      <c r="H38" s="260"/>
      <c r="I38" s="53">
        <f t="shared" si="1"/>
        <v>30.4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376</v>
      </c>
      <c r="C39" s="259">
        <v>3</v>
      </c>
      <c r="D39" s="259">
        <v>77</v>
      </c>
      <c r="E39" s="260"/>
      <c r="F39" s="260">
        <v>1</v>
      </c>
      <c r="G39" s="260"/>
      <c r="H39" s="260"/>
      <c r="I39" s="49">
        <f t="shared" si="1"/>
        <v>31.8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453</v>
      </c>
      <c r="C40" s="259">
        <v>4</v>
      </c>
      <c r="D40" s="259">
        <v>77</v>
      </c>
      <c r="E40" s="260">
        <v>1</v>
      </c>
      <c r="F40" s="260"/>
      <c r="G40" s="260"/>
      <c r="H40" s="260"/>
      <c r="I40" s="49">
        <f t="shared" si="1"/>
        <v>30.8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524</v>
      </c>
      <c r="C41" s="259">
        <v>5</v>
      </c>
      <c r="D41" s="259">
        <v>77</v>
      </c>
      <c r="E41" s="260">
        <v>1</v>
      </c>
      <c r="F41" s="260"/>
      <c r="G41" s="260"/>
      <c r="H41" s="260"/>
      <c r="I41" s="53">
        <f t="shared" si="1"/>
        <v>29.6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588</v>
      </c>
      <c r="C42" s="259">
        <v>6</v>
      </c>
      <c r="D42" s="259">
        <v>77</v>
      </c>
      <c r="E42" s="260">
        <v>1</v>
      </c>
      <c r="F42" s="260"/>
      <c r="G42" s="260"/>
      <c r="H42" s="260"/>
      <c r="I42" s="53">
        <f t="shared" si="1"/>
        <v>28.2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644</v>
      </c>
      <c r="C43" s="259">
        <v>7</v>
      </c>
      <c r="D43" s="259">
        <v>77</v>
      </c>
      <c r="E43" s="260">
        <v>1</v>
      </c>
      <c r="F43" s="260"/>
      <c r="G43" s="260"/>
      <c r="H43" s="260"/>
      <c r="I43" s="49">
        <f t="shared" si="1"/>
        <v>26.6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694</v>
      </c>
      <c r="C44" s="259">
        <v>8</v>
      </c>
      <c r="D44" s="259">
        <v>73</v>
      </c>
      <c r="E44" s="260">
        <v>1</v>
      </c>
      <c r="F44" s="260"/>
      <c r="G44" s="260"/>
      <c r="H44" s="260"/>
      <c r="I44" s="49">
        <f t="shared" si="1"/>
        <v>25.4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740</v>
      </c>
      <c r="C45" s="259">
        <v>9</v>
      </c>
      <c r="D45" s="261">
        <v>66</v>
      </c>
      <c r="E45" s="260">
        <v>1</v>
      </c>
      <c r="F45" s="260"/>
      <c r="G45" s="260"/>
      <c r="H45" s="260"/>
      <c r="I45" s="49">
        <f t="shared" si="1"/>
        <v>23.8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786</v>
      </c>
      <c r="C46" s="259">
        <v>10</v>
      </c>
      <c r="D46" s="262">
        <v>62</v>
      </c>
      <c r="E46" s="260">
        <v>1</v>
      </c>
      <c r="F46" s="260"/>
      <c r="G46" s="260"/>
      <c r="H46" s="260"/>
      <c r="I46" s="49">
        <f t="shared" si="1"/>
        <v>22.4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832</v>
      </c>
      <c r="C47" s="259">
        <v>11</v>
      </c>
      <c r="D47" s="261">
        <v>60</v>
      </c>
      <c r="E47" s="260">
        <v>1</v>
      </c>
      <c r="F47" s="260"/>
      <c r="G47" s="260"/>
      <c r="H47" s="260"/>
      <c r="I47" s="49">
        <f t="shared" si="1"/>
        <v>21.6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874</v>
      </c>
      <c r="C48" s="259">
        <v>12</v>
      </c>
      <c r="D48" s="261">
        <v>58</v>
      </c>
      <c r="E48" s="260">
        <v>1</v>
      </c>
      <c r="F48" s="260"/>
      <c r="G48" s="260"/>
      <c r="H48" s="260"/>
      <c r="I48" s="49">
        <f t="shared" si="1"/>
        <v>20.399999999999999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909</v>
      </c>
      <c r="C49" s="259">
        <v>13</v>
      </c>
      <c r="D49" s="261">
        <v>57</v>
      </c>
      <c r="E49" s="260">
        <v>1</v>
      </c>
      <c r="F49" s="260"/>
      <c r="G49" s="260"/>
      <c r="H49" s="260"/>
      <c r="I49" s="49">
        <f t="shared" si="1"/>
        <v>18.600000000000001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6"/>
      <c r="B50" s="256"/>
      <c r="C50" s="256"/>
      <c r="D50" s="256"/>
      <c r="E50" s="255"/>
      <c r="F50" s="255"/>
      <c r="G50" s="255"/>
      <c r="H50" s="255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6"/>
      <c r="B51" s="256"/>
      <c r="C51" s="256"/>
      <c r="D51" s="256"/>
      <c r="E51" s="255"/>
      <c r="F51" s="255"/>
      <c r="G51" s="255"/>
      <c r="H51" s="255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6"/>
      <c r="B52" s="256"/>
      <c r="C52" s="256"/>
      <c r="D52" s="256"/>
      <c r="E52" s="255"/>
      <c r="F52" s="255"/>
      <c r="G52" s="255"/>
      <c r="H52" s="255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6"/>
      <c r="B53" s="256"/>
      <c r="C53" s="256"/>
      <c r="D53" s="256"/>
      <c r="E53" s="255"/>
      <c r="F53" s="255"/>
      <c r="G53" s="255"/>
      <c r="H53" s="255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6"/>
      <c r="B54" s="256"/>
      <c r="C54" s="256"/>
      <c r="D54" s="256"/>
      <c r="E54" s="255"/>
      <c r="F54" s="255"/>
      <c r="G54" s="255"/>
      <c r="H54" s="255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6"/>
      <c r="B55" s="256"/>
      <c r="C55" s="256"/>
      <c r="D55" s="256"/>
      <c r="E55" s="255"/>
      <c r="F55" s="255"/>
      <c r="G55" s="255"/>
      <c r="H55" s="255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Erable sycomore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4" t="s">
        <v>186</v>
      </c>
      <c r="D60" s="264"/>
      <c r="E60" s="265" t="s">
        <v>187</v>
      </c>
      <c r="F60" s="266"/>
      <c r="G60" s="266"/>
      <c r="H60" s="267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19</v>
      </c>
      <c r="C62" s="261">
        <v>1</v>
      </c>
      <c r="D62" s="261">
        <v>7</v>
      </c>
      <c r="E62" s="260"/>
      <c r="F62" s="260"/>
      <c r="G62" s="260"/>
      <c r="H62" s="260">
        <v>1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85</v>
      </c>
      <c r="C63" s="261">
        <v>2</v>
      </c>
      <c r="D63" s="261">
        <v>42</v>
      </c>
      <c r="E63" s="260"/>
      <c r="F63" s="260"/>
      <c r="G63" s="260"/>
      <c r="H63" s="260">
        <v>1</v>
      </c>
      <c r="I63" s="49">
        <f>IF(A63&lt;&gt;0,(B63-(B62-D62))/(A63-A62),"")</f>
        <v>14.6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123</v>
      </c>
      <c r="C64" s="261">
        <v>3</v>
      </c>
      <c r="D64" s="261">
        <v>42</v>
      </c>
      <c r="E64" s="260"/>
      <c r="F64" s="260"/>
      <c r="G64" s="260"/>
      <c r="H64" s="260">
        <v>1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165</v>
      </c>
      <c r="C65" s="261">
        <v>4</v>
      </c>
      <c r="D65" s="261">
        <v>42</v>
      </c>
      <c r="E65" s="260"/>
      <c r="F65" s="260"/>
      <c r="G65" s="260"/>
      <c r="H65" s="260">
        <v>1</v>
      </c>
      <c r="I65" s="49">
        <f>IF(A65&lt;&gt;0,(B65-(B64-D64))/(A65-A64),"")</f>
        <v>16.8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205</v>
      </c>
      <c r="C66" s="261">
        <v>5</v>
      </c>
      <c r="D66" s="261">
        <v>42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16.399999999999999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239</v>
      </c>
      <c r="C67" s="261">
        <v>6</v>
      </c>
      <c r="D67" s="261">
        <v>42</v>
      </c>
      <c r="E67" s="260">
        <v>1</v>
      </c>
      <c r="F67" s="260"/>
      <c r="G67" s="260"/>
      <c r="H67" s="260"/>
      <c r="I67" s="49">
        <f t="shared" si="2"/>
        <v>15.2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263</v>
      </c>
      <c r="C68" s="261">
        <v>7</v>
      </c>
      <c r="D68" s="261">
        <v>40</v>
      </c>
      <c r="E68" s="260">
        <v>1</v>
      </c>
      <c r="F68" s="260"/>
      <c r="G68" s="260"/>
      <c r="H68" s="260"/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280</v>
      </c>
      <c r="C69" s="261">
        <v>8</v>
      </c>
      <c r="D69" s="261">
        <v>26</v>
      </c>
      <c r="E69" s="260">
        <v>1</v>
      </c>
      <c r="F69" s="260"/>
      <c r="G69" s="260"/>
      <c r="H69" s="260"/>
      <c r="I69" s="49">
        <f t="shared" si="2"/>
        <v>11.4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303</v>
      </c>
      <c r="C70" s="261">
        <v>9</v>
      </c>
      <c r="D70" s="261">
        <v>21</v>
      </c>
      <c r="E70" s="260">
        <v>1</v>
      </c>
      <c r="F70" s="260"/>
      <c r="G70" s="260"/>
      <c r="H70" s="260"/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324</v>
      </c>
      <c r="C71" s="261">
        <v>10</v>
      </c>
      <c r="D71" s="261">
        <v>18</v>
      </c>
      <c r="E71" s="260">
        <v>1</v>
      </c>
      <c r="F71" s="260"/>
      <c r="G71" s="260"/>
      <c r="H71" s="260"/>
      <c r="I71" s="49">
        <f t="shared" si="2"/>
        <v>8.4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343</v>
      </c>
      <c r="C72" s="261">
        <v>11</v>
      </c>
      <c r="D72" s="261">
        <v>17</v>
      </c>
      <c r="E72" s="260">
        <v>1</v>
      </c>
      <c r="F72" s="260"/>
      <c r="G72" s="260"/>
      <c r="H72" s="260"/>
      <c r="I72" s="49">
        <f t="shared" si="2"/>
        <v>7.4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356</v>
      </c>
      <c r="C73" s="261">
        <v>12</v>
      </c>
      <c r="D73" s="261">
        <v>16</v>
      </c>
      <c r="E73" s="260">
        <v>1</v>
      </c>
      <c r="F73" s="260"/>
      <c r="G73" s="260"/>
      <c r="H73" s="260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366</v>
      </c>
      <c r="C74" s="261">
        <v>13</v>
      </c>
      <c r="D74" s="261">
        <v>15</v>
      </c>
      <c r="E74" s="260">
        <v>1</v>
      </c>
      <c r="F74" s="260"/>
      <c r="G74" s="260"/>
      <c r="H74" s="260"/>
      <c r="I74" s="49">
        <f t="shared" si="2"/>
        <v>5.2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375</v>
      </c>
      <c r="C75" s="261">
        <v>14</v>
      </c>
      <c r="D75" s="261">
        <v>14</v>
      </c>
      <c r="E75" s="260">
        <v>1</v>
      </c>
      <c r="F75" s="260"/>
      <c r="G75" s="260"/>
      <c r="H75" s="260"/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381</v>
      </c>
      <c r="C76" s="261">
        <v>15</v>
      </c>
      <c r="D76" s="261">
        <v>13</v>
      </c>
      <c r="E76" s="260">
        <v>1</v>
      </c>
      <c r="F76" s="260"/>
      <c r="G76" s="260"/>
      <c r="H76" s="260"/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Tilleul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4" t="s">
        <v>186</v>
      </c>
      <c r="D86" s="264"/>
      <c r="E86" s="265" t="s">
        <v>187</v>
      </c>
      <c r="F86" s="266"/>
      <c r="G86" s="266"/>
      <c r="H86" s="267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19</v>
      </c>
      <c r="C88" s="261">
        <v>1</v>
      </c>
      <c r="D88" s="261">
        <v>7</v>
      </c>
      <c r="E88" s="260"/>
      <c r="F88" s="260"/>
      <c r="G88" s="260"/>
      <c r="H88" s="260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85</v>
      </c>
      <c r="C89" s="261">
        <v>2</v>
      </c>
      <c r="D89" s="261">
        <v>42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123</v>
      </c>
      <c r="C90" s="261">
        <v>3</v>
      </c>
      <c r="D90" s="261">
        <v>42</v>
      </c>
      <c r="E90" s="260"/>
      <c r="F90" s="260"/>
      <c r="G90" s="260"/>
      <c r="H90" s="260">
        <v>1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165</v>
      </c>
      <c r="C91" s="261">
        <v>4</v>
      </c>
      <c r="D91" s="261">
        <v>42</v>
      </c>
      <c r="E91" s="260"/>
      <c r="F91" s="260"/>
      <c r="G91" s="260"/>
      <c r="H91" s="260">
        <v>1</v>
      </c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205</v>
      </c>
      <c r="C92" s="261">
        <v>5</v>
      </c>
      <c r="D92" s="261">
        <v>42</v>
      </c>
      <c r="E92" s="260"/>
      <c r="F92" s="260"/>
      <c r="G92" s="260"/>
      <c r="H92" s="260">
        <v>1</v>
      </c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239</v>
      </c>
      <c r="C93" s="261">
        <v>6</v>
      </c>
      <c r="D93" s="261">
        <v>42</v>
      </c>
      <c r="E93" s="260">
        <v>1</v>
      </c>
      <c r="F93" s="260"/>
      <c r="G93" s="260"/>
      <c r="H93" s="260"/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263</v>
      </c>
      <c r="C94" s="261">
        <v>7</v>
      </c>
      <c r="D94" s="261">
        <v>40</v>
      </c>
      <c r="E94" s="260">
        <v>1</v>
      </c>
      <c r="F94" s="260"/>
      <c r="G94" s="260"/>
      <c r="H94" s="260"/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280</v>
      </c>
      <c r="C95" s="261">
        <v>8</v>
      </c>
      <c r="D95" s="261">
        <v>26</v>
      </c>
      <c r="E95" s="260">
        <v>1</v>
      </c>
      <c r="F95" s="260"/>
      <c r="G95" s="260"/>
      <c r="H95" s="260"/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303</v>
      </c>
      <c r="C96" s="261">
        <v>9</v>
      </c>
      <c r="D96" s="261">
        <v>21</v>
      </c>
      <c r="E96" s="260">
        <v>1</v>
      </c>
      <c r="F96" s="260"/>
      <c r="G96" s="260"/>
      <c r="H96" s="260"/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324</v>
      </c>
      <c r="C97" s="261">
        <v>10</v>
      </c>
      <c r="D97" s="261">
        <v>18</v>
      </c>
      <c r="E97" s="260">
        <v>1</v>
      </c>
      <c r="F97" s="260"/>
      <c r="G97" s="260"/>
      <c r="H97" s="260"/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343</v>
      </c>
      <c r="C98" s="261">
        <v>11</v>
      </c>
      <c r="D98" s="261">
        <v>17</v>
      </c>
      <c r="E98" s="260">
        <v>1</v>
      </c>
      <c r="F98" s="260"/>
      <c r="G98" s="260"/>
      <c r="H98" s="260"/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356</v>
      </c>
      <c r="C99" s="261">
        <v>12</v>
      </c>
      <c r="D99" s="261">
        <v>16</v>
      </c>
      <c r="E99" s="260">
        <v>1</v>
      </c>
      <c r="F99" s="260"/>
      <c r="G99" s="260"/>
      <c r="H99" s="260"/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366</v>
      </c>
      <c r="C100" s="261">
        <v>13</v>
      </c>
      <c r="D100" s="261">
        <v>15</v>
      </c>
      <c r="E100" s="260">
        <v>1</v>
      </c>
      <c r="F100" s="260"/>
      <c r="G100" s="260"/>
      <c r="H100" s="260"/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375</v>
      </c>
      <c r="C101" s="261">
        <v>14</v>
      </c>
      <c r="D101" s="261">
        <v>14</v>
      </c>
      <c r="E101" s="260">
        <v>1</v>
      </c>
      <c r="F101" s="260"/>
      <c r="G101" s="260"/>
      <c r="H101" s="260"/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381</v>
      </c>
      <c r="C102" s="261">
        <v>15</v>
      </c>
      <c r="D102" s="261">
        <v>13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4" t="s">
        <v>186</v>
      </c>
      <c r="D112" s="264"/>
      <c r="E112" s="265" t="s">
        <v>187</v>
      </c>
      <c r="F112" s="266"/>
      <c r="G112" s="266"/>
      <c r="H112" s="267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6"/>
      <c r="B114" s="256"/>
      <c r="C114" s="255"/>
      <c r="D114" s="256"/>
      <c r="E114" s="255"/>
      <c r="F114" s="255"/>
      <c r="G114" s="255"/>
      <c r="H114" s="255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6"/>
      <c r="B115" s="256"/>
      <c r="C115" s="256"/>
      <c r="D115" s="256"/>
      <c r="E115" s="255"/>
      <c r="F115" s="255"/>
      <c r="G115" s="255"/>
      <c r="H115" s="255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6"/>
      <c r="B116" s="256"/>
      <c r="C116" s="256"/>
      <c r="D116" s="256"/>
      <c r="E116" s="255"/>
      <c r="F116" s="255"/>
      <c r="G116" s="255"/>
      <c r="H116" s="255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6"/>
      <c r="B117" s="256"/>
      <c r="C117" s="256"/>
      <c r="D117" s="256"/>
      <c r="E117" s="255"/>
      <c r="F117" s="255"/>
      <c r="G117" s="255"/>
      <c r="H117" s="255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6"/>
      <c r="B118" s="256"/>
      <c r="C118" s="256"/>
      <c r="D118" s="256"/>
      <c r="E118" s="255"/>
      <c r="F118" s="255"/>
      <c r="G118" s="255"/>
      <c r="H118" s="255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6"/>
      <c r="B119" s="256"/>
      <c r="C119" s="256"/>
      <c r="D119" s="256"/>
      <c r="E119" s="255"/>
      <c r="F119" s="255"/>
      <c r="G119" s="255"/>
      <c r="H119" s="255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6"/>
      <c r="B120" s="256"/>
      <c r="C120" s="256"/>
      <c r="D120" s="256"/>
      <c r="E120" s="255"/>
      <c r="F120" s="255"/>
      <c r="G120" s="255"/>
      <c r="H120" s="255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6"/>
      <c r="B121" s="256"/>
      <c r="C121" s="256"/>
      <c r="D121" s="256"/>
      <c r="E121" s="255"/>
      <c r="F121" s="255"/>
      <c r="G121" s="255"/>
      <c r="H121" s="255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6"/>
      <c r="B122" s="256"/>
      <c r="C122" s="256"/>
      <c r="D122" s="256"/>
      <c r="E122" s="255"/>
      <c r="F122" s="255"/>
      <c r="G122" s="255"/>
      <c r="H122" s="255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6"/>
      <c r="B123" s="256"/>
      <c r="C123" s="256"/>
      <c r="D123" s="256"/>
      <c r="E123" s="255"/>
      <c r="F123" s="255"/>
      <c r="G123" s="255"/>
      <c r="H123" s="255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6"/>
      <c r="B124" s="256"/>
      <c r="C124" s="256"/>
      <c r="D124" s="256"/>
      <c r="E124" s="255"/>
      <c r="F124" s="255"/>
      <c r="G124" s="255"/>
      <c r="H124" s="255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6"/>
      <c r="B125" s="256"/>
      <c r="C125" s="256"/>
      <c r="D125" s="256"/>
      <c r="E125" s="255"/>
      <c r="F125" s="255"/>
      <c r="G125" s="255"/>
      <c r="H125" s="255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6"/>
      <c r="B126" s="256"/>
      <c r="C126" s="256"/>
      <c r="D126" s="256"/>
      <c r="E126" s="255"/>
      <c r="F126" s="255"/>
      <c r="G126" s="255"/>
      <c r="H126" s="25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6"/>
      <c r="B127" s="256"/>
      <c r="C127" s="256"/>
      <c r="D127" s="256"/>
      <c r="E127" s="255"/>
      <c r="F127" s="255"/>
      <c r="G127" s="255"/>
      <c r="H127" s="25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6"/>
      <c r="B128" s="256"/>
      <c r="C128" s="256"/>
      <c r="D128" s="256"/>
      <c r="E128" s="255"/>
      <c r="F128" s="255"/>
      <c r="G128" s="255"/>
      <c r="H128" s="255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6"/>
      <c r="B129" s="256"/>
      <c r="C129" s="256"/>
      <c r="D129" s="256"/>
      <c r="E129" s="255"/>
      <c r="F129" s="255"/>
      <c r="G129" s="255"/>
      <c r="H129" s="255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6"/>
      <c r="B130" s="256"/>
      <c r="C130" s="256"/>
      <c r="D130" s="256"/>
      <c r="E130" s="255"/>
      <c r="F130" s="255"/>
      <c r="G130" s="255"/>
      <c r="H130" s="255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6"/>
      <c r="B131" s="256"/>
      <c r="C131" s="256"/>
      <c r="D131" s="256"/>
      <c r="E131" s="255"/>
      <c r="F131" s="255"/>
      <c r="G131" s="255"/>
      <c r="H131" s="255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6"/>
      <c r="B132" s="256"/>
      <c r="C132" s="256"/>
      <c r="D132" s="256"/>
      <c r="E132" s="255"/>
      <c r="F132" s="255"/>
      <c r="G132" s="255"/>
      <c r="H132" s="255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6"/>
      <c r="B133" s="256"/>
      <c r="C133" s="256"/>
      <c r="D133" s="256"/>
      <c r="E133" s="255"/>
      <c r="F133" s="255"/>
      <c r="G133" s="255"/>
      <c r="H133" s="255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4" t="s">
        <v>186</v>
      </c>
      <c r="D138" s="264"/>
      <c r="E138" s="265" t="s">
        <v>187</v>
      </c>
      <c r="F138" s="266"/>
      <c r="G138" s="266"/>
      <c r="H138" s="267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4" t="s">
        <v>186</v>
      </c>
      <c r="D164" s="264"/>
      <c r="E164" s="265" t="s">
        <v>187</v>
      </c>
      <c r="F164" s="266"/>
      <c r="G164" s="266"/>
      <c r="H164" s="267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4" t="s">
        <v>186</v>
      </c>
      <c r="D190" s="264"/>
      <c r="E190" s="265" t="s">
        <v>187</v>
      </c>
      <c r="F190" s="266"/>
      <c r="G190" s="266"/>
      <c r="H190" s="267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4" t="s">
        <v>186</v>
      </c>
      <c r="D216" s="264"/>
      <c r="E216" s="265" t="s">
        <v>187</v>
      </c>
      <c r="F216" s="266"/>
      <c r="G216" s="266"/>
      <c r="H216" s="267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4" t="s">
        <v>186</v>
      </c>
      <c r="D242" s="264"/>
      <c r="E242" s="265" t="s">
        <v>187</v>
      </c>
      <c r="F242" s="266"/>
      <c r="G242" s="266"/>
      <c r="H242" s="267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4" t="s">
        <v>186</v>
      </c>
      <c r="D268" s="264"/>
      <c r="E268" s="265" t="s">
        <v>187</v>
      </c>
      <c r="F268" s="266"/>
      <c r="G268" s="266"/>
      <c r="H268" s="267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3" sqref="F1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8" t="s">
        <v>191</v>
      </c>
      <c r="C2" s="279"/>
      <c r="D2" s="279"/>
      <c r="E2" s="279"/>
      <c r="F2" s="279"/>
      <c r="G2" s="280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7"/>
      <c r="C4" s="277"/>
      <c r="D4" s="277"/>
      <c r="E4" s="277"/>
      <c r="F4" s="277"/>
      <c r="G4" s="277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4" t="s">
        <v>176</v>
      </c>
      <c r="C1" s="285"/>
      <c r="D1" s="285"/>
      <c r="E1" s="285"/>
      <c r="F1" s="285"/>
      <c r="G1" s="285"/>
      <c r="H1" s="286"/>
      <c r="I1" s="281" t="str">
        <f>IF('Données projet'!$B$9="","",'Données projet'!$B$9)</f>
        <v>Sapin pectiné</v>
      </c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3"/>
      <c r="AD1" s="282" t="str">
        <f>IF('Données projet'!$B$10="","",'Données projet'!$B$10)</f>
        <v>Erable sycomore</v>
      </c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3"/>
      <c r="AY1" s="281" t="str">
        <f>IF('Données projet'!$B$11="","",'Données projet'!$B$11)</f>
        <v>Tilleul</v>
      </c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3"/>
      <c r="BT1" s="281" t="str">
        <f>IF('Données projet'!$B$12="","",'Données projet'!$B$12)</f>
        <v/>
      </c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3"/>
      <c r="CO1" s="281" t="str">
        <f>IF('Données projet'!$B$13="","",'Données projet'!$B$13)</f>
        <v/>
      </c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E1" s="282"/>
      <c r="DF1" s="282"/>
      <c r="DG1" s="282"/>
      <c r="DH1" s="282"/>
      <c r="DI1" s="283"/>
      <c r="DJ1" s="281" t="str">
        <f>IF('Données projet'!$B$14="","",'Données projet'!$B$14)</f>
        <v/>
      </c>
      <c r="DK1" s="282"/>
      <c r="DL1" s="282"/>
      <c r="DM1" s="282"/>
      <c r="DN1" s="282"/>
      <c r="DO1" s="282"/>
      <c r="DP1" s="282"/>
      <c r="DQ1" s="282"/>
      <c r="DR1" s="282"/>
      <c r="DS1" s="282"/>
      <c r="DT1" s="282"/>
      <c r="DU1" s="282"/>
      <c r="DV1" s="282"/>
      <c r="DW1" s="282"/>
      <c r="DX1" s="282"/>
      <c r="DY1" s="282"/>
      <c r="DZ1" s="282"/>
      <c r="EA1" s="282"/>
      <c r="EB1" s="282"/>
      <c r="EC1" s="282"/>
      <c r="ED1" s="283"/>
      <c r="EE1" s="281" t="str">
        <f>IF('Données projet'!$B$15="","",'Données projet'!$B$15)</f>
        <v/>
      </c>
      <c r="EF1" s="282"/>
      <c r="EG1" s="282"/>
      <c r="EH1" s="282"/>
      <c r="EI1" s="282"/>
      <c r="EJ1" s="282"/>
      <c r="EK1" s="282"/>
      <c r="EL1" s="282"/>
      <c r="EM1" s="282"/>
      <c r="EN1" s="282"/>
      <c r="EO1" s="282"/>
      <c r="EP1" s="282"/>
      <c r="EQ1" s="282"/>
      <c r="ER1" s="282"/>
      <c r="ES1" s="282"/>
      <c r="ET1" s="282"/>
      <c r="EU1" s="282"/>
      <c r="EV1" s="282"/>
      <c r="EW1" s="282"/>
      <c r="EX1" s="282"/>
      <c r="EY1" s="283"/>
      <c r="EZ1" s="281" t="str">
        <f>IF('Données projet'!$B$16="","",'Données projet'!$B$16)</f>
        <v/>
      </c>
      <c r="FA1" s="282"/>
      <c r="FB1" s="282"/>
      <c r="FC1" s="282"/>
      <c r="FD1" s="282"/>
      <c r="FE1" s="282"/>
      <c r="FF1" s="282"/>
      <c r="FG1" s="282"/>
      <c r="FH1" s="282"/>
      <c r="FI1" s="282"/>
      <c r="FJ1" s="282"/>
      <c r="FK1" s="282"/>
      <c r="FL1" s="282"/>
      <c r="FM1" s="282"/>
      <c r="FN1" s="282"/>
      <c r="FO1" s="282"/>
      <c r="FP1" s="282"/>
      <c r="FQ1" s="282"/>
      <c r="FR1" s="282"/>
      <c r="FS1" s="282"/>
      <c r="FT1" s="283"/>
      <c r="FU1" s="281" t="str">
        <f>IF('Données projet'!$B$17="","",'Données projet'!$B$17)</f>
        <v/>
      </c>
      <c r="FV1" s="282"/>
      <c r="FW1" s="282"/>
      <c r="FX1" s="282"/>
      <c r="FY1" s="282"/>
      <c r="FZ1" s="282"/>
      <c r="GA1" s="282"/>
      <c r="GB1" s="282"/>
      <c r="GC1" s="282"/>
      <c r="GD1" s="282"/>
      <c r="GE1" s="282"/>
      <c r="GF1" s="282"/>
      <c r="GG1" s="282"/>
      <c r="GH1" s="282"/>
      <c r="GI1" s="282"/>
      <c r="GJ1" s="282"/>
      <c r="GK1" s="282"/>
      <c r="GL1" s="282"/>
      <c r="GM1" s="282"/>
      <c r="GN1" s="282"/>
      <c r="GO1" s="283"/>
      <c r="GP1" s="281" t="str">
        <f>IF('Données projet'!$B$18="","",'Données projet'!$B$18)</f>
        <v/>
      </c>
      <c r="GQ1" s="282"/>
      <c r="GR1" s="282"/>
      <c r="GS1" s="282"/>
      <c r="GT1" s="282"/>
      <c r="GU1" s="282"/>
      <c r="GV1" s="282"/>
      <c r="GW1" s="282"/>
      <c r="GX1" s="282"/>
      <c r="GY1" s="282"/>
      <c r="GZ1" s="282"/>
      <c r="HA1" s="282"/>
      <c r="HB1" s="282"/>
      <c r="HC1" s="282"/>
      <c r="HD1" s="282"/>
      <c r="HE1" s="282"/>
      <c r="HF1" s="282"/>
      <c r="HG1" s="282"/>
      <c r="HH1" s="282"/>
      <c r="HI1" s="282"/>
      <c r="HJ1" s="283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434.08297999735811</v>
      </c>
      <c r="T3" s="59">
        <f>IF('Données projet'!E9&gt;30,$R$33-$H$33,LOOKUP('Données projet'!$E$9,$A$3:$A$203,R3:R203)-LOOKUP('Données projet'!$E$9,$A$3:$A$203,$H$3:$H$203))</f>
        <v>371.04090283546122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331.52724290297675</v>
      </c>
      <c r="AO3" s="59">
        <f>IF('Données projet'!E10&gt;30,$AM$33-$H$33,LOOKUP('Données projet'!$E$10,$A$3:$A$203,AM3:AM203)-LOOKUP('Données projet'!$E$10,$A$3:$A$203,$H$3:$H$203))</f>
        <v>322.79102610158054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273.84349636755343</v>
      </c>
      <c r="BJ3" s="59">
        <f>IF('Données projet'!E11&gt;30,$BH$33-$H$33,LOOKUP('Données projet'!$E$11,$A$3:$A$203,BH3:BH203)-LOOKUP('Données projet'!$E$11,$A$3:$A$203,$H$3:$H$203))</f>
        <v>268.10688874775451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3.7333333333333334</v>
      </c>
      <c r="N4" s="13">
        <f>IF('Données projet'!$A$36&gt;35,N3+M4-V3,IF(A4&lt;'Données projet'!$A$36,$K$205^A4,IF(A4='Données projet'!$A$36,'Données projet'!$B$36,N3+M4-V3)))</f>
        <v>1.3078136577370625</v>
      </c>
      <c r="O4" s="13">
        <f>N4*VLOOKUP('Données projet'!$B$9,Paramètres!$A$1:$I$89,3,0)*VLOOKUP('Données projet'!$B$9,Paramètres!$A$1:$I$89,5,0)</f>
        <v>0.64605994692210889</v>
      </c>
      <c r="P4" s="13">
        <f>EXP(-1.0587+0.8836*LN(O4)+0.284)</f>
        <v>0.31326301704429743</v>
      </c>
      <c r="Q4" s="20">
        <f t="shared" ref="Q4:Q34" si="2">(O4+P4)*0.475*44/12</f>
        <v>1.6708208289081574</v>
      </c>
      <c r="R4" s="59">
        <f t="shared" si="0"/>
        <v>295.00415416224149</v>
      </c>
      <c r="S4" s="59">
        <f ca="1">AVERAGE(OFFSET($R$3,0,0,'Données projet'!$E$9+1,1))-AVERAGE(OFFSET($H$3,0,0,'Données projet'!$E$9+1,1))</f>
        <v>434.08297999735811</v>
      </c>
      <c r="T4" s="59">
        <f>$T$3</f>
        <v>371.04090283546122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1.0679972503054507</v>
      </c>
      <c r="AK4" s="13">
        <f>EXP(-1.0587+0.8836*LN(AJ4)+0.284)</f>
        <v>0.48842359485523285</v>
      </c>
      <c r="AL4" s="20">
        <f t="shared" ref="AL4:AL67" si="4">(AJ4+AK4)*0.475*44/12</f>
        <v>2.7107663053215236</v>
      </c>
      <c r="AM4" s="59">
        <f t="shared" ref="AM4:AM67" si="5">AL4+(AD4+AE4)*44/12</f>
        <v>296.04409963865481</v>
      </c>
      <c r="AN4" s="59">
        <f ca="1">AVERAGE(OFFSET($AM$3,0,0,'Données projet'!$E$10+1,1))-AVERAGE(OFFSET($H$3,0,0,'Données projet'!$E$10+1,1))</f>
        <v>331.52724290297675</v>
      </c>
      <c r="AO4" s="59">
        <f>$AO$3</f>
        <v>322.79102610158054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0.90046826986537998</v>
      </c>
      <c r="BF4" s="13">
        <f>EXP(-1.0587+0.8836*LN(BE4)+0.284)</f>
        <v>0.42006873167570724</v>
      </c>
      <c r="BG4" s="20">
        <f t="shared" ref="BG4:BG67" si="7">(BE4+BF4)*0.475*44/12</f>
        <v>2.2999352776840598</v>
      </c>
      <c r="BH4" s="59">
        <f t="shared" ref="BH4:BH67" si="8">BG4+(AY4+AZ4)*44/12</f>
        <v>295.6332686110174</v>
      </c>
      <c r="BI4" s="59">
        <f ca="1">AVERAGE(OFFSET($BH$3,0,0,'Données projet'!$E$11+1,1))-AVERAGE(OFFSET($H$3,0,0,'Données projet'!$E$11+1,1))</f>
        <v>273.84349636755343</v>
      </c>
      <c r="BJ4" s="59">
        <f>$BJ$3</f>
        <v>268.10688874775451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3.7333333333333334</v>
      </c>
      <c r="N5" s="13">
        <f>IF('Données projet'!$A$36&gt;35,N4+M5-V4,IF(A5&lt;'Données projet'!$A$36,$K$205^A5,IF(A5='Données projet'!$A$36,'Données projet'!$B$36,N4+M5-V4)))</f>
        <v>1.7103765633635943</v>
      </c>
      <c r="O5" s="13">
        <f>N5*VLOOKUP('Données projet'!$B$9,Paramètres!$A$1:$I$89,3,0)*VLOOKUP('Données projet'!$B$9,Paramètres!$A$1:$I$89,5,0)</f>
        <v>0.84492602230161562</v>
      </c>
      <c r="P5" s="13">
        <f t="shared" ref="P5:P68" si="33">EXP(-1.0587+0.8836*LN(O5)+0.284)</f>
        <v>0.3970900963891561</v>
      </c>
      <c r="Q5" s="20">
        <f t="shared" si="2"/>
        <v>2.163178073386427</v>
      </c>
      <c r="R5" s="59">
        <f t="shared" si="0"/>
        <v>295.49651140671972</v>
      </c>
      <c r="S5" s="59">
        <f ca="1">AVERAGE(OFFSET($R$3,0,0,'Données projet'!$E$9+1,1))-AVERAGE(OFFSET($H$3,0,0,'Données projet'!$E$9+1,1))</f>
        <v>434.08297999735811</v>
      </c>
      <c r="T5" s="59">
        <f t="shared" ref="T5:T68" si="34">$T$3</f>
        <v>371.04090283546122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1.4336577760935185</v>
      </c>
      <c r="AK5" s="13">
        <f t="shared" ref="AK5:AK68" si="35">EXP(-1.0587+0.8836*LN(AJ5)+0.284)</f>
        <v>0.63355934907379652</v>
      </c>
      <c r="AL5" s="20">
        <f t="shared" si="4"/>
        <v>3.6004031596664068</v>
      </c>
      <c r="AM5" s="59">
        <f t="shared" si="5"/>
        <v>296.93373649299974</v>
      </c>
      <c r="AN5" s="59">
        <f ca="1">AVERAGE(OFFSET($AM$3,0,0,'Données projet'!$E$10+1,1))-AVERAGE(OFFSET($H$3,0,0,'Données projet'!$E$10+1,1))</f>
        <v>331.52724290297675</v>
      </c>
      <c r="AO5" s="59">
        <f t="shared" ref="AO5:AO68" si="36">$AO$3</f>
        <v>322.79102610158054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1.2087702818043391</v>
      </c>
      <c r="BF5" s="13">
        <f t="shared" ref="BF5:BF68" si="37">EXP(-1.0587+0.8836*LN(BE5)+0.284)</f>
        <v>0.54489274271362542</v>
      </c>
      <c r="BG5" s="20">
        <f t="shared" si="7"/>
        <v>3.0542964343687884</v>
      </c>
      <c r="BH5" s="59">
        <f t="shared" si="8"/>
        <v>296.38762976770209</v>
      </c>
      <c r="BI5" s="59">
        <f ca="1">AVERAGE(OFFSET($BH$3,0,0,'Données projet'!$E$11+1,1))-AVERAGE(OFFSET($H$3,0,0,'Données projet'!$E$11+1,1))</f>
        <v>273.84349636755343</v>
      </c>
      <c r="BJ5" s="59">
        <f t="shared" ref="BJ5:BJ68" si="38">$BJ$3</f>
        <v>268.10688874775451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3.7333333333333334</v>
      </c>
      <c r="N6" s="13">
        <f>IF('Données projet'!$A$36&gt;35,N5+M6-V5,IF(A6&lt;'Données projet'!$A$36,$K$205^A6,IF(A6='Données projet'!$A$36,'Données projet'!$B$36,N5+M6-V5)))</f>
        <v>2.2368538294402889</v>
      </c>
      <c r="O6" s="13">
        <f>N6*VLOOKUP('Données projet'!$B$9,Paramètres!$A$1:$I$89,3,0)*VLOOKUP('Données projet'!$B$9,Paramètres!$A$1:$I$89,5,0)</f>
        <v>1.1050057917435028</v>
      </c>
      <c r="P6" s="13">
        <f t="shared" si="33"/>
        <v>0.50334873914609668</v>
      </c>
      <c r="Q6" s="20">
        <f t="shared" si="2"/>
        <v>2.8012174746327188</v>
      </c>
      <c r="R6" s="59">
        <f t="shared" si="0"/>
        <v>296.13455080796604</v>
      </c>
      <c r="S6" s="59">
        <f ca="1">AVERAGE(OFFSET($R$3,0,0,'Données projet'!$E$9+1,1))-AVERAGE(OFFSET($H$3,0,0,'Données projet'!$E$9+1,1))</f>
        <v>434.08297999735811</v>
      </c>
      <c r="T6" s="59">
        <f t="shared" si="34"/>
        <v>371.04090283546122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1.9245130250715252</v>
      </c>
      <c r="AK6" s="13">
        <f t="shared" si="35"/>
        <v>0.82182239561499026</v>
      </c>
      <c r="AL6" s="20">
        <f t="shared" si="4"/>
        <v>4.7832008576956815</v>
      </c>
      <c r="AM6" s="59">
        <f t="shared" si="5"/>
        <v>298.11653419102902</v>
      </c>
      <c r="AN6" s="59">
        <f ca="1">AVERAGE(OFFSET($AM$3,0,0,'Données projet'!$E$10+1,1))-AVERAGE(OFFSET($H$3,0,0,'Données projet'!$E$10+1,1))</f>
        <v>331.52724290297675</v>
      </c>
      <c r="AO6" s="59">
        <f t="shared" si="36"/>
        <v>322.79102610158054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1.6226286289818741</v>
      </c>
      <c r="BF6" s="13">
        <f t="shared" si="37"/>
        <v>0.70680838318427885</v>
      </c>
      <c r="BG6" s="20">
        <f t="shared" si="7"/>
        <v>4.0571027961893833</v>
      </c>
      <c r="BH6" s="59">
        <f t="shared" si="8"/>
        <v>297.3904361295227</v>
      </c>
      <c r="BI6" s="59">
        <f ca="1">AVERAGE(OFFSET($BH$3,0,0,'Données projet'!$E$11+1,1))-AVERAGE(OFFSET($H$3,0,0,'Données projet'!$E$11+1,1))</f>
        <v>273.84349636755343</v>
      </c>
      <c r="BJ6" s="59">
        <f t="shared" si="38"/>
        <v>268.10688874775451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3.7333333333333334</v>
      </c>
      <c r="N7" s="13">
        <f>IF('Données projet'!$A$36&gt;35,N6+M7-V6,IF(A7&lt;'Données projet'!$A$36,$K$205^A7,IF(A7='Données projet'!$A$36,'Données projet'!$B$36,N6+M7-V6)))</f>
        <v>2.9253879885034593</v>
      </c>
      <c r="O7" s="13">
        <f>N7*VLOOKUP('Données projet'!$B$9,Paramètres!$A$1:$I$89,3,0)*VLOOKUP('Données projet'!$B$9,Paramètres!$A$1:$I$89,5,0)</f>
        <v>1.4451416663207091</v>
      </c>
      <c r="P7" s="13">
        <f t="shared" si="33"/>
        <v>0.63804148102366054</v>
      </c>
      <c r="Q7" s="20">
        <f t="shared" si="2"/>
        <v>3.6282106482914434</v>
      </c>
      <c r="R7" s="59">
        <f t="shared" si="0"/>
        <v>296.96154398162474</v>
      </c>
      <c r="S7" s="59">
        <f ca="1">AVERAGE(OFFSET($R$3,0,0,'Données projet'!$E$9+1,1))-AVERAGE(OFFSET($H$3,0,0,'Données projet'!$E$9+1,1))</f>
        <v>434.08297999735811</v>
      </c>
      <c r="T7" s="59">
        <f t="shared" si="34"/>
        <v>371.04090283546122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2.5834271228675387</v>
      </c>
      <c r="AK7" s="13">
        <f t="shared" si="35"/>
        <v>1.066028069701316</v>
      </c>
      <c r="AL7" s="20">
        <f t="shared" si="4"/>
        <v>6.3561344603907548</v>
      </c>
      <c r="AM7" s="59">
        <f t="shared" si="5"/>
        <v>299.68946779372408</v>
      </c>
      <c r="AN7" s="59">
        <f ca="1">AVERAGE(OFFSET($AM$3,0,0,'Données projet'!$E$10+1,1))-AVERAGE(OFFSET($H$3,0,0,'Données projet'!$E$10+1,1))</f>
        <v>331.52724290297675</v>
      </c>
      <c r="AO7" s="59">
        <f t="shared" si="36"/>
        <v>322.79102610158054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2.1781836526138068</v>
      </c>
      <c r="BF7" s="13">
        <f t="shared" si="37"/>
        <v>0.91683748264221798</v>
      </c>
      <c r="BG7" s="20">
        <f t="shared" si="7"/>
        <v>5.3904951439042428</v>
      </c>
      <c r="BH7" s="59">
        <f t="shared" si="8"/>
        <v>298.72382847723753</v>
      </c>
      <c r="BI7" s="59">
        <f ca="1">AVERAGE(OFFSET($BH$3,0,0,'Données projet'!$E$11+1,1))-AVERAGE(OFFSET($H$3,0,0,'Données projet'!$E$11+1,1))</f>
        <v>273.84349636755343</v>
      </c>
      <c r="BJ7" s="59">
        <f t="shared" si="38"/>
        <v>268.10688874775451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3.7333333333333334</v>
      </c>
      <c r="N8" s="13">
        <f>IF('Données projet'!$A$36&gt;35,N7+M8-V7,IF(A8&lt;'Données projet'!$A$36,$K$205^A8,IF(A8='Données projet'!$A$36,'Données projet'!$B$36,N7+M8-V7)))</f>
        <v>3.8258623655447765</v>
      </c>
      <c r="O8" s="13">
        <f>N8*VLOOKUP('Données projet'!$B$9,Paramètres!$A$1:$I$89,3,0)*VLOOKUP('Données projet'!$B$9,Paramètres!$A$1:$I$89,5,0)</f>
        <v>1.8899760085791197</v>
      </c>
      <c r="P8" s="13">
        <f t="shared" si="33"/>
        <v>0.80877709597024838</v>
      </c>
      <c r="Q8" s="20">
        <f t="shared" si="2"/>
        <v>4.7003283237568159</v>
      </c>
      <c r="R8" s="59">
        <f t="shared" si="0"/>
        <v>298.03366165709014</v>
      </c>
      <c r="S8" s="59">
        <f ca="1">AVERAGE(OFFSET($R$3,0,0,'Données projet'!$E$9+1,1))-AVERAGE(OFFSET($H$3,0,0,'Données projet'!$E$9+1,1))</f>
        <v>434.08297999735811</v>
      </c>
      <c r="T8" s="59">
        <f t="shared" si="34"/>
        <v>371.04090283546122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3.467939999480961</v>
      </c>
      <c r="AK8" s="13">
        <f t="shared" si="35"/>
        <v>1.382799801337496</v>
      </c>
      <c r="AL8" s="20">
        <f t="shared" si="4"/>
        <v>8.4483718197588118</v>
      </c>
      <c r="AM8" s="59">
        <f t="shared" si="5"/>
        <v>301.7817051530921</v>
      </c>
      <c r="AN8" s="59">
        <f ca="1">AVERAGE(OFFSET($AM$3,0,0,'Données projet'!$E$10+1,1))-AVERAGE(OFFSET($H$3,0,0,'Données projet'!$E$10+1,1))</f>
        <v>331.52724290297675</v>
      </c>
      <c r="AO8" s="59">
        <f t="shared" si="36"/>
        <v>322.79102610158054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2.9239494113270847</v>
      </c>
      <c r="BF8" s="13">
        <f t="shared" si="37"/>
        <v>1.1892770227069605</v>
      </c>
      <c r="BG8" s="20">
        <f t="shared" si="7"/>
        <v>7.1638693726092955</v>
      </c>
      <c r="BH8" s="59">
        <f t="shared" si="8"/>
        <v>300.49720270594258</v>
      </c>
      <c r="BI8" s="59">
        <f ca="1">AVERAGE(OFFSET($BH$3,0,0,'Données projet'!$E$11+1,1))-AVERAGE(OFFSET($H$3,0,0,'Données projet'!$E$11+1,1))</f>
        <v>273.84349636755343</v>
      </c>
      <c r="BJ8" s="59">
        <f t="shared" si="38"/>
        <v>268.10688874775451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3.7333333333333334</v>
      </c>
      <c r="N9" s="13">
        <f>IF('Données projet'!$A$36&gt;35,N8+M9-V8,IF(A9&lt;'Données projet'!$A$36,$K$205^A9,IF(A9='Données projet'!$A$36,'Données projet'!$B$36,N8+M9-V8)))</f>
        <v>5.0035150542816851</v>
      </c>
      <c r="O9" s="13">
        <f>N9*VLOOKUP('Données projet'!$B$9,Paramètres!$A$1:$I$89,3,0)*VLOOKUP('Données projet'!$B$9,Paramètres!$A$1:$I$89,5,0)</f>
        <v>2.4717364368151524</v>
      </c>
      <c r="P9" s="13">
        <f t="shared" si="33"/>
        <v>1.0252004147388838</v>
      </c>
      <c r="Q9" s="20">
        <f t="shared" si="2"/>
        <v>6.0904983497899456</v>
      </c>
      <c r="R9" s="59">
        <f t="shared" si="0"/>
        <v>299.42383168312324</v>
      </c>
      <c r="S9" s="59">
        <f ca="1">AVERAGE(OFFSET($R$3,0,0,'Données projet'!$E$9+1,1))-AVERAGE(OFFSET($H$3,0,0,'Données projet'!$E$9+1,1))</f>
        <v>434.08297999735811</v>
      </c>
      <c r="T9" s="59">
        <f t="shared" si="34"/>
        <v>371.04090283546122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4.6552920860607747</v>
      </c>
      <c r="AK9" s="13">
        <f t="shared" si="35"/>
        <v>1.7937006960002178</v>
      </c>
      <c r="AL9" s="20">
        <f t="shared" si="4"/>
        <v>11.231995762089561</v>
      </c>
      <c r="AM9" s="59">
        <f t="shared" si="5"/>
        <v>304.5653290954229</v>
      </c>
      <c r="AN9" s="59">
        <f ca="1">AVERAGE(OFFSET($AM$3,0,0,'Données projet'!$E$10+1,1))-AVERAGE(OFFSET($H$3,0,0,'Données projet'!$E$10+1,1))</f>
        <v>331.52724290297675</v>
      </c>
      <c r="AO9" s="59">
        <f t="shared" si="36"/>
        <v>322.79102610158054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3.9250501902081041</v>
      </c>
      <c r="BF9" s="13">
        <f t="shared" si="37"/>
        <v>1.5426723530790381</v>
      </c>
      <c r="BG9" s="20">
        <f t="shared" si="7"/>
        <v>9.5229500962251041</v>
      </c>
      <c r="BH9" s="59">
        <f t="shared" si="8"/>
        <v>302.8562834295584</v>
      </c>
      <c r="BI9" s="59">
        <f ca="1">AVERAGE(OFFSET($BH$3,0,0,'Données projet'!$E$11+1,1))-AVERAGE(OFFSET($H$3,0,0,'Données projet'!$E$11+1,1))</f>
        <v>273.84349636755343</v>
      </c>
      <c r="BJ9" s="59">
        <f t="shared" si="38"/>
        <v>268.10688874775451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3.7333333333333334</v>
      </c>
      <c r="N10" s="13">
        <f>IF('Données projet'!$A$36&gt;35,N9+M10-V9,IF(A10&lt;'Données projet'!$A$36,$K$205^A10,IF(A10='Données projet'!$A$36,'Données projet'!$B$36,N9+M10-V9)))</f>
        <v>6.5436653246825864</v>
      </c>
      <c r="O10" s="13">
        <f>N10*VLOOKUP('Données projet'!$B$9,Paramètres!$A$1:$I$89,3,0)*VLOOKUP('Données projet'!$B$9,Paramètres!$A$1:$I$89,5,0)</f>
        <v>3.2325706703931978</v>
      </c>
      <c r="P10" s="13">
        <f t="shared" si="33"/>
        <v>1.2995371600130508</v>
      </c>
      <c r="Q10" s="20">
        <f t="shared" si="2"/>
        <v>7.8934211379575494</v>
      </c>
      <c r="R10" s="59">
        <f t="shared" si="0"/>
        <v>301.22675447129086</v>
      </c>
      <c r="S10" s="59">
        <f ca="1">AVERAGE(OFFSET($R$3,0,0,'Données projet'!$E$9+1,1))-AVERAGE(OFFSET($H$3,0,0,'Données projet'!$E$9+1,1))</f>
        <v>434.08297999735811</v>
      </c>
      <c r="T10" s="59">
        <f t="shared" si="34"/>
        <v>371.04090283546122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6.2491693656129108</v>
      </c>
      <c r="AK10" s="13">
        <f t="shared" si="35"/>
        <v>2.326701366112224</v>
      </c>
      <c r="AL10" s="20">
        <f t="shared" si="4"/>
        <v>14.936308191087944</v>
      </c>
      <c r="AM10" s="59">
        <f t="shared" si="5"/>
        <v>308.26964152442127</v>
      </c>
      <c r="AN10" s="59">
        <f ca="1">AVERAGE(OFFSET($AM$3,0,0,'Données projet'!$E$10+1,1))-AVERAGE(OFFSET($H$3,0,0,'Données projet'!$E$10+1,1))</f>
        <v>331.52724290297675</v>
      </c>
      <c r="AO10" s="59">
        <f t="shared" si="36"/>
        <v>322.79102610158054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5.268907504340298</v>
      </c>
      <c r="BF10" s="13">
        <f t="shared" si="37"/>
        <v>2.0010796000561526</v>
      </c>
      <c r="BG10" s="20">
        <f t="shared" si="7"/>
        <v>12.661894206823819</v>
      </c>
      <c r="BH10" s="59">
        <f t="shared" si="8"/>
        <v>305.99522754015715</v>
      </c>
      <c r="BI10" s="59">
        <f ca="1">AVERAGE(OFFSET($BH$3,0,0,'Données projet'!$E$11+1,1))-AVERAGE(OFFSET($H$3,0,0,'Données projet'!$E$11+1,1))</f>
        <v>273.84349636755343</v>
      </c>
      <c r="BJ10" s="59">
        <f t="shared" si="38"/>
        <v>268.10688874775451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3.7333333333333334</v>
      </c>
      <c r="N11" s="13">
        <f>IF('Données projet'!$A$36&gt;35,N10+M11-V10,IF(A11&lt;'Données projet'!$A$36,$K$205^A11,IF(A11='Données projet'!$A$36,'Données projet'!$B$36,N10+M11-V10)))</f>
        <v>8.5578948832803157</v>
      </c>
      <c r="O11" s="13">
        <f>N11*VLOOKUP('Données projet'!$B$9,Paramètres!$A$1:$I$89,3,0)*VLOOKUP('Données projet'!$B$9,Paramètres!$A$1:$I$89,5,0)</f>
        <v>4.2276000723404765</v>
      </c>
      <c r="P11" s="13">
        <f t="shared" si="33"/>
        <v>1.6472845757528478</v>
      </c>
      <c r="Q11" s="20">
        <f t="shared" si="2"/>
        <v>10.232090762095874</v>
      </c>
      <c r="R11" s="59">
        <f t="shared" si="0"/>
        <v>303.56542409542919</v>
      </c>
      <c r="S11" s="59">
        <f ca="1">AVERAGE(OFFSET($R$3,0,0,'Données projet'!$E$9+1,1))-AVERAGE(OFFSET($H$3,0,0,'Données projet'!$E$9+1,1))</f>
        <v>434.08297999735811</v>
      </c>
      <c r="T11" s="59">
        <f t="shared" si="34"/>
        <v>371.04090283546122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8.3887577918145393</v>
      </c>
      <c r="AK11" s="13">
        <f t="shared" si="35"/>
        <v>3.0180839306915423</v>
      </c>
      <c r="AL11" s="20">
        <f t="shared" si="4"/>
        <v>19.866916000031427</v>
      </c>
      <c r="AM11" s="59">
        <f t="shared" si="5"/>
        <v>313.20024933336475</v>
      </c>
      <c r="AN11" s="59">
        <f ca="1">AVERAGE(OFFSET($AM$3,0,0,'Données projet'!$E$10+1,1))-AVERAGE(OFFSET($H$3,0,0,'Données projet'!$E$10+1,1))</f>
        <v>331.52724290297675</v>
      </c>
      <c r="AO11" s="59">
        <f t="shared" si="36"/>
        <v>322.79102610158054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7.0728742166279446</v>
      </c>
      <c r="BF11" s="13">
        <f t="shared" si="37"/>
        <v>2.5957032015052466</v>
      </c>
      <c r="BG11" s="20">
        <f t="shared" si="7"/>
        <v>16.839439003248639</v>
      </c>
      <c r="BH11" s="59">
        <f t="shared" si="8"/>
        <v>310.17277233658194</v>
      </c>
      <c r="BI11" s="59">
        <f ca="1">AVERAGE(OFFSET($BH$3,0,0,'Données projet'!$E$11+1,1))-AVERAGE(OFFSET($H$3,0,0,'Données projet'!$E$11+1,1))</f>
        <v>273.84349636755343</v>
      </c>
      <c r="BJ11" s="59">
        <f t="shared" si="38"/>
        <v>268.10688874775451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3.7333333333333334</v>
      </c>
      <c r="N12" s="13">
        <f>IF('Données projet'!$A$36&gt;35,N11+M12-V11,IF(A12&lt;'Données projet'!$A$36,$K$205^A12,IF(A12='Données projet'!$A$36,'Données projet'!$B$36,N11+M12-V11)))</f>
        <v>11.192131809832121</v>
      </c>
      <c r="O12" s="13">
        <f>N12*VLOOKUP('Données projet'!$B$9,Paramètres!$A$1:$I$89,3,0)*VLOOKUP('Données projet'!$B$9,Paramètres!$A$1:$I$89,5,0)</f>
        <v>5.5289131140570689</v>
      </c>
      <c r="P12" s="13">
        <f t="shared" si="33"/>
        <v>2.0880868643155912</v>
      </c>
      <c r="Q12" s="20">
        <f t="shared" si="2"/>
        <v>13.266274962332382</v>
      </c>
      <c r="R12" s="59">
        <f t="shared" si="0"/>
        <v>306.59960829566569</v>
      </c>
      <c r="S12" s="59">
        <f ca="1">AVERAGE(OFFSET($R$3,0,0,'Données projet'!$E$9+1,1))-AVERAGE(OFFSET($H$3,0,0,'Données projet'!$E$9+1,1))</f>
        <v>434.08297999735811</v>
      </c>
      <c r="T12" s="59">
        <f t="shared" si="34"/>
        <v>371.04090283546122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11.260897756581638</v>
      </c>
      <c r="AK12" s="13">
        <f t="shared" si="35"/>
        <v>3.9149117911590028</v>
      </c>
      <c r="AL12" s="20">
        <f t="shared" si="4"/>
        <v>26.431201628981615</v>
      </c>
      <c r="AM12" s="59">
        <f t="shared" si="5"/>
        <v>319.76453496231494</v>
      </c>
      <c r="AN12" s="59">
        <f ca="1">AVERAGE(OFFSET($AM$3,0,0,'Données projet'!$E$10+1,1))-AVERAGE(OFFSET($H$3,0,0,'Données projet'!$E$10+1,1))</f>
        <v>331.52724290297675</v>
      </c>
      <c r="AO12" s="59">
        <f t="shared" si="36"/>
        <v>322.79102610158054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9.4944824222158921</v>
      </c>
      <c r="BF12" s="13">
        <f t="shared" si="37"/>
        <v>3.3670200376414416</v>
      </c>
      <c r="BG12" s="20">
        <f t="shared" si="7"/>
        <v>22.400450117584857</v>
      </c>
      <c r="BH12" s="59">
        <f t="shared" si="8"/>
        <v>315.73378345091817</v>
      </c>
      <c r="BI12" s="59">
        <f ca="1">AVERAGE(OFFSET($BH$3,0,0,'Données projet'!$E$11+1,1))-AVERAGE(OFFSET($H$3,0,0,'Données projet'!$E$11+1,1))</f>
        <v>273.84349636755343</v>
      </c>
      <c r="BJ12" s="59">
        <f t="shared" si="38"/>
        <v>268.10688874775451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3.7333333333333334</v>
      </c>
      <c r="N13" s="13">
        <f>IF('Données projet'!$A$36&gt;35,N12+M13-V12,IF(A13&lt;'Données projet'!$A$36,$K$205^A13,IF(A13='Données projet'!$A$36,'Données projet'!$B$36,N12+M13-V12)))</f>
        <v>14.637222840091875</v>
      </c>
      <c r="O13" s="13">
        <f>N13*VLOOKUP('Données projet'!$B$9,Paramètres!$A$1:$I$89,3,0)*VLOOKUP('Données projet'!$B$9,Paramètres!$A$1:$I$89,5,0)</f>
        <v>7.230788083005387</v>
      </c>
      <c r="P13" s="13">
        <f t="shared" si="33"/>
        <v>2.6468448846700614</v>
      </c>
      <c r="Q13" s="20">
        <f t="shared" si="2"/>
        <v>17.203544085368073</v>
      </c>
      <c r="R13" s="59">
        <f t="shared" si="0"/>
        <v>310.53687741870141</v>
      </c>
      <c r="S13" s="59">
        <f ca="1">AVERAGE(OFFSET($R$3,0,0,'Données projet'!$E$9+1,1))-AVERAGE(OFFSET($H$3,0,0,'Données projet'!$E$9+1,1))</f>
        <v>434.08297999735811</v>
      </c>
      <c r="T13" s="59">
        <f t="shared" si="34"/>
        <v>371.04090283546122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15.116400000000001</v>
      </c>
      <c r="AK13" s="13">
        <f t="shared" si="35"/>
        <v>5.0782333044806913</v>
      </c>
      <c r="AL13" s="20">
        <f t="shared" si="4"/>
        <v>35.172319671970541</v>
      </c>
      <c r="AM13" s="59">
        <f t="shared" si="5"/>
        <v>328.50565300530388</v>
      </c>
      <c r="AN13" s="59">
        <f ca="1">AVERAGE(OFFSET($AM$3,0,0,'Données projet'!$E$10+1,1))-AVERAGE(OFFSET($H$3,0,0,'Données projet'!$E$10+1,1))</f>
        <v>331.52724290297675</v>
      </c>
      <c r="AO13" s="59">
        <f t="shared" si="36"/>
        <v>322.79102610158054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12.745200000000001</v>
      </c>
      <c r="BF13" s="13">
        <f t="shared" si="37"/>
        <v>4.3675347502382973</v>
      </c>
      <c r="BG13" s="20">
        <f t="shared" si="7"/>
        <v>29.804679689998366</v>
      </c>
      <c r="BH13" s="59">
        <f t="shared" si="8"/>
        <v>323.13801302333167</v>
      </c>
      <c r="BI13" s="59">
        <f ca="1">AVERAGE(OFFSET($BH$3,0,0,'Données projet'!$E$11+1,1))-AVERAGE(OFFSET($H$3,0,0,'Données projet'!$E$11+1,1))</f>
        <v>273.84349636755343</v>
      </c>
      <c r="BJ13" s="59">
        <f t="shared" si="38"/>
        <v>268.10688874775451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3.7333333333333334</v>
      </c>
      <c r="N14" s="13">
        <f>IF('Données projet'!$A$36&gt;35,N13+M14-V13,IF(A14&lt;'Données projet'!$A$36,$K$205^A14,IF(A14='Données projet'!$A$36,'Données projet'!$B$36,N13+M14-V13)))</f>
        <v>19.142759941613029</v>
      </c>
      <c r="O14" s="13">
        <f>N14*VLOOKUP('Données projet'!$B$9,Paramètres!$A$1:$I$89,3,0)*VLOOKUP('Données projet'!$B$9,Paramètres!$A$1:$I$89,5,0)</f>
        <v>9.4565234111568373</v>
      </c>
      <c r="P14" s="13">
        <f t="shared" si="33"/>
        <v>3.3551227983996466</v>
      </c>
      <c r="Q14" s="20">
        <f t="shared" si="2"/>
        <v>22.313617148310872</v>
      </c>
      <c r="R14" s="59">
        <f t="shared" si="0"/>
        <v>315.64695048164418</v>
      </c>
      <c r="S14" s="59">
        <f ca="1">AVERAGE(OFFSET($R$3,0,0,'Données projet'!$E$9+1,1))-AVERAGE(OFFSET($H$3,0,0,'Données projet'!$E$9+1,1))</f>
        <v>434.08297999735811</v>
      </c>
      <c r="T14" s="59">
        <f t="shared" si="34"/>
        <v>371.04090283546122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14.6</v>
      </c>
      <c r="AI14" s="13">
        <f>IF('Données projet'!$A$62&gt;35,AI13+AH14-AQ13,IF(A14&lt;'Données projet'!$A$62,$AF$205^A14,IF(A14='Données projet'!$A$62,'Données projet'!$B$62,AI13+AH14-AQ13)))</f>
        <v>26.6</v>
      </c>
      <c r="AJ14" s="13">
        <f>AI14*VLOOKUP('Données projet'!$B$10,Paramètres!$A$1:$I$89,3,0)*VLOOKUP('Données projet'!$B$10,Paramètres!$A$1:$I$89,5,0)</f>
        <v>21.162960000000002</v>
      </c>
      <c r="AK14" s="13">
        <f t="shared" si="35"/>
        <v>6.8364616466980515</v>
      </c>
      <c r="AL14" s="20">
        <f t="shared" si="4"/>
        <v>48.765659367999113</v>
      </c>
      <c r="AM14" s="59">
        <f t="shared" si="5"/>
        <v>342.09899270133241</v>
      </c>
      <c r="AN14" s="59">
        <f ca="1">AVERAGE(OFFSET($AM$3,0,0,'Données projet'!$E$10+1,1))-AVERAGE(OFFSET($H$3,0,0,'Données projet'!$E$10+1,1))</f>
        <v>331.52724290297675</v>
      </c>
      <c r="AO14" s="59">
        <f t="shared" si="36"/>
        <v>322.79102610158054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17.84328</v>
      </c>
      <c r="BF14" s="13">
        <f t="shared" si="37"/>
        <v>5.8796991040722624</v>
      </c>
      <c r="BG14" s="20">
        <f t="shared" si="7"/>
        <v>41.317521939592524</v>
      </c>
      <c r="BH14" s="59">
        <f t="shared" si="8"/>
        <v>334.65085527292581</v>
      </c>
      <c r="BI14" s="59">
        <f ca="1">AVERAGE(OFFSET($BH$3,0,0,'Données projet'!$E$11+1,1))-AVERAGE(OFFSET($H$3,0,0,'Données projet'!$E$11+1,1))</f>
        <v>273.84349636755343</v>
      </c>
      <c r="BJ14" s="59">
        <f t="shared" si="38"/>
        <v>268.10688874775451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3.7333333333333334</v>
      </c>
      <c r="N15" s="13">
        <f>IF('Données projet'!$A$36&gt;35,N14+M15-V14,IF(A15&lt;'Données projet'!$A$36,$K$205^A15,IF(A15='Données projet'!$A$36,'Données projet'!$B$36,N14+M15-V14)))</f>
        <v>25.035162898423447</v>
      </c>
      <c r="O15" s="13">
        <f>N15*VLOOKUP('Données projet'!$B$9,Paramètres!$A$1:$I$89,3,0)*VLOOKUP('Données projet'!$B$9,Paramètres!$A$1:$I$89,5,0)</f>
        <v>12.367370471821184</v>
      </c>
      <c r="P15" s="13">
        <f t="shared" si="33"/>
        <v>4.2529311247282564</v>
      </c>
      <c r="Q15" s="20">
        <f t="shared" si="2"/>
        <v>28.947025280656934</v>
      </c>
      <c r="R15" s="59">
        <f t="shared" si="0"/>
        <v>322.28035861399024</v>
      </c>
      <c r="S15" s="59">
        <f ca="1">AVERAGE(OFFSET($R$3,0,0,'Données projet'!$E$9+1,1))-AVERAGE(OFFSET($H$3,0,0,'Données projet'!$E$9+1,1))</f>
        <v>434.08297999735811</v>
      </c>
      <c r="T15" s="59">
        <f t="shared" si="34"/>
        <v>371.04090283546122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14.6</v>
      </c>
      <c r="AI15" s="13">
        <f>IF('Données projet'!$A$62&gt;35,AI14+AH15-AQ14,IF(A15&lt;'Données projet'!$A$62,$AF$205^A15,IF(A15='Données projet'!$A$62,'Données projet'!$B$62,AI14+AH15-AQ14)))</f>
        <v>41.2</v>
      </c>
      <c r="AJ15" s="13">
        <f>AI15*VLOOKUP('Données projet'!$B$10,Paramètres!$A$1:$I$89,3,0)*VLOOKUP('Données projet'!$B$10,Paramètres!$A$1:$I$89,5,0)</f>
        <v>32.77872</v>
      </c>
      <c r="AK15" s="13">
        <f t="shared" si="35"/>
        <v>10.063038810723747</v>
      </c>
      <c r="AL15" s="20">
        <f t="shared" si="4"/>
        <v>74.616063262010528</v>
      </c>
      <c r="AM15" s="59">
        <f t="shared" si="5"/>
        <v>367.94939659534384</v>
      </c>
      <c r="AN15" s="59">
        <f ca="1">AVERAGE(OFFSET($AM$3,0,0,'Données projet'!$E$10+1,1))-AVERAGE(OFFSET($H$3,0,0,'Données projet'!$E$10+1,1))</f>
        <v>331.52724290297675</v>
      </c>
      <c r="AO15" s="59">
        <f t="shared" si="36"/>
        <v>322.79102610158054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27.636960000000002</v>
      </c>
      <c r="BF15" s="13">
        <f t="shared" si="37"/>
        <v>8.654716918983123</v>
      </c>
      <c r="BG15" s="20">
        <f t="shared" si="7"/>
        <v>63.20800396722894</v>
      </c>
      <c r="BH15" s="59">
        <f t="shared" si="8"/>
        <v>356.54133730056225</v>
      </c>
      <c r="BI15" s="59">
        <f ca="1">AVERAGE(OFFSET($BH$3,0,0,'Données projet'!$E$11+1,1))-AVERAGE(OFFSET($H$3,0,0,'Données projet'!$E$11+1,1))</f>
        <v>273.84349636755343</v>
      </c>
      <c r="BJ15" s="59">
        <f t="shared" si="38"/>
        <v>268.10688874775451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3.7333333333333334</v>
      </c>
      <c r="N16" s="13">
        <f>IF('Données projet'!$A$36&gt;35,N15+M16-V15,IF(A16&lt;'Données projet'!$A$36,$K$205^A16,IF(A16='Données projet'!$A$36,'Données projet'!$B$36,N15+M16-V15)))</f>
        <v>32.741327962230365</v>
      </c>
      <c r="O16" s="13">
        <f>N16*VLOOKUP('Données projet'!$B$9,Paramètres!$A$1:$I$89,3,0)*VLOOKUP('Données projet'!$B$9,Paramètres!$A$1:$I$89,5,0)</f>
        <v>16.174216013341802</v>
      </c>
      <c r="P16" s="13">
        <f t="shared" si="33"/>
        <v>5.390986929095364</v>
      </c>
      <c r="Q16" s="20">
        <f t="shared" si="2"/>
        <v>37.559395124744732</v>
      </c>
      <c r="R16" s="59">
        <f t="shared" si="0"/>
        <v>330.89272845807807</v>
      </c>
      <c r="S16" s="59">
        <f ca="1">AVERAGE(OFFSET($R$3,0,0,'Données projet'!$E$9+1,1))-AVERAGE(OFFSET($H$3,0,0,'Données projet'!$E$9+1,1))</f>
        <v>434.08297999735811</v>
      </c>
      <c r="T16" s="59">
        <f t="shared" si="34"/>
        <v>371.04090283546122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14.6</v>
      </c>
      <c r="AI16" s="13">
        <f>IF('Données projet'!$A$62&gt;35,AI15+AH16-AQ15,IF(A16&lt;'Données projet'!$A$62,$AF$205^A16,IF(A16='Données projet'!$A$62,'Données projet'!$B$62,AI15+AH16-AQ15)))</f>
        <v>55.800000000000004</v>
      </c>
      <c r="AJ16" s="13">
        <f>AI16*VLOOKUP('Données projet'!$B$10,Paramètres!$A$1:$I$89,3,0)*VLOOKUP('Données projet'!$B$10,Paramètres!$A$1:$I$89,5,0)</f>
        <v>44.394480000000001</v>
      </c>
      <c r="AK16" s="13">
        <f t="shared" si="35"/>
        <v>13.1562447968447</v>
      </c>
      <c r="AL16" s="20">
        <f t="shared" si="4"/>
        <v>100.2341790211712</v>
      </c>
      <c r="AM16" s="59">
        <f t="shared" si="5"/>
        <v>393.56751235450452</v>
      </c>
      <c r="AN16" s="59">
        <f ca="1">AVERAGE(OFFSET($AM$3,0,0,'Données projet'!$E$10+1,1))-AVERAGE(OFFSET($H$3,0,0,'Données projet'!$E$10+1,1))</f>
        <v>331.52724290297675</v>
      </c>
      <c r="AO16" s="59">
        <f t="shared" si="36"/>
        <v>322.79102610158054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37.430640000000004</v>
      </c>
      <c r="BF16" s="13">
        <f t="shared" si="37"/>
        <v>11.315028847170499</v>
      </c>
      <c r="BG16" s="20">
        <f t="shared" si="7"/>
        <v>84.898706575488632</v>
      </c>
      <c r="BH16" s="59">
        <f t="shared" si="8"/>
        <v>378.23203990882195</v>
      </c>
      <c r="BI16" s="59">
        <f ca="1">AVERAGE(OFFSET($BH$3,0,0,'Données projet'!$E$11+1,1))-AVERAGE(OFFSET($H$3,0,0,'Données projet'!$E$11+1,1))</f>
        <v>273.84349636755343</v>
      </c>
      <c r="BJ16" s="59">
        <f t="shared" si="38"/>
        <v>268.10688874775451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3.7333333333333334</v>
      </c>
      <c r="N17" s="13">
        <f>IF('Données projet'!$A$36&gt;35,N16+M17-V16,IF(A17&lt;'Données projet'!$A$36,$K$205^A17,IF(A17='Données projet'!$A$36,'Données projet'!$B$36,N16+M17-V16)))</f>
        <v>42.819555881453262</v>
      </c>
      <c r="O17" s="13">
        <f>N17*VLOOKUP('Données projet'!$B$9,Paramètres!$A$1:$I$89,3,0)*VLOOKUP('Données projet'!$B$9,Paramètres!$A$1:$I$89,5,0)</f>
        <v>21.152860605437912</v>
      </c>
      <c r="P17" s="13">
        <f t="shared" si="33"/>
        <v>6.8335788230132817</v>
      </c>
      <c r="Q17" s="20">
        <f t="shared" si="2"/>
        <v>48.743048671219157</v>
      </c>
      <c r="R17" s="59">
        <f t="shared" si="0"/>
        <v>342.07638200455244</v>
      </c>
      <c r="S17" s="59">
        <f ca="1">AVERAGE(OFFSET($R$3,0,0,'Données projet'!$E$9+1,1))-AVERAGE(OFFSET($H$3,0,0,'Données projet'!$E$9+1,1))</f>
        <v>434.08297999735811</v>
      </c>
      <c r="T17" s="59">
        <f t="shared" si="34"/>
        <v>371.04090283546122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14.6</v>
      </c>
      <c r="AI17" s="13">
        <f>IF('Données projet'!$A$62&gt;35,AI16+AH17-AQ16,IF(A17&lt;'Données projet'!$A$62,$AF$205^A17,IF(A17='Données projet'!$A$62,'Données projet'!$B$62,AI16+AH17-AQ16)))</f>
        <v>70.400000000000006</v>
      </c>
      <c r="AJ17" s="13">
        <f>AI17*VLOOKUP('Données projet'!$B$10,Paramètres!$A$1:$I$89,3,0)*VLOOKUP('Données projet'!$B$10,Paramètres!$A$1:$I$89,5,0)</f>
        <v>56.01024000000001</v>
      </c>
      <c r="AK17" s="13">
        <f t="shared" si="35"/>
        <v>16.155528478402793</v>
      </c>
      <c r="AL17" s="20">
        <f t="shared" si="4"/>
        <v>125.68871343321821</v>
      </c>
      <c r="AM17" s="59">
        <f t="shared" si="5"/>
        <v>419.02204676655151</v>
      </c>
      <c r="AN17" s="59">
        <f ca="1">AVERAGE(OFFSET($AM$3,0,0,'Données projet'!$E$10+1,1))-AVERAGE(OFFSET($H$3,0,0,'Données projet'!$E$10+1,1))</f>
        <v>331.52724290297675</v>
      </c>
      <c r="AO17" s="59">
        <f t="shared" si="36"/>
        <v>322.79102610158054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47.224320000000006</v>
      </c>
      <c r="BF17" s="13">
        <f t="shared" si="37"/>
        <v>13.894562893680241</v>
      </c>
      <c r="BG17" s="20">
        <f t="shared" si="7"/>
        <v>106.44872103982642</v>
      </c>
      <c r="BH17" s="59">
        <f t="shared" si="8"/>
        <v>399.78205437315972</v>
      </c>
      <c r="BI17" s="59">
        <f ca="1">AVERAGE(OFFSET($BH$3,0,0,'Données projet'!$E$11+1,1))-AVERAGE(OFFSET($H$3,0,0,'Données projet'!$E$11+1,1))</f>
        <v>273.84349636755343</v>
      </c>
      <c r="BJ17" s="59">
        <f t="shared" si="38"/>
        <v>268.10688874775451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56</v>
      </c>
      <c r="L18" s="12">
        <f>VLOOKUP(A18,'Données projet'!$A$35:$I$55,9,0)</f>
        <v>3.7333333333333334</v>
      </c>
      <c r="M18" s="12">
        <f t="array" ref="M18">INDEX(L:L,MIN(IF(ISNUMBER(L18:L214),ROW(L18:L214),"")))</f>
        <v>3.7333333333333334</v>
      </c>
      <c r="N18" s="13">
        <f>IF('Données projet'!$A$36&gt;35,N17+M18-V17,IF(A18&lt;'Données projet'!$A$36,$K$205^A18,IF(A18='Données projet'!$A$36,'Données projet'!$B$36,N17+M18-V17)))</f>
        <v>56</v>
      </c>
      <c r="O18" s="13">
        <f>N18*VLOOKUP('Données projet'!$B$9,Paramètres!$A$1:$I$89,3,0)*VLOOKUP('Données projet'!$B$9,Paramètres!$A$1:$I$89,5,0)</f>
        <v>27.664000000000001</v>
      </c>
      <c r="P18" s="13">
        <f t="shared" si="33"/>
        <v>8.6621986186436075</v>
      </c>
      <c r="Q18" s="20">
        <f t="shared" si="2"/>
        <v>63.26812926080428</v>
      </c>
      <c r="R18" s="59">
        <f t="shared" si="0"/>
        <v>356.60146259413762</v>
      </c>
      <c r="S18" s="59">
        <f ca="1">AVERAGE(OFFSET($R$3,0,0,'Données projet'!$E$9+1,1))-AVERAGE(OFFSET($H$3,0,0,'Données projet'!$E$9+1,1))</f>
        <v>434.08297999735811</v>
      </c>
      <c r="T18" s="59">
        <f t="shared" si="34"/>
        <v>371.04090283546122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85</v>
      </c>
      <c r="AG18" s="12">
        <f>VLOOKUP(A18,'Données projet'!$A$61:$I$81,9,0)</f>
        <v>14.6</v>
      </c>
      <c r="AH18" s="12">
        <f t="array" ref="AH18">INDEX(AG:AG,MIN(IF(ISNUMBER(AG18:AG214),ROW(AG18:AG214),"")))</f>
        <v>14.6</v>
      </c>
      <c r="AI18" s="13">
        <f>IF('Données projet'!$A$62&gt;35,AI17+AH18-AQ17,IF(A18&lt;'Données projet'!$A$62,$AF$205^A18,IF(A18='Données projet'!$A$62,'Données projet'!$B$62,AI17+AH18-AQ17)))</f>
        <v>85</v>
      </c>
      <c r="AJ18" s="13">
        <f>AI18*VLOOKUP('Données projet'!$B$10,Paramètres!$A$1:$I$89,3,0)*VLOOKUP('Données projet'!$B$10,Paramètres!$A$1:$I$89,5,0)</f>
        <v>67.626000000000005</v>
      </c>
      <c r="AK18" s="13">
        <f t="shared" si="35"/>
        <v>19.082731089464875</v>
      </c>
      <c r="AL18" s="20">
        <f t="shared" si="4"/>
        <v>151.01770664748466</v>
      </c>
      <c r="AM18" s="59">
        <f t="shared" si="5"/>
        <v>444.35103998081797</v>
      </c>
      <c r="AN18" s="59">
        <f ca="1">AVERAGE(OFFSET($AM$3,0,0,'Données projet'!$E$10+1,1))-AVERAGE(OFFSET($H$3,0,0,'Données projet'!$E$10+1,1))</f>
        <v>331.52724290297675</v>
      </c>
      <c r="AO18" s="59">
        <f t="shared" si="36"/>
        <v>322.79102610158054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57.018000000000001</v>
      </c>
      <c r="BF18" s="13">
        <f t="shared" si="37"/>
        <v>16.412103612717626</v>
      </c>
      <c r="BG18" s="20">
        <f t="shared" si="7"/>
        <v>127.89076379214985</v>
      </c>
      <c r="BH18" s="59">
        <f t="shared" si="8"/>
        <v>421.22409712548318</v>
      </c>
      <c r="BI18" s="59">
        <f ca="1">AVERAGE(OFFSET($BH$3,0,0,'Données projet'!$E$11+1,1))-AVERAGE(OFFSET($H$3,0,0,'Données projet'!$E$11+1,1))</f>
        <v>273.84349636755343</v>
      </c>
      <c r="BJ18" s="59">
        <f t="shared" si="38"/>
        <v>268.10688874775451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25.8</v>
      </c>
      <c r="N19" s="13">
        <f>IF('Données projet'!$A$36&gt;35,N18+M19-V18,IF(A19&lt;'Données projet'!$A$36,$K$205^A19,IF(A19='Données projet'!$A$36,'Données projet'!$B$36,N18+M19-V18)))</f>
        <v>81.8</v>
      </c>
      <c r="O19" s="13">
        <f>N19*VLOOKUP('Données projet'!$B$9,Paramètres!$A$1:$I$89,3,0)*VLOOKUP('Données projet'!$B$9,Paramètres!$A$1:$I$89,5,0)</f>
        <v>40.409199999999998</v>
      </c>
      <c r="P19" s="13">
        <f t="shared" si="33"/>
        <v>12.107041081610836</v>
      </c>
      <c r="Q19" s="20">
        <f t="shared" si="2"/>
        <v>91.465786550472217</v>
      </c>
      <c r="R19" s="59">
        <f t="shared" si="0"/>
        <v>384.79911988380553</v>
      </c>
      <c r="S19" s="59">
        <f ca="1">AVERAGE(OFFSET($R$3,0,0,'Données projet'!$E$9+1,1))-AVERAGE(OFFSET($H$3,0,0,'Données projet'!$E$9+1,1))</f>
        <v>434.08297999735811</v>
      </c>
      <c r="T19" s="59">
        <f t="shared" si="34"/>
        <v>371.04090283546122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46.940400000000004</v>
      </c>
      <c r="AK19" s="13">
        <f t="shared" si="35"/>
        <v>13.82072434588865</v>
      </c>
      <c r="AL19" s="20">
        <f t="shared" si="4"/>
        <v>105.82562490242275</v>
      </c>
      <c r="AM19" s="59">
        <f t="shared" si="5"/>
        <v>399.15895823575607</v>
      </c>
      <c r="AN19" s="59">
        <f ca="1">AVERAGE(OFFSET($AM$3,0,0,'Données projet'!$E$10+1,1))-AVERAGE(OFFSET($H$3,0,0,'Données projet'!$E$10+1,1))</f>
        <v>331.52724290297675</v>
      </c>
      <c r="AO19" s="59">
        <f t="shared" si="36"/>
        <v>322.79102610158054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39.577200000000005</v>
      </c>
      <c r="BF19" s="13">
        <f t="shared" si="37"/>
        <v>11.886514509066235</v>
      </c>
      <c r="BG19" s="20">
        <f t="shared" si="7"/>
        <v>89.632636103290352</v>
      </c>
      <c r="BH19" s="59">
        <f t="shared" si="8"/>
        <v>382.96596943662365</v>
      </c>
      <c r="BI19" s="59">
        <f ca="1">AVERAGE(OFFSET($BH$3,0,0,'Données projet'!$E$11+1,1))-AVERAGE(OFFSET($H$3,0,0,'Données projet'!$E$11+1,1))</f>
        <v>273.84349636755343</v>
      </c>
      <c r="BJ19" s="59">
        <f t="shared" si="38"/>
        <v>268.10688874775451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25.8</v>
      </c>
      <c r="N20" s="13">
        <f>IF('Données projet'!$A$36&gt;35,N19+M20-V19,IF(A20&lt;'Données projet'!$A$36,$K$205^A20,IF(A20='Données projet'!$A$36,'Données projet'!$B$36,N19+M20-V19)))</f>
        <v>107.6</v>
      </c>
      <c r="O20" s="13">
        <f>N20*VLOOKUP('Données projet'!$B$9,Paramètres!$A$1:$I$89,3,0)*VLOOKUP('Données projet'!$B$9,Paramètres!$A$1:$I$89,5,0)</f>
        <v>53.154400000000003</v>
      </c>
      <c r="P20" s="13">
        <f t="shared" si="33"/>
        <v>15.425474064108334</v>
      </c>
      <c r="Q20" s="20">
        <f t="shared" si="2"/>
        <v>119.44328066165535</v>
      </c>
      <c r="R20" s="59">
        <f t="shared" si="0"/>
        <v>412.77661399498868</v>
      </c>
      <c r="S20" s="59">
        <f ca="1">AVERAGE(OFFSET($R$3,0,0,'Données projet'!$E$9+1,1))-AVERAGE(OFFSET($H$3,0,0,'Données projet'!$E$9+1,1))</f>
        <v>434.08297999735811</v>
      </c>
      <c r="T20" s="59">
        <f t="shared" si="34"/>
        <v>371.04090283546122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59.67</v>
      </c>
      <c r="AK20" s="13">
        <f t="shared" si="35"/>
        <v>17.084807896591332</v>
      </c>
      <c r="AL20" s="20">
        <f t="shared" si="4"/>
        <v>133.68129041989656</v>
      </c>
      <c r="AM20" s="59">
        <f t="shared" si="5"/>
        <v>427.0146237532299</v>
      </c>
      <c r="AN20" s="59">
        <f ca="1">AVERAGE(OFFSET($AM$3,0,0,'Données projet'!$E$10+1,1))-AVERAGE(OFFSET($H$3,0,0,'Données projet'!$E$10+1,1))</f>
        <v>331.52724290297675</v>
      </c>
      <c r="AO20" s="59">
        <f t="shared" si="36"/>
        <v>322.79102610158054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50.31</v>
      </c>
      <c r="BF20" s="13">
        <f t="shared" si="37"/>
        <v>14.693789693291551</v>
      </c>
      <c r="BG20" s="20">
        <f t="shared" si="7"/>
        <v>113.21493371581612</v>
      </c>
      <c r="BH20" s="59">
        <f t="shared" si="8"/>
        <v>406.54826704914944</v>
      </c>
      <c r="BI20" s="59">
        <f ca="1">AVERAGE(OFFSET($BH$3,0,0,'Données projet'!$E$11+1,1))-AVERAGE(OFFSET($H$3,0,0,'Données projet'!$E$11+1,1))</f>
        <v>273.84349636755343</v>
      </c>
      <c r="BJ20" s="59">
        <f t="shared" si="38"/>
        <v>268.10688874775451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25.8</v>
      </c>
      <c r="N21" s="13">
        <f>IF('Données projet'!$A$36&gt;35,N20+M21-V20,IF(A21&lt;'Données projet'!$A$36,$K$205^A21,IF(A21='Données projet'!$A$36,'Données projet'!$B$36,N20+M21-V20)))</f>
        <v>133.4</v>
      </c>
      <c r="O21" s="13">
        <f>N21*VLOOKUP('Données projet'!$B$9,Paramètres!$A$1:$I$89,3,0)*VLOOKUP('Données projet'!$B$9,Paramètres!$A$1:$I$89,5,0)</f>
        <v>65.899600000000007</v>
      </c>
      <c r="P21" s="13">
        <f t="shared" si="33"/>
        <v>18.651634138580526</v>
      </c>
      <c r="Q21" s="20">
        <f t="shared" si="2"/>
        <v>147.26006612469442</v>
      </c>
      <c r="R21" s="59">
        <f t="shared" si="0"/>
        <v>440.59339945802776</v>
      </c>
      <c r="S21" s="59">
        <f ca="1">AVERAGE(OFFSET($R$3,0,0,'Données projet'!$E$9+1,1))-AVERAGE(OFFSET($H$3,0,0,'Données projet'!$E$9+1,1))</f>
        <v>434.08297999735811</v>
      </c>
      <c r="T21" s="59">
        <f t="shared" si="34"/>
        <v>371.04090283546122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</v>
      </c>
      <c r="AI21" s="13">
        <f>IF('Données projet'!$A$62&gt;35,AI20+AH21-AQ20,IF(A21&lt;'Données projet'!$A$62,$AF$205^A21,IF(A21='Données projet'!$A$62,'Données projet'!$B$62,AI20+AH21-AQ20)))</f>
        <v>91</v>
      </c>
      <c r="AJ21" s="13">
        <f>AI21*VLOOKUP('Données projet'!$B$10,Paramètres!$A$1:$I$89,3,0)*VLOOKUP('Données projet'!$B$10,Paramètres!$A$1:$I$89,5,0)</f>
        <v>72.399600000000007</v>
      </c>
      <c r="AK21" s="13">
        <f t="shared" si="35"/>
        <v>20.268188832715463</v>
      </c>
      <c r="AL21" s="20">
        <f t="shared" si="4"/>
        <v>161.39639888364613</v>
      </c>
      <c r="AM21" s="59">
        <f t="shared" si="5"/>
        <v>454.72973221697941</v>
      </c>
      <c r="AN21" s="59">
        <f ca="1">AVERAGE(OFFSET($AM$3,0,0,'Données projet'!$E$10+1,1))-AVERAGE(OFFSET($H$3,0,0,'Données projet'!$E$10+1,1))</f>
        <v>331.52724290297675</v>
      </c>
      <c r="AO21" s="59">
        <f t="shared" si="36"/>
        <v>322.79102610158054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61.042800000000007</v>
      </c>
      <c r="BF21" s="13">
        <f t="shared" si="37"/>
        <v>17.431656590722341</v>
      </c>
      <c r="BG21" s="20">
        <f t="shared" si="7"/>
        <v>136.67634522884143</v>
      </c>
      <c r="BH21" s="59">
        <f t="shared" si="8"/>
        <v>430.00967856217471</v>
      </c>
      <c r="BI21" s="59">
        <f ca="1">AVERAGE(OFFSET($BH$3,0,0,'Données projet'!$E$11+1,1))-AVERAGE(OFFSET($H$3,0,0,'Données projet'!$E$11+1,1))</f>
        <v>273.84349636755343</v>
      </c>
      <c r="BJ21" s="59">
        <f t="shared" si="38"/>
        <v>268.10688874775451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25.8</v>
      </c>
      <c r="N22" s="13">
        <f>IF('Données projet'!$A$36&gt;35,N21+M22-V21,IF(A22&lt;'Données projet'!$A$36,$K$205^A22,IF(A22='Données projet'!$A$36,'Données projet'!$B$36,N21+M22-V21)))</f>
        <v>159.20000000000002</v>
      </c>
      <c r="O22" s="13">
        <f>N22*VLOOKUP('Données projet'!$B$9,Paramètres!$A$1:$I$89,3,0)*VLOOKUP('Données projet'!$B$9,Paramètres!$A$1:$I$89,5,0)</f>
        <v>78.644800000000018</v>
      </c>
      <c r="P22" s="13">
        <f t="shared" si="33"/>
        <v>21.80550192131771</v>
      </c>
      <c r="Q22" s="20">
        <f t="shared" si="2"/>
        <v>174.95094251296169</v>
      </c>
      <c r="R22" s="59">
        <f t="shared" si="0"/>
        <v>468.28427584629503</v>
      </c>
      <c r="S22" s="59">
        <f ca="1">AVERAGE(OFFSET($R$3,0,0,'Données projet'!$E$9+1,1))-AVERAGE(OFFSET($H$3,0,0,'Données projet'!$E$9+1,1))</f>
        <v>434.08297999735811</v>
      </c>
      <c r="T22" s="59">
        <f t="shared" si="34"/>
        <v>371.04090283546122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</v>
      </c>
      <c r="AI22" s="13">
        <f>IF('Données projet'!$A$62&gt;35,AI21+AH22-AQ21,IF(A22&lt;'Données projet'!$A$62,$AF$205^A22,IF(A22='Données projet'!$A$62,'Données projet'!$B$62,AI21+AH22-AQ21)))</f>
        <v>107</v>
      </c>
      <c r="AJ22" s="13">
        <f>AI22*VLOOKUP('Données projet'!$B$10,Paramètres!$A$1:$I$89,3,0)*VLOOKUP('Données projet'!$B$10,Paramètres!$A$1:$I$89,5,0)</f>
        <v>85.129199999999997</v>
      </c>
      <c r="AK22" s="13">
        <f t="shared" si="35"/>
        <v>23.386728480923388</v>
      </c>
      <c r="AL22" s="20">
        <f t="shared" si="4"/>
        <v>188.99857543760822</v>
      </c>
      <c r="AM22" s="59">
        <f t="shared" si="5"/>
        <v>482.33190877094154</v>
      </c>
      <c r="AN22" s="59">
        <f ca="1">AVERAGE(OFFSET($AM$3,0,0,'Données projet'!$E$10+1,1))-AVERAGE(OFFSET($H$3,0,0,'Données projet'!$E$10+1,1))</f>
        <v>331.52724290297675</v>
      </c>
      <c r="AO22" s="59">
        <f t="shared" si="36"/>
        <v>322.79102610158054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71.775599999999997</v>
      </c>
      <c r="BF22" s="13">
        <f t="shared" si="37"/>
        <v>20.113756735968991</v>
      </c>
      <c r="BG22" s="20">
        <f t="shared" si="7"/>
        <v>160.04062964847932</v>
      </c>
      <c r="BH22" s="59">
        <f t="shared" si="8"/>
        <v>453.37396298181261</v>
      </c>
      <c r="BI22" s="59">
        <f ca="1">AVERAGE(OFFSET($BH$3,0,0,'Données projet'!$E$11+1,1))-AVERAGE(OFFSET($H$3,0,0,'Données projet'!$E$11+1,1))</f>
        <v>273.84349636755343</v>
      </c>
      <c r="BJ22" s="59">
        <f t="shared" si="38"/>
        <v>268.10688874775451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185</v>
      </c>
      <c r="L23" s="12">
        <f>VLOOKUP(A23,'Données projet'!$A$35:$I$55,9,0)</f>
        <v>25.8</v>
      </c>
      <c r="M23" s="12">
        <f t="array" ref="M23">INDEX(L:L,MIN(IF(ISNUMBER(L23:L219),ROW(L23:L219),"")))</f>
        <v>25.8</v>
      </c>
      <c r="N23" s="13">
        <f>IF('Données projet'!$A$36&gt;35,N22+M23-V22,IF(A23&lt;'Données projet'!$A$36,$K$205^A23,IF(A23='Données projet'!$A$36,'Données projet'!$B$36,N22+M23-V22)))</f>
        <v>185.00000000000003</v>
      </c>
      <c r="O23" s="13">
        <f>N23*VLOOKUP('Données projet'!$B$9,Paramètres!$A$1:$I$89,3,0)*VLOOKUP('Données projet'!$B$9,Paramètres!$A$1:$I$89,5,0)</f>
        <v>91.390000000000015</v>
      </c>
      <c r="P23" s="13">
        <f t="shared" si="33"/>
        <v>24.900159909488206</v>
      </c>
      <c r="Q23" s="20">
        <f t="shared" si="2"/>
        <v>202.53869517569197</v>
      </c>
      <c r="R23" s="59">
        <f t="shared" si="0"/>
        <v>495.87202850902531</v>
      </c>
      <c r="S23" s="59">
        <f ca="1">AVERAGE(OFFSET($R$3,0,0,'Données projet'!$E$9+1,1))-AVERAGE(OFFSET($H$3,0,0,'Données projet'!$E$9+1,1))</f>
        <v>434.08297999735811</v>
      </c>
      <c r="T23" s="59">
        <f t="shared" si="34"/>
        <v>371.04090283546122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24.050878464057188</v>
      </c>
      <c r="AC23" s="22">
        <f t="shared" si="3"/>
        <v>24.050878464057188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123</v>
      </c>
      <c r="AG23" s="12">
        <f>VLOOKUP(A23,'Données projet'!$A$61:$I$81,9,0)</f>
        <v>16</v>
      </c>
      <c r="AH23" s="12">
        <f t="array" ref="AH23">INDEX(AG:AG,MIN(IF(ISNUMBER(AG23:AG219),ROW(AG23:AG219),"")))</f>
        <v>16</v>
      </c>
      <c r="AI23" s="13">
        <f>IF('Données projet'!$A$62&gt;35,AI22+AH23-AQ22,IF(A23&lt;'Données projet'!$A$62,$AF$205^A23,IF(A23='Données projet'!$A$62,'Données projet'!$B$62,AI22+AH23-AQ22)))</f>
        <v>123</v>
      </c>
      <c r="AJ23" s="13">
        <f>AI23*VLOOKUP('Données projet'!$B$10,Paramètres!$A$1:$I$89,3,0)*VLOOKUP('Données projet'!$B$10,Paramètres!$A$1:$I$89,5,0)</f>
        <v>97.858800000000016</v>
      </c>
      <c r="AK23" s="13">
        <f t="shared" si="35"/>
        <v>26.45124536158788</v>
      </c>
      <c r="AL23" s="20">
        <f t="shared" si="4"/>
        <v>216.50666233809889</v>
      </c>
      <c r="AM23" s="59">
        <f t="shared" si="5"/>
        <v>509.83999567143223</v>
      </c>
      <c r="AN23" s="59">
        <f ca="1">AVERAGE(OFFSET($AM$3,0,0,'Données projet'!$E$10+1,1))-AVERAGE(OFFSET($H$3,0,0,'Données projet'!$E$10+1,1))</f>
        <v>331.52724290297675</v>
      </c>
      <c r="AO23" s="59">
        <f t="shared" si="36"/>
        <v>322.79102610158054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82.508400000000009</v>
      </c>
      <c r="BF23" s="13">
        <f t="shared" si="37"/>
        <v>22.749394597897183</v>
      </c>
      <c r="BG23" s="20">
        <f t="shared" si="7"/>
        <v>183.32399225800427</v>
      </c>
      <c r="BH23" s="59">
        <f t="shared" si="8"/>
        <v>476.65732559133755</v>
      </c>
      <c r="BI23" s="59">
        <f ca="1">AVERAGE(OFFSET($BH$3,0,0,'Données projet'!$E$11+1,1))-AVERAGE(OFFSET($H$3,0,0,'Données projet'!$E$11+1,1))</f>
        <v>273.84349636755343</v>
      </c>
      <c r="BJ23" s="59">
        <f t="shared" si="38"/>
        <v>268.10688874775451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30.4</v>
      </c>
      <c r="N24" s="13">
        <f>IF('Données projet'!$A$36&gt;35,N23+M24-V23,IF(A24&lt;'Données projet'!$A$36,$K$205^A24,IF(A24='Données projet'!$A$36,'Données projet'!$B$36,N23+M24-V23)))</f>
        <v>172.40000000000003</v>
      </c>
      <c r="O24" s="13">
        <f>N24*VLOOKUP('Données projet'!$B$9,Paramètres!$A$1:$I$89,3,0)*VLOOKUP('Données projet'!$B$9,Paramètres!$A$1:$I$89,5,0)</f>
        <v>85.165600000000026</v>
      </c>
      <c r="P24" s="13">
        <f t="shared" si="33"/>
        <v>23.395564104516954</v>
      </c>
      <c r="Q24" s="20">
        <f t="shared" si="2"/>
        <v>189.07736081536709</v>
      </c>
      <c r="R24" s="59">
        <f t="shared" si="0"/>
        <v>482.41069414870037</v>
      </c>
      <c r="S24" s="59">
        <f ca="1">AVERAGE(OFFSET($R$3,0,0,'Données projet'!$E$9+1,1))-AVERAGE(OFFSET($H$3,0,0,'Données projet'!$E$9+1,1))</f>
        <v>434.08297999735811</v>
      </c>
      <c r="T24" s="59">
        <f t="shared" si="34"/>
        <v>371.04090283546122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17.006539255428336</v>
      </c>
      <c r="AC24" s="22">
        <f t="shared" si="3"/>
        <v>17.006539255428336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97.800000000000011</v>
      </c>
      <c r="AJ24" s="13">
        <f>AI24*VLOOKUP('Données projet'!$B$10,Paramètres!$A$1:$I$89,3,0)*VLOOKUP('Données projet'!$B$10,Paramètres!$A$1:$I$89,5,0)</f>
        <v>77.809680000000014</v>
      </c>
      <c r="AK24" s="13">
        <f t="shared" si="35"/>
        <v>21.600777311280577</v>
      </c>
      <c r="AL24" s="20">
        <f t="shared" si="4"/>
        <v>173.13987981714703</v>
      </c>
      <c r="AM24" s="59">
        <f t="shared" si="5"/>
        <v>466.47321315048032</v>
      </c>
      <c r="AN24" s="59">
        <f ca="1">AVERAGE(OFFSET($AM$3,0,0,'Données projet'!$E$10+1,1))-AVERAGE(OFFSET($H$3,0,0,'Données projet'!$E$10+1,1))</f>
        <v>331.52724290297675</v>
      </c>
      <c r="AO24" s="59">
        <f t="shared" si="36"/>
        <v>322.79102610158054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65.604240000000004</v>
      </c>
      <c r="BF24" s="13">
        <f t="shared" si="37"/>
        <v>18.577749363333837</v>
      </c>
      <c r="BG24" s="20">
        <f t="shared" si="7"/>
        <v>146.61696480780643</v>
      </c>
      <c r="BH24" s="59">
        <f t="shared" si="8"/>
        <v>439.95029814113974</v>
      </c>
      <c r="BI24" s="59">
        <f ca="1">AVERAGE(OFFSET($BH$3,0,0,'Données projet'!$E$11+1,1))-AVERAGE(OFFSET($H$3,0,0,'Données projet'!$E$11+1,1))</f>
        <v>273.84349636755343</v>
      </c>
      <c r="BJ24" s="59">
        <f t="shared" si="38"/>
        <v>268.10688874775451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30.4</v>
      </c>
      <c r="N25" s="13">
        <f>IF('Données projet'!$A$36&gt;35,N24+M25-V24,IF(A25&lt;'Données projet'!$A$36,$K$205^A25,IF(A25='Données projet'!$A$36,'Données projet'!$B$36,N24+M25-V24)))</f>
        <v>202.80000000000004</v>
      </c>
      <c r="O25" s="13">
        <f>N25*VLOOKUP('Données projet'!$B$9,Paramètres!$A$1:$I$89,3,0)*VLOOKUP('Données projet'!$B$9,Paramètres!$A$1:$I$89,5,0)</f>
        <v>100.18320000000003</v>
      </c>
      <c r="P25" s="13">
        <f t="shared" si="33"/>
        <v>27.005637771733042</v>
      </c>
      <c r="Q25" s="20">
        <f t="shared" si="2"/>
        <v>221.52055911910176</v>
      </c>
      <c r="R25" s="59">
        <f t="shared" si="0"/>
        <v>514.85389245243505</v>
      </c>
      <c r="S25" s="59">
        <f ca="1">AVERAGE(OFFSET($R$3,0,0,'Données projet'!$E$9+1,1))-AVERAGE(OFFSET($H$3,0,0,'Données projet'!$E$9+1,1))</f>
        <v>434.08297999735811</v>
      </c>
      <c r="T25" s="59">
        <f t="shared" si="34"/>
        <v>371.04090283546122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12.025439232028596</v>
      </c>
      <c r="AC25" s="22">
        <f t="shared" si="3"/>
        <v>12.025439232028596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114.60000000000001</v>
      </c>
      <c r="AJ25" s="13">
        <f>AI25*VLOOKUP('Données projet'!$B$10,Paramètres!$A$1:$I$89,3,0)*VLOOKUP('Données projet'!$B$10,Paramètres!$A$1:$I$89,5,0)</f>
        <v>91.175760000000011</v>
      </c>
      <c r="AK25" s="13">
        <f t="shared" si="35"/>
        <v>24.848575433138123</v>
      </c>
      <c r="AL25" s="20">
        <f t="shared" si="4"/>
        <v>202.07571754604893</v>
      </c>
      <c r="AM25" s="59">
        <f t="shared" si="5"/>
        <v>495.40905087938222</v>
      </c>
      <c r="AN25" s="59">
        <f ca="1">AVERAGE(OFFSET($AM$3,0,0,'Données projet'!$E$10+1,1))-AVERAGE(OFFSET($H$3,0,0,'Données projet'!$E$10+1,1))</f>
        <v>331.52724290297675</v>
      </c>
      <c r="AO25" s="59">
        <f t="shared" si="36"/>
        <v>322.79102610158054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76.873680000000007</v>
      </c>
      <c r="BF25" s="13">
        <f t="shared" si="37"/>
        <v>21.371018263850033</v>
      </c>
      <c r="BG25" s="20">
        <f t="shared" si="7"/>
        <v>171.10951614287214</v>
      </c>
      <c r="BH25" s="59">
        <f t="shared" si="8"/>
        <v>464.44284947620542</v>
      </c>
      <c r="BI25" s="59">
        <f ca="1">AVERAGE(OFFSET($BH$3,0,0,'Données projet'!$E$11+1,1))-AVERAGE(OFFSET($H$3,0,0,'Données projet'!$E$11+1,1))</f>
        <v>273.84349636755343</v>
      </c>
      <c r="BJ25" s="59">
        <f t="shared" si="38"/>
        <v>268.10688874775451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30.4</v>
      </c>
      <c r="N26" s="13">
        <f>IF('Données projet'!$A$36&gt;35,N25+M26-V25,IF(A26&lt;'Données projet'!$A$36,$K$205^A26,IF(A26='Données projet'!$A$36,'Données projet'!$B$36,N25+M26-V25)))</f>
        <v>233.20000000000005</v>
      </c>
      <c r="O26" s="13">
        <f>N26*VLOOKUP('Données projet'!$B$9,Paramètres!$A$1:$I$89,3,0)*VLOOKUP('Données projet'!$B$9,Paramètres!$A$1:$I$89,5,0)</f>
        <v>115.20080000000002</v>
      </c>
      <c r="P26" s="13">
        <f t="shared" si="33"/>
        <v>30.553019712341356</v>
      </c>
      <c r="Q26" s="20">
        <f t="shared" si="2"/>
        <v>253.85456933232786</v>
      </c>
      <c r="R26" s="59">
        <f t="shared" si="0"/>
        <v>547.18790266566111</v>
      </c>
      <c r="S26" s="59">
        <f ca="1">AVERAGE(OFFSET($R$3,0,0,'Données projet'!$E$9+1,1))-AVERAGE(OFFSET($H$3,0,0,'Données projet'!$E$9+1,1))</f>
        <v>434.08297999735811</v>
      </c>
      <c r="T26" s="59">
        <f t="shared" si="34"/>
        <v>371.04090283546122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8.5032696277141682</v>
      </c>
      <c r="AC26" s="22">
        <f t="shared" si="3"/>
        <v>8.5032696277141682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131.4</v>
      </c>
      <c r="AJ26" s="13">
        <f>AI26*VLOOKUP('Données projet'!$B$10,Paramètres!$A$1:$I$89,3,0)*VLOOKUP('Données projet'!$B$10,Paramètres!$A$1:$I$89,5,0)</f>
        <v>104.54184000000002</v>
      </c>
      <c r="AK26" s="13">
        <f t="shared" si="35"/>
        <v>28.041215323191079</v>
      </c>
      <c r="AL26" s="20">
        <f t="shared" si="4"/>
        <v>230.91548802122449</v>
      </c>
      <c r="AM26" s="59">
        <f t="shared" si="5"/>
        <v>524.24882135455778</v>
      </c>
      <c r="AN26" s="59">
        <f ca="1">AVERAGE(OFFSET($AM$3,0,0,'Données projet'!$E$10+1,1))-AVERAGE(OFFSET($H$3,0,0,'Données projet'!$E$10+1,1))</f>
        <v>331.52724290297675</v>
      </c>
      <c r="AO26" s="59">
        <f t="shared" si="36"/>
        <v>322.79102610158054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88.14312000000001</v>
      </c>
      <c r="BF26" s="13">
        <f t="shared" si="37"/>
        <v>24.116848324965968</v>
      </c>
      <c r="BG26" s="20">
        <f t="shared" si="7"/>
        <v>195.5194448326491</v>
      </c>
      <c r="BH26" s="59">
        <f t="shared" si="8"/>
        <v>488.85277816598239</v>
      </c>
      <c r="BI26" s="59">
        <f ca="1">AVERAGE(OFFSET($BH$3,0,0,'Données projet'!$E$11+1,1))-AVERAGE(OFFSET($H$3,0,0,'Données projet'!$E$11+1,1))</f>
        <v>273.84349636755343</v>
      </c>
      <c r="BJ26" s="59">
        <f t="shared" si="38"/>
        <v>268.10688874775451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30.4</v>
      </c>
      <c r="N27" s="13">
        <f>IF('Données projet'!$A$36&gt;35,N26+M27-V26,IF(A27&lt;'Données projet'!$A$36,$K$205^A27,IF(A27='Données projet'!$A$36,'Données projet'!$B$36,N26+M27-V26)))</f>
        <v>263.60000000000002</v>
      </c>
      <c r="O27" s="13">
        <f>N27*VLOOKUP('Données projet'!$B$9,Paramètres!$A$1:$I$89,3,0)*VLOOKUP('Données projet'!$B$9,Paramètres!$A$1:$I$89,5,0)</f>
        <v>130.2184</v>
      </c>
      <c r="P27" s="13">
        <f t="shared" si="33"/>
        <v>34.046820228703304</v>
      </c>
      <c r="Q27" s="20">
        <f t="shared" si="2"/>
        <v>286.09525856499152</v>
      </c>
      <c r="R27" s="59">
        <f t="shared" si="0"/>
        <v>579.42859189832484</v>
      </c>
      <c r="S27" s="59">
        <f ca="1">AVERAGE(OFFSET($R$3,0,0,'Données projet'!$E$9+1,1))-AVERAGE(OFFSET($H$3,0,0,'Données projet'!$E$9+1,1))</f>
        <v>434.08297999735811</v>
      </c>
      <c r="T27" s="59">
        <f t="shared" si="34"/>
        <v>371.04090283546122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6.0127196160142979</v>
      </c>
      <c r="AC27" s="22">
        <f t="shared" si="3"/>
        <v>6.0127196160142979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148.20000000000002</v>
      </c>
      <c r="AJ27" s="13">
        <f>AI27*VLOOKUP('Données projet'!$B$10,Paramètres!$A$1:$I$89,3,0)*VLOOKUP('Données projet'!$B$10,Paramètres!$A$1:$I$89,5,0)</f>
        <v>117.90792000000002</v>
      </c>
      <c r="AK27" s="13">
        <f t="shared" si="35"/>
        <v>31.186557651984323</v>
      </c>
      <c r="AL27" s="20">
        <f t="shared" si="4"/>
        <v>259.67288191053939</v>
      </c>
      <c r="AM27" s="59">
        <f t="shared" si="5"/>
        <v>553.0062152438727</v>
      </c>
      <c r="AN27" s="59">
        <f ca="1">AVERAGE(OFFSET($AM$3,0,0,'Données projet'!$E$10+1,1))-AVERAGE(OFFSET($H$3,0,0,'Données projet'!$E$10+1,1))</f>
        <v>331.52724290297675</v>
      </c>
      <c r="AO27" s="59">
        <f t="shared" si="36"/>
        <v>322.79102610158054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99.412560000000013</v>
      </c>
      <c r="BF27" s="13">
        <f t="shared" si="37"/>
        <v>26.822000116688319</v>
      </c>
      <c r="BG27" s="20">
        <f t="shared" si="7"/>
        <v>219.85852553656548</v>
      </c>
      <c r="BH27" s="59">
        <f t="shared" si="8"/>
        <v>513.19185886989885</v>
      </c>
      <c r="BI27" s="59">
        <f ca="1">AVERAGE(OFFSET($BH$3,0,0,'Données projet'!$E$11+1,1))-AVERAGE(OFFSET($H$3,0,0,'Données projet'!$E$11+1,1))</f>
        <v>273.84349636755343</v>
      </c>
      <c r="BJ27" s="59">
        <f t="shared" si="38"/>
        <v>268.10688874775451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294</v>
      </c>
      <c r="L28" s="12">
        <f>VLOOKUP(A28,'Données projet'!$A$35:$I$55,9,0)</f>
        <v>30.4</v>
      </c>
      <c r="M28" s="12">
        <f t="array" ref="M28">INDEX(L:L,MIN(IF(ISNUMBER(L28:L224),ROW(L28:L224),"")))</f>
        <v>30.4</v>
      </c>
      <c r="N28" s="13">
        <f>IF('Données projet'!$A$36&gt;35,N27+M28-V27,IF(A28&lt;'Données projet'!$A$36,$K$205^A28,IF(A28='Données projet'!$A$36,'Données projet'!$B$36,N27+M28-V27)))</f>
        <v>294</v>
      </c>
      <c r="O28" s="13">
        <f>N28*VLOOKUP('Données projet'!$B$9,Paramètres!$A$1:$I$89,3,0)*VLOOKUP('Données projet'!$B$9,Paramètres!$A$1:$I$89,5,0)</f>
        <v>145.23599999999999</v>
      </c>
      <c r="P28" s="13">
        <f t="shared" si="33"/>
        <v>37.493924289345522</v>
      </c>
      <c r="Q28" s="20">
        <f t="shared" si="2"/>
        <v>318.25461813727674</v>
      </c>
      <c r="R28" s="59">
        <f t="shared" si="0"/>
        <v>611.58795147061005</v>
      </c>
      <c r="S28" s="59">
        <f ca="1">AVERAGE(OFFSET($R$3,0,0,'Données projet'!$E$9+1,1))-AVERAGE(OFFSET($H$3,0,0,'Données projet'!$E$9+1,1))</f>
        <v>434.08297999735811</v>
      </c>
      <c r="T28" s="59">
        <f t="shared" si="34"/>
        <v>371.04090283546122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27.64364848595531</v>
      </c>
      <c r="AB28" s="21">
        <f>EXP(-LN(2)/2)*AB27+(1-EXP(-LN(2)/2))/(LN(2)/2)*V28*Y28*VLOOKUP('Données projet'!$B$9,Paramètres!$A$1:$I$89,3,0)*0.475*44/12</f>
        <v>4.2516348138570841</v>
      </c>
      <c r="AC28" s="22">
        <f t="shared" si="3"/>
        <v>31.895283299812395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165</v>
      </c>
      <c r="AG28" s="12">
        <f>VLOOKUP(A28,'Données projet'!$A$61:$I$81,9,0)</f>
        <v>16.8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165.00000000000003</v>
      </c>
      <c r="AJ28" s="13">
        <f>AI28*VLOOKUP('Données projet'!$B$10,Paramètres!$A$1:$I$89,3,0)*VLOOKUP('Données projet'!$B$10,Paramètres!$A$1:$I$89,5,0)</f>
        <v>131.27400000000003</v>
      </c>
      <c r="AK28" s="13">
        <f t="shared" si="35"/>
        <v>34.290576031111669</v>
      </c>
      <c r="AL28" s="20">
        <f t="shared" si="4"/>
        <v>288.35830325418618</v>
      </c>
      <c r="AM28" s="59">
        <f t="shared" si="5"/>
        <v>581.6916365875195</v>
      </c>
      <c r="AN28" s="59">
        <f ca="1">AVERAGE(OFFSET($AM$3,0,0,'Données projet'!$E$10+1,1))-AVERAGE(OFFSET($H$3,0,0,'Données projet'!$E$10+1,1))</f>
        <v>331.52724290297675</v>
      </c>
      <c r="AO28" s="59">
        <f t="shared" si="36"/>
        <v>322.79102610158054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110.68200000000003</v>
      </c>
      <c r="BF28" s="13">
        <f t="shared" si="37"/>
        <v>29.49161124389969</v>
      </c>
      <c r="BG28" s="20">
        <f t="shared" si="7"/>
        <v>244.13570624979198</v>
      </c>
      <c r="BH28" s="59">
        <f t="shared" si="8"/>
        <v>537.46903958312532</v>
      </c>
      <c r="BI28" s="59">
        <f ca="1">AVERAGE(OFFSET($BH$3,0,0,'Données projet'!$E$11+1,1))-AVERAGE(OFFSET($H$3,0,0,'Données projet'!$E$11+1,1))</f>
        <v>273.84349636755343</v>
      </c>
      <c r="BJ28" s="59">
        <f t="shared" si="38"/>
        <v>268.10688874775451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31.8</v>
      </c>
      <c r="N29" s="13">
        <f>IF('Données projet'!$A$36&gt;35,N28+M29-V28,IF(A29&lt;'Données projet'!$A$36,$K$205^A29,IF(A29='Données projet'!$A$36,'Données projet'!$B$36,N28+M29-V28)))</f>
        <v>248.8</v>
      </c>
      <c r="O29" s="13">
        <f>N29*VLOOKUP('Données projet'!$B$9,Paramètres!$A$1:$I$89,3,0)*VLOOKUP('Données projet'!$B$9,Paramètres!$A$1:$I$89,5,0)</f>
        <v>122.90720000000002</v>
      </c>
      <c r="P29" s="13">
        <f t="shared" si="33"/>
        <v>32.352108408527776</v>
      </c>
      <c r="Q29" s="20">
        <f t="shared" si="2"/>
        <v>270.40996214485261</v>
      </c>
      <c r="R29" s="59">
        <f t="shared" si="0"/>
        <v>563.74329547818593</v>
      </c>
      <c r="S29" s="59">
        <f ca="1">AVERAGE(OFFSET($R$3,0,0,'Données projet'!$E$9+1,1))-AVERAGE(OFFSET($H$3,0,0,'Données projet'!$E$9+1,1))</f>
        <v>434.08297999735811</v>
      </c>
      <c r="T29" s="59">
        <f t="shared" si="34"/>
        <v>371.04090283546122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26.887731464390569</v>
      </c>
      <c r="AB29" s="21">
        <f>EXP(-LN(2)/2)*AB28+(1-EXP(-LN(2)/2))/(LN(2)/2)*V29*Y29*VLOOKUP('Données projet'!$B$9,Paramètres!$A$1:$I$89,3,0)*0.475*44/12</f>
        <v>3.006359808007149</v>
      </c>
      <c r="AC29" s="22">
        <f t="shared" si="3"/>
        <v>29.894091272397716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139.40000000000003</v>
      </c>
      <c r="AJ29" s="13">
        <f>AI29*VLOOKUP('Données projet'!$B$10,Paramètres!$A$1:$I$89,3,0)*VLOOKUP('Données projet'!$B$10,Paramètres!$A$1:$I$89,5,0)</f>
        <v>110.90664000000004</v>
      </c>
      <c r="AK29" s="13">
        <f t="shared" si="35"/>
        <v>29.544493872672952</v>
      </c>
      <c r="AL29" s="20">
        <f t="shared" si="4"/>
        <v>244.6190581615721</v>
      </c>
      <c r="AM29" s="59">
        <f t="shared" si="5"/>
        <v>537.95239149490544</v>
      </c>
      <c r="AN29" s="59">
        <f ca="1">AVERAGE(OFFSET($AM$3,0,0,'Données projet'!$E$10+1,1))-AVERAGE(OFFSET($H$3,0,0,'Données projet'!$E$10+1,1))</f>
        <v>331.52724290297675</v>
      </c>
      <c r="AO29" s="59">
        <f t="shared" si="36"/>
        <v>322.79102610158054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93.509520000000023</v>
      </c>
      <c r="BF29" s="13">
        <f t="shared" si="37"/>
        <v>25.409743099681585</v>
      </c>
      <c r="BG29" s="20">
        <f t="shared" si="7"/>
        <v>207.11771656527881</v>
      </c>
      <c r="BH29" s="59">
        <f t="shared" si="8"/>
        <v>500.45104989861215</v>
      </c>
      <c r="BI29" s="59">
        <f ca="1">AVERAGE(OFFSET($BH$3,0,0,'Données projet'!$E$11+1,1))-AVERAGE(OFFSET($H$3,0,0,'Données projet'!$E$11+1,1))</f>
        <v>273.84349636755343</v>
      </c>
      <c r="BJ29" s="59">
        <f t="shared" si="38"/>
        <v>268.10688874775451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31.8</v>
      </c>
      <c r="N30" s="13">
        <f>IF('Données projet'!$A$36&gt;35,N29+M30-V29,IF(A30&lt;'Données projet'!$A$36,$K$205^A30,IF(A30='Données projet'!$A$36,'Données projet'!$B$36,N29+M30-V29)))</f>
        <v>280.60000000000002</v>
      </c>
      <c r="O30" s="13">
        <f>N30*VLOOKUP('Données projet'!$B$9,Paramètres!$A$1:$I$89,3,0)*VLOOKUP('Données projet'!$B$9,Paramètres!$A$1:$I$89,5,0)</f>
        <v>138.61640000000003</v>
      </c>
      <c r="P30" s="13">
        <f t="shared" si="33"/>
        <v>35.97985917844175</v>
      </c>
      <c r="Q30" s="20">
        <f t="shared" si="2"/>
        <v>304.08848473578604</v>
      </c>
      <c r="R30" s="59">
        <f t="shared" si="0"/>
        <v>597.42181806911935</v>
      </c>
      <c r="S30" s="59">
        <f ca="1">AVERAGE(OFFSET($R$3,0,0,'Données projet'!$E$9+1,1))-AVERAGE(OFFSET($H$3,0,0,'Données projet'!$E$9+1,1))</f>
        <v>434.08297999735811</v>
      </c>
      <c r="T30" s="59">
        <f t="shared" si="34"/>
        <v>371.04090283546122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26.152485033532464</v>
      </c>
      <c r="AB30" s="21">
        <f>EXP(-LN(2)/2)*AB29+(1-EXP(-LN(2)/2))/(LN(2)/2)*V30*Y30*VLOOKUP('Données projet'!$B$9,Paramètres!$A$1:$I$89,3,0)*0.475*44/12</f>
        <v>2.125817406928542</v>
      </c>
      <c r="AC30" s="22">
        <f t="shared" si="3"/>
        <v>28.278302440461005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155.80000000000004</v>
      </c>
      <c r="AJ30" s="13">
        <f>AI30*VLOOKUP('Données projet'!$B$10,Paramètres!$A$1:$I$89,3,0)*VLOOKUP('Données projet'!$B$10,Paramètres!$A$1:$I$89,5,0)</f>
        <v>123.95448000000005</v>
      </c>
      <c r="AK30" s="13">
        <f t="shared" si="35"/>
        <v>32.595569202682604</v>
      </c>
      <c r="AL30" s="20">
        <f t="shared" si="4"/>
        <v>272.65800236133896</v>
      </c>
      <c r="AM30" s="59">
        <f t="shared" si="5"/>
        <v>565.99133569467222</v>
      </c>
      <c r="AN30" s="59">
        <f ca="1">AVERAGE(OFFSET($AM$3,0,0,'Données projet'!$E$10+1,1))-AVERAGE(OFFSET($H$3,0,0,'Données projet'!$E$10+1,1))</f>
        <v>331.52724290297675</v>
      </c>
      <c r="AO30" s="59">
        <f t="shared" si="36"/>
        <v>322.79102610158054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104.51064000000002</v>
      </c>
      <c r="BF30" s="13">
        <f t="shared" si="37"/>
        <v>28.033820555448408</v>
      </c>
      <c r="BG30" s="20">
        <f t="shared" si="7"/>
        <v>230.84826880073933</v>
      </c>
      <c r="BH30" s="59">
        <f t="shared" si="8"/>
        <v>524.18160213407259</v>
      </c>
      <c r="BI30" s="59">
        <f ca="1">AVERAGE(OFFSET($BH$3,0,0,'Données projet'!$E$11+1,1))-AVERAGE(OFFSET($H$3,0,0,'Données projet'!$E$11+1,1))</f>
        <v>273.84349636755343</v>
      </c>
      <c r="BJ30" s="59">
        <f t="shared" si="38"/>
        <v>268.10688874775451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31.8</v>
      </c>
      <c r="N31" s="13">
        <f>IF('Données projet'!$A$36&gt;35,N30+M31-V30,IF(A31&lt;'Données projet'!$A$36,$K$205^A31,IF(A31='Données projet'!$A$36,'Données projet'!$B$36,N30+M31-V30)))</f>
        <v>312.40000000000003</v>
      </c>
      <c r="O31" s="13">
        <f>N31*VLOOKUP('Données projet'!$B$9,Paramètres!$A$1:$I$89,3,0)*VLOOKUP('Données projet'!$B$9,Paramètres!$A$1:$I$89,5,0)</f>
        <v>154.32560000000004</v>
      </c>
      <c r="P31" s="13">
        <f t="shared" si="33"/>
        <v>39.559961367244483</v>
      </c>
      <c r="Q31" s="20">
        <f t="shared" si="2"/>
        <v>337.6840193812842</v>
      </c>
      <c r="R31" s="59">
        <f t="shared" si="0"/>
        <v>631.01735271461757</v>
      </c>
      <c r="S31" s="59">
        <f ca="1">AVERAGE(OFFSET($R$3,0,0,'Données projet'!$E$9+1,1))-AVERAGE(OFFSET($H$3,0,0,'Données projet'!$E$9+1,1))</f>
        <v>434.08297999735811</v>
      </c>
      <c r="T31" s="59">
        <f t="shared" si="34"/>
        <v>371.04090283546122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25.437343954991103</v>
      </c>
      <c r="AB31" s="21">
        <f>EXP(-LN(2)/2)*AB30+(1-EXP(-LN(2)/2))/(LN(2)/2)*V31*Y31*VLOOKUP('Données projet'!$B$9,Paramètres!$A$1:$I$89,3,0)*0.475*44/12</f>
        <v>1.5031799040035745</v>
      </c>
      <c r="AC31" s="22">
        <f t="shared" si="3"/>
        <v>26.940523858994677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172.20000000000005</v>
      </c>
      <c r="AJ31" s="13">
        <f>AI31*VLOOKUP('Données projet'!$B$10,Paramètres!$A$1:$I$89,3,0)*VLOOKUP('Données projet'!$B$10,Paramètres!$A$1:$I$89,5,0)</f>
        <v>137.00232000000005</v>
      </c>
      <c r="AK31" s="13">
        <f t="shared" si="35"/>
        <v>35.609416420931346</v>
      </c>
      <c r="AL31" s="20">
        <f t="shared" si="4"/>
        <v>300.63210759978887</v>
      </c>
      <c r="AM31" s="59">
        <f t="shared" si="5"/>
        <v>593.96544093312218</v>
      </c>
      <c r="AN31" s="59">
        <f ca="1">AVERAGE(OFFSET($AM$3,0,0,'Données projet'!$E$10+1,1))-AVERAGE(OFFSET($H$3,0,0,'Données projet'!$E$10+1,1))</f>
        <v>331.52724290297675</v>
      </c>
      <c r="AO31" s="59">
        <f t="shared" si="36"/>
        <v>322.79102610158054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115.51176000000004</v>
      </c>
      <c r="BF31" s="13">
        <f t="shared" si="37"/>
        <v>30.625879972253081</v>
      </c>
      <c r="BG31" s="20">
        <f t="shared" si="7"/>
        <v>254.52305628500753</v>
      </c>
      <c r="BH31" s="59">
        <f t="shared" si="8"/>
        <v>547.85638961834081</v>
      </c>
      <c r="BI31" s="59">
        <f ca="1">AVERAGE(OFFSET($BH$3,0,0,'Données projet'!$E$11+1,1))-AVERAGE(OFFSET($H$3,0,0,'Données projet'!$E$11+1,1))</f>
        <v>273.84349636755343</v>
      </c>
      <c r="BJ31" s="59">
        <f t="shared" si="38"/>
        <v>268.10688874775451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31.8</v>
      </c>
      <c r="N32" s="13">
        <f>IF('Données projet'!$A$36&gt;35,N31+M32-V31,IF(A32&lt;'Données projet'!$A$36,$K$205^A32,IF(A32='Données projet'!$A$36,'Données projet'!$B$36,N31+M32-V31)))</f>
        <v>344.20000000000005</v>
      </c>
      <c r="O32" s="13">
        <f>N32*VLOOKUP('Données projet'!$B$9,Paramètres!$A$1:$I$89,3,0)*VLOOKUP('Données projet'!$B$9,Paramètres!$A$1:$I$89,5,0)</f>
        <v>170.03480000000005</v>
      </c>
      <c r="P32" s="13">
        <f t="shared" si="33"/>
        <v>43.097817534817381</v>
      </c>
      <c r="Q32" s="20">
        <f t="shared" si="2"/>
        <v>371.20597553980701</v>
      </c>
      <c r="R32" s="59">
        <f t="shared" si="0"/>
        <v>664.53930887314027</v>
      </c>
      <c r="S32" s="59">
        <f ca="1">AVERAGE(OFFSET($R$3,0,0,'Données projet'!$E$9+1,1))-AVERAGE(OFFSET($H$3,0,0,'Données projet'!$E$9+1,1))</f>
        <v>434.08297999735811</v>
      </c>
      <c r="T32" s="59">
        <f t="shared" si="34"/>
        <v>371.04090283546122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24.741758446850092</v>
      </c>
      <c r="AB32" s="21">
        <f>EXP(-LN(2)/2)*AB31+(1-EXP(-LN(2)/2))/(LN(2)/2)*V32*Y32*VLOOKUP('Données projet'!$B$9,Paramètres!$A$1:$I$89,3,0)*0.475*44/12</f>
        <v>1.062908703464271</v>
      </c>
      <c r="AC32" s="22">
        <f t="shared" si="3"/>
        <v>25.804667150314362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188.60000000000005</v>
      </c>
      <c r="AJ32" s="13">
        <f>AI32*VLOOKUP('Données projet'!$B$10,Paramètres!$A$1:$I$89,3,0)*VLOOKUP('Données projet'!$B$10,Paramètres!$A$1:$I$89,5,0)</f>
        <v>150.05016000000003</v>
      </c>
      <c r="AK32" s="13">
        <f t="shared" si="35"/>
        <v>38.589984439024605</v>
      </c>
      <c r="AL32" s="20">
        <f t="shared" si="4"/>
        <v>328.5482515646346</v>
      </c>
      <c r="AM32" s="59">
        <f t="shared" si="5"/>
        <v>621.88158489796797</v>
      </c>
      <c r="AN32" s="59">
        <f ca="1">AVERAGE(OFFSET($AM$3,0,0,'Données projet'!$E$10+1,1))-AVERAGE(OFFSET($H$3,0,0,'Données projet'!$E$10+1,1))</f>
        <v>331.52724290297675</v>
      </c>
      <c r="AO32" s="59">
        <f t="shared" si="36"/>
        <v>322.79102610158054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126.51288000000005</v>
      </c>
      <c r="BF32" s="13">
        <f t="shared" si="37"/>
        <v>33.189317611674916</v>
      </c>
      <c r="BG32" s="20">
        <f t="shared" si="7"/>
        <v>278.1479941736672</v>
      </c>
      <c r="BH32" s="59">
        <f t="shared" si="8"/>
        <v>571.48132750700051</v>
      </c>
      <c r="BI32" s="59">
        <f ca="1">AVERAGE(OFFSET($BH$3,0,0,'Données projet'!$E$11+1,1))-AVERAGE(OFFSET($H$3,0,0,'Données projet'!$E$11+1,1))</f>
        <v>273.84349636755343</v>
      </c>
      <c r="BJ32" s="59">
        <f t="shared" si="38"/>
        <v>268.10688874775451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376</v>
      </c>
      <c r="L33" s="12">
        <f>VLOOKUP(A33,'Données projet'!$A$35:$I$55,9,0)</f>
        <v>31.8</v>
      </c>
      <c r="M33" s="12">
        <f t="array" ref="M33">INDEX(L:L,MIN(IF(ISNUMBER(L33:L229),ROW(L33:L229),"")))</f>
        <v>31.8</v>
      </c>
      <c r="N33" s="13">
        <f>IF('Données projet'!$A$36&gt;35,N32+M33-V32,IF(A33&lt;'Données projet'!$A$36,$K$205^A33,IF(A33='Données projet'!$A$36,'Données projet'!$B$36,N32+M33-V32)))</f>
        <v>376.00000000000006</v>
      </c>
      <c r="O33" s="13">
        <f>N33*VLOOKUP('Données projet'!$B$9,Paramètres!$A$1:$I$89,3,0)*VLOOKUP('Données projet'!$B$9,Paramètres!$A$1:$I$89,5,0)</f>
        <v>185.74400000000003</v>
      </c>
      <c r="P33" s="13">
        <f t="shared" si="33"/>
        <v>46.597774644336511</v>
      </c>
      <c r="Q33" s="20">
        <f t="shared" si="2"/>
        <v>404.66192417221941</v>
      </c>
      <c r="R33" s="59">
        <f t="shared" si="0"/>
        <v>697.99525750555267</v>
      </c>
      <c r="S33" s="59">
        <f ca="1">AVERAGE(OFFSET($R$3,0,0,'Données projet'!$E$9+1,1))-AVERAGE(OFFSET($H$3,0,0,'Données projet'!$E$9+1,1))</f>
        <v>434.08297999735811</v>
      </c>
      <c r="T33" s="59">
        <f t="shared" si="34"/>
        <v>371.04090283546122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51.708842246963755</v>
      </c>
      <c r="AB33" s="21">
        <f>EXP(-LN(2)/2)*AB32+(1-EXP(-LN(2)/2))/(LN(2)/2)*V33*Y33*VLOOKUP('Données projet'!$B$9,Paramètres!$A$1:$I$89,3,0)*0.475*44/12</f>
        <v>0.75158995200178724</v>
      </c>
      <c r="AC33" s="22">
        <f t="shared" si="3"/>
        <v>52.460432198965542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205.00000000000006</v>
      </c>
      <c r="AJ33" s="13">
        <f>AI33*VLOOKUP('Données projet'!$B$10,Paramètres!$A$1:$I$89,3,0)*VLOOKUP('Données projet'!$B$10,Paramètres!$A$1:$I$89,5,0)</f>
        <v>163.09800000000004</v>
      </c>
      <c r="AK33" s="13">
        <f t="shared" si="35"/>
        <v>41.540496136845142</v>
      </c>
      <c r="AL33" s="20">
        <f t="shared" si="4"/>
        <v>356.41204743833867</v>
      </c>
      <c r="AM33" s="59">
        <f t="shared" si="5"/>
        <v>649.74538077167199</v>
      </c>
      <c r="AN33" s="59">
        <f ca="1">AVERAGE(OFFSET($AM$3,0,0,'Données projet'!$E$10+1,1))-AVERAGE(OFFSET($H$3,0,0,'Données projet'!$E$10+1,1))</f>
        <v>331.52724290297675</v>
      </c>
      <c r="AO33" s="59">
        <f t="shared" si="36"/>
        <v>322.79102610158054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137.51400000000004</v>
      </c>
      <c r="BF33" s="13">
        <f t="shared" si="37"/>
        <v>35.726905311681854</v>
      </c>
      <c r="BG33" s="20">
        <f t="shared" si="7"/>
        <v>301.72791008451264</v>
      </c>
      <c r="BH33" s="59">
        <f t="shared" si="8"/>
        <v>595.06124341784596</v>
      </c>
      <c r="BI33" s="59">
        <f ca="1">AVERAGE(OFFSET($BH$3,0,0,'Données projet'!$E$11+1,1))-AVERAGE(OFFSET($H$3,0,0,'Données projet'!$E$11+1,1))</f>
        <v>273.84349636755343</v>
      </c>
      <c r="BJ33" s="59">
        <f t="shared" si="38"/>
        <v>268.10688874775451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30.8</v>
      </c>
      <c r="N34" s="13">
        <f>IF('Données projet'!$A$36&gt;35,N33+M34-V33,IF(A34&lt;'Données projet'!$A$36,$K$205^A34,IF(A34='Données projet'!$A$36,'Données projet'!$B$36,N33+M34-V33)))</f>
        <v>329.80000000000007</v>
      </c>
      <c r="O34" s="13">
        <f>N34*VLOOKUP('Données projet'!$B$9,Paramètres!$A$1:$I$89,3,0)*VLOOKUP('Données projet'!$B$9,Paramètres!$A$1:$I$89,5,0)</f>
        <v>162.92120000000003</v>
      </c>
      <c r="P34" s="13">
        <f t="shared" si="33"/>
        <v>41.500704809983084</v>
      </c>
      <c r="Q34" s="20">
        <f t="shared" si="2"/>
        <v>356.03481754405396</v>
      </c>
      <c r="R34" s="59">
        <f t="shared" si="0"/>
        <v>649.36815087738728</v>
      </c>
      <c r="S34" s="59">
        <f ca="1">AVERAGE(OFFSET($R$3,0,0,'Données projet'!$E$9+1,1))-AVERAGE(OFFSET($H$3,0,0,'Données projet'!$E$9+1,1))</f>
        <v>434.08297999735811</v>
      </c>
      <c r="T34" s="59">
        <f t="shared" si="34"/>
        <v>371.04090283546122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50.294861236470702</v>
      </c>
      <c r="AB34" s="21">
        <f>EXP(-LN(2)/2)*AB33+(1-EXP(-LN(2)/2))/(LN(2)/2)*V34*Y34*VLOOKUP('Données projet'!$B$9,Paramètres!$A$1:$I$89,3,0)*0.475*44/12</f>
        <v>0.53145435173213551</v>
      </c>
      <c r="AC34" s="22">
        <f t="shared" si="3"/>
        <v>50.826315588202839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</v>
      </c>
      <c r="AI34" s="13">
        <f>IF('Données projet'!$A$62&gt;35,AI33+AH34-AQ33,IF(A34&lt;'Données projet'!$A$62,$AF$205^A34,IF(A34='Données projet'!$A$62,'Données projet'!$B$62,AI33+AH34-AQ33)))</f>
        <v>178.20000000000005</v>
      </c>
      <c r="AJ34" s="13">
        <f>AI34*VLOOKUP('Données projet'!$B$10,Paramètres!$A$1:$I$89,3,0)*VLOOKUP('Données projet'!$B$10,Paramètres!$A$1:$I$89,5,0)</f>
        <v>141.77592000000004</v>
      </c>
      <c r="AK34" s="13">
        <f t="shared" si="35"/>
        <v>36.703544878441981</v>
      </c>
      <c r="AL34" s="20">
        <f t="shared" si="4"/>
        <v>310.85173466328649</v>
      </c>
      <c r="AM34" s="59">
        <f t="shared" si="5"/>
        <v>604.18506799661986</v>
      </c>
      <c r="AN34" s="59">
        <f ca="1">AVERAGE(OFFSET($AM$3,0,0,'Données projet'!$E$10+1,1))-AVERAGE(OFFSET($H$3,0,0,'Données projet'!$E$10+1,1))</f>
        <v>331.52724290297675</v>
      </c>
      <c r="AO34" s="59">
        <f t="shared" si="36"/>
        <v>322.79102610158054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119.53656000000004</v>
      </c>
      <c r="BF34" s="13">
        <f t="shared" si="37"/>
        <v>31.566885194519276</v>
      </c>
      <c r="BG34" s="20">
        <f t="shared" si="7"/>
        <v>263.17183371378781</v>
      </c>
      <c r="BH34" s="59">
        <f t="shared" si="8"/>
        <v>556.50516704712118</v>
      </c>
      <c r="BI34" s="59">
        <f ca="1">AVERAGE(OFFSET($BH$3,0,0,'Données projet'!$E$11+1,1))-AVERAGE(OFFSET($H$3,0,0,'Données projet'!$E$11+1,1))</f>
        <v>273.84349636755343</v>
      </c>
      <c r="BJ34" s="59">
        <f t="shared" si="38"/>
        <v>268.10688874775451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30.8</v>
      </c>
      <c r="N35" s="13">
        <f>IF('Données projet'!$A$36&gt;35,N34+M35-V34,IF(A35&lt;'Données projet'!$A$36,$K$205^A35,IF(A35='Données projet'!$A$36,'Données projet'!$B$36,N34+M35-V34)))</f>
        <v>360.60000000000008</v>
      </c>
      <c r="O35" s="13">
        <f>N35*VLOOKUP('Données projet'!$B$9,Paramètres!$A$1:$I$89,3,0)*VLOOKUP('Données projet'!$B$9,Paramètres!$A$1:$I$89,5,0)</f>
        <v>178.13640000000004</v>
      </c>
      <c r="P35" s="13">
        <f t="shared" si="33"/>
        <v>44.907318700411338</v>
      </c>
      <c r="Q35" s="20">
        <f t="shared" ref="Q35:Q66" si="53">(O35+P35)*0.475*44/12</f>
        <v>388.46781006988311</v>
      </c>
      <c r="R35" s="59">
        <f t="shared" si="0"/>
        <v>681.80114340321643</v>
      </c>
      <c r="S35" s="59">
        <f ca="1">AVERAGE(OFFSET($R$3,0,0,'Données projet'!$E$9+1,1))-AVERAGE(OFFSET($H$3,0,0,'Données projet'!$E$9+1,1))</f>
        <v>434.08297999735811</v>
      </c>
      <c r="T35" s="59">
        <f t="shared" si="34"/>
        <v>371.04090283546122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48.919545611067612</v>
      </c>
      <c r="AB35" s="21">
        <f>EXP(-LN(2)/2)*AB34+(1-EXP(-LN(2)/2))/(LN(2)/2)*V35*Y35*VLOOKUP('Données projet'!$B$9,Paramètres!$A$1:$I$89,3,0)*0.475*44/12</f>
        <v>0.37579497600089362</v>
      </c>
      <c r="AC35" s="22">
        <f t="shared" si="3"/>
        <v>49.295340587068509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</v>
      </c>
      <c r="AI35" s="13">
        <f>IF('Données projet'!$A$62&gt;35,AI34+AH35-AQ34,IF(A35&lt;'Données projet'!$A$62,$AF$205^A35,IF(A35='Données projet'!$A$62,'Données projet'!$B$62,AI34+AH35-AQ34)))</f>
        <v>193.40000000000003</v>
      </c>
      <c r="AJ35" s="13">
        <f>AI35*VLOOKUP('Données projet'!$B$10,Paramètres!$A$1:$I$89,3,0)*VLOOKUP('Données projet'!$B$10,Paramètres!$A$1:$I$89,5,0)</f>
        <v>153.86904000000004</v>
      </c>
      <c r="AK35" s="13">
        <f t="shared" si="35"/>
        <v>39.456531419736123</v>
      </c>
      <c r="AL35" s="20">
        <f t="shared" si="4"/>
        <v>336.70870355604046</v>
      </c>
      <c r="AM35" s="59">
        <f t="shared" si="5"/>
        <v>630.04203688937378</v>
      </c>
      <c r="AN35" s="59">
        <f ca="1">AVERAGE(OFFSET($AM$3,0,0,'Données projet'!$E$10+1,1))-AVERAGE(OFFSET($H$3,0,0,'Données projet'!$E$10+1,1))</f>
        <v>331.52724290297675</v>
      </c>
      <c r="AO35" s="59">
        <f t="shared" si="36"/>
        <v>322.79102610158054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129.73272000000003</v>
      </c>
      <c r="BF35" s="13">
        <f t="shared" si="37"/>
        <v>33.934591376003993</v>
      </c>
      <c r="BG35" s="20">
        <f t="shared" si="7"/>
        <v>285.05390064654028</v>
      </c>
      <c r="BH35" s="59">
        <f t="shared" si="8"/>
        <v>578.3872339798736</v>
      </c>
      <c r="BI35" s="59">
        <f ca="1">AVERAGE(OFFSET($BH$3,0,0,'Données projet'!$E$11+1,1))-AVERAGE(OFFSET($H$3,0,0,'Données projet'!$E$11+1,1))</f>
        <v>273.84349636755343</v>
      </c>
      <c r="BJ35" s="59">
        <f t="shared" si="38"/>
        <v>268.10688874775451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30.8</v>
      </c>
      <c r="N36" s="13">
        <f>IF('Données projet'!$A$36&gt;35,N35+M36-V35,IF(A36&lt;'Données projet'!$A$36,$K$205^A36,IF(A36='Données projet'!$A$36,'Données projet'!$B$36,N35+M36-V35)))</f>
        <v>391.40000000000009</v>
      </c>
      <c r="O36" s="13">
        <f>N36*VLOOKUP('Données projet'!$B$9,Paramètres!$A$1:$I$89,3,0)*VLOOKUP('Données projet'!$B$9,Paramètres!$A$1:$I$89,5,0)</f>
        <v>193.35160000000005</v>
      </c>
      <c r="P36" s="13">
        <f t="shared" si="33"/>
        <v>48.280188235092567</v>
      </c>
      <c r="Q36" s="20">
        <f t="shared" si="53"/>
        <v>420.84203117611963</v>
      </c>
      <c r="R36" s="59">
        <f t="shared" si="0"/>
        <v>714.17536450945295</v>
      </c>
      <c r="S36" s="59">
        <f ca="1">AVERAGE(OFFSET($R$3,0,0,'Données projet'!$E$9+1,1))-AVERAGE(OFFSET($H$3,0,0,'Données projet'!$E$9+1,1))</f>
        <v>434.08297999735811</v>
      </c>
      <c r="T36" s="59">
        <f t="shared" si="34"/>
        <v>371.04090283546122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47.581838063765872</v>
      </c>
      <c r="AB36" s="21">
        <f>EXP(-LN(2)/2)*AB35+(1-EXP(-LN(2)/2))/(LN(2)/2)*V36*Y36*VLOOKUP('Données projet'!$B$9,Paramètres!$A$1:$I$89,3,0)*0.475*44/12</f>
        <v>0.26572717586606776</v>
      </c>
      <c r="AC36" s="22">
        <f t="shared" si="3"/>
        <v>47.84756523963194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</v>
      </c>
      <c r="AI36" s="13">
        <f>IF('Données projet'!$A$62&gt;35,AI35+AH36-AQ35,IF(A36&lt;'Données projet'!$A$62,$AF$205^A36,IF(A36='Données projet'!$A$62,'Données projet'!$B$62,AI35+AH36-AQ35)))</f>
        <v>208.60000000000002</v>
      </c>
      <c r="AJ36" s="13">
        <f>AI36*VLOOKUP('Données projet'!$B$10,Paramètres!$A$1:$I$89,3,0)*VLOOKUP('Données projet'!$B$10,Paramètres!$A$1:$I$89,5,0)</f>
        <v>165.96216000000001</v>
      </c>
      <c r="AK36" s="13">
        <f t="shared" si="35"/>
        <v>42.184420424142857</v>
      </c>
      <c r="AL36" s="20">
        <f t="shared" si="4"/>
        <v>362.52196090538217</v>
      </c>
      <c r="AM36" s="59">
        <f t="shared" si="5"/>
        <v>655.85529423871549</v>
      </c>
      <c r="AN36" s="59">
        <f ca="1">AVERAGE(OFFSET($AM$3,0,0,'Données projet'!$E$10+1,1))-AVERAGE(OFFSET($H$3,0,0,'Données projet'!$E$10+1,1))</f>
        <v>331.52724290297675</v>
      </c>
      <c r="AO36" s="59">
        <f t="shared" si="36"/>
        <v>322.79102610158054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139.92888000000002</v>
      </c>
      <c r="BF36" s="13">
        <f t="shared" si="37"/>
        <v>36.280712419916505</v>
      </c>
      <c r="BG36" s="20">
        <f t="shared" si="7"/>
        <v>306.89837346468795</v>
      </c>
      <c r="BH36" s="59">
        <f t="shared" si="8"/>
        <v>600.23170679802126</v>
      </c>
      <c r="BI36" s="59">
        <f ca="1">AVERAGE(OFFSET($BH$3,0,0,'Données projet'!$E$11+1,1))-AVERAGE(OFFSET($H$3,0,0,'Données projet'!$E$11+1,1))</f>
        <v>273.84349636755343</v>
      </c>
      <c r="BJ36" s="59">
        <f t="shared" si="38"/>
        <v>268.10688874775451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30.8</v>
      </c>
      <c r="N37" s="13">
        <f>IF('Données projet'!$A$36&gt;35,N36+M37-V36,IF(A37&lt;'Données projet'!$A$36,$K$205^A37,IF(A37='Données projet'!$A$36,'Données projet'!$B$36,N36+M37-V36)))</f>
        <v>422.2000000000001</v>
      </c>
      <c r="O37" s="13">
        <f>N37*VLOOKUP('Données projet'!$B$9,Paramètres!$A$1:$I$89,3,0)*VLOOKUP('Données projet'!$B$9,Paramètres!$A$1:$I$89,5,0)</f>
        <v>208.56680000000006</v>
      </c>
      <c r="P37" s="13">
        <f t="shared" si="33"/>
        <v>51.622270722899735</v>
      </c>
      <c r="Q37" s="20">
        <f t="shared" si="53"/>
        <v>453.16263150905041</v>
      </c>
      <c r="R37" s="59">
        <f t="shared" si="0"/>
        <v>746.49596484238373</v>
      </c>
      <c r="S37" s="59">
        <f ca="1">AVERAGE(OFFSET($R$3,0,0,'Données projet'!$E$9+1,1))-AVERAGE(OFFSET($H$3,0,0,'Données projet'!$E$9+1,1))</f>
        <v>434.08297999735811</v>
      </c>
      <c r="T37" s="59">
        <f t="shared" si="34"/>
        <v>371.04090283546122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46.280710199692081</v>
      </c>
      <c r="AB37" s="21">
        <f>EXP(-LN(2)/2)*AB36+(1-EXP(-LN(2)/2))/(LN(2)/2)*V37*Y37*VLOOKUP('Données projet'!$B$9,Paramètres!$A$1:$I$89,3,0)*0.475*44/12</f>
        <v>0.18789748800044681</v>
      </c>
      <c r="AC37" s="22">
        <f t="shared" si="3"/>
        <v>46.468607687692526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</v>
      </c>
      <c r="AI37" s="13">
        <f>IF('Données projet'!$A$62&gt;35,AI36+AH37-AQ36,IF(A37&lt;'Données projet'!$A$62,$AF$205^A37,IF(A37='Données projet'!$A$62,'Données projet'!$B$62,AI36+AH37-AQ36)))</f>
        <v>223.8</v>
      </c>
      <c r="AJ37" s="13">
        <f>AI37*VLOOKUP('Données projet'!$B$10,Paramètres!$A$1:$I$89,3,0)*VLOOKUP('Données projet'!$B$10,Paramètres!$A$1:$I$89,5,0)</f>
        <v>178.05528000000001</v>
      </c>
      <c r="AK37" s="13">
        <f t="shared" si="35"/>
        <v>44.889248639558041</v>
      </c>
      <c r="AL37" s="20">
        <f t="shared" si="4"/>
        <v>388.29505404723028</v>
      </c>
      <c r="AM37" s="59">
        <f t="shared" si="5"/>
        <v>681.62838738056359</v>
      </c>
      <c r="AN37" s="59">
        <f ca="1">AVERAGE(OFFSET($AM$3,0,0,'Données projet'!$E$10+1,1))-AVERAGE(OFFSET($H$3,0,0,'Données projet'!$E$10+1,1))</f>
        <v>331.52724290297675</v>
      </c>
      <c r="AO37" s="59">
        <f t="shared" si="36"/>
        <v>322.79102610158054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150.12504000000001</v>
      </c>
      <c r="BF37" s="13">
        <f t="shared" si="37"/>
        <v>38.607000031363413</v>
      </c>
      <c r="BG37" s="20">
        <f t="shared" si="7"/>
        <v>328.70830305462459</v>
      </c>
      <c r="BH37" s="59">
        <f t="shared" si="8"/>
        <v>622.04163638795785</v>
      </c>
      <c r="BI37" s="59">
        <f ca="1">AVERAGE(OFFSET($BH$3,0,0,'Données projet'!$E$11+1,1))-AVERAGE(OFFSET($H$3,0,0,'Données projet'!$E$11+1,1))</f>
        <v>273.84349636755343</v>
      </c>
      <c r="BJ37" s="59">
        <f t="shared" si="38"/>
        <v>268.10688874775451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453</v>
      </c>
      <c r="L38" s="12">
        <f>VLOOKUP(A38,'Données projet'!$A$35:$I$55,9,0)</f>
        <v>30.8</v>
      </c>
      <c r="M38" s="12">
        <f t="array" ref="M38">INDEX(L:L,MIN(IF(ISNUMBER(L38:L234),ROW(L38:L234),"")))</f>
        <v>30.8</v>
      </c>
      <c r="N38" s="13">
        <f>IF('Données projet'!$A$36&gt;35,N37+M38-V37,IF(A38&lt;'Données projet'!$A$36,$K$205^A38,IF(A38='Données projet'!$A$36,'Données projet'!$B$36,N37+M38-V37)))</f>
        <v>453.00000000000011</v>
      </c>
      <c r="O38" s="13">
        <f>N38*VLOOKUP('Données projet'!$B$9,Paramètres!$A$1:$I$89,3,0)*VLOOKUP('Données projet'!$B$9,Paramètres!$A$1:$I$89,5,0)</f>
        <v>223.78200000000007</v>
      </c>
      <c r="P38" s="13">
        <f t="shared" si="33"/>
        <v>54.936067529408966</v>
      </c>
      <c r="Q38" s="20">
        <f t="shared" si="53"/>
        <v>485.43396761372065</v>
      </c>
      <c r="R38" s="59">
        <f t="shared" si="0"/>
        <v>778.76730094705397</v>
      </c>
      <c r="S38" s="59">
        <f ca="1">AVERAGE(OFFSET($R$3,0,0,'Données projet'!$E$9+1,1))-AVERAGE(OFFSET($H$3,0,0,'Données projet'!$E$9+1,1))</f>
        <v>434.08297999735811</v>
      </c>
      <c r="T38" s="59">
        <f t="shared" si="34"/>
        <v>371.04090283546122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77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27.752922315805076</v>
      </c>
      <c r="AA38" s="21">
        <f>EXP(-LN(2)/25)*AA37+(1-EXP(-LN(2)/25))/(LN(2)/25)*Calculateur!V38*Calculateur!X38*VLOOKUP('Données projet'!$B$9,Paramètres!$A$1:$I$89,3,0)*0.475*44/12</f>
        <v>45.015161745484725</v>
      </c>
      <c r="AB38" s="21">
        <f>EXP(-LN(2)/2)*AB37+(1-EXP(-LN(2)/2))/(LN(2)/2)*V38*Y38*VLOOKUP('Données projet'!$B$9,Paramètres!$A$1:$I$89,3,0)*0.475*44/12</f>
        <v>0.13286358793303388</v>
      </c>
      <c r="AC38" s="22">
        <f t="shared" si="3"/>
        <v>72.900947649222829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239</v>
      </c>
      <c r="AG38" s="12">
        <f>VLOOKUP(A38,'Données projet'!$A$61:$I$81,9,0)</f>
        <v>15.2</v>
      </c>
      <c r="AH38" s="12">
        <f t="array" ref="AH38">INDEX(AG:AG,MIN(IF(ISNUMBER(AG38:AG234),ROW(AG38:AG234),"")))</f>
        <v>15.2</v>
      </c>
      <c r="AI38" s="13">
        <f>IF('Données projet'!$A$62&gt;35,AI37+AH38-AQ37,IF(A38&lt;'Données projet'!$A$62,$AF$205^A38,IF(A38='Données projet'!$A$62,'Données projet'!$B$62,AI37+AH38-AQ37)))</f>
        <v>239</v>
      </c>
      <c r="AJ38" s="13">
        <f>AI38*VLOOKUP('Données projet'!$B$10,Paramètres!$A$1:$I$89,3,0)*VLOOKUP('Données projet'!$B$10,Paramètres!$A$1:$I$89,5,0)</f>
        <v>190.14840000000001</v>
      </c>
      <c r="AK38" s="13">
        <f t="shared" si="35"/>
        <v>47.572760493232991</v>
      </c>
      <c r="AL38" s="20">
        <f t="shared" si="4"/>
        <v>414.03102119238082</v>
      </c>
      <c r="AM38" s="59">
        <f t="shared" si="5"/>
        <v>707.36435452571413</v>
      </c>
      <c r="AN38" s="59">
        <f ca="1">AVERAGE(OFFSET($AM$3,0,0,'Données projet'!$E$10+1,1))-AVERAGE(OFFSET($H$3,0,0,'Données projet'!$E$10+1,1))</f>
        <v>331.52724290297675</v>
      </c>
      <c r="AO38" s="59">
        <f t="shared" si="36"/>
        <v>322.79102610158054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19.577942327869806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19.577942327869806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160.3212</v>
      </c>
      <c r="BF38" s="13">
        <f t="shared" si="37"/>
        <v>40.914954505069986</v>
      </c>
      <c r="BG38" s="20">
        <f t="shared" si="7"/>
        <v>350.48630242966351</v>
      </c>
      <c r="BH38" s="59">
        <f t="shared" si="8"/>
        <v>643.81963576299677</v>
      </c>
      <c r="BI38" s="59">
        <f ca="1">AVERAGE(OFFSET($BH$3,0,0,'Données projet'!$E$11+1,1))-AVERAGE(OFFSET($H$3,0,0,'Données projet'!$E$11+1,1))</f>
        <v>273.84349636755343</v>
      </c>
      <c r="BJ38" s="59">
        <f t="shared" si="38"/>
        <v>268.10688874775451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16.506892550949051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16.506892550949051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29.6</v>
      </c>
      <c r="N39" s="13">
        <f>IF('Données projet'!$A$36&gt;35,N38+M39-V38,IF(A39&lt;'Données projet'!$A$36,$K$205^A39,IF(A39='Données projet'!$A$36,'Données projet'!$B$36,N38+M39-V38)))</f>
        <v>405.60000000000014</v>
      </c>
      <c r="O39" s="13">
        <f>N39*VLOOKUP('Données projet'!$B$9,Paramètres!$A$1:$I$89,3,0)*VLOOKUP('Données projet'!$B$9,Paramètres!$A$1:$I$89,5,0)</f>
        <v>200.36640000000006</v>
      </c>
      <c r="P39" s="13">
        <f t="shared" si="33"/>
        <v>49.824682775783181</v>
      </c>
      <c r="Q39" s="20">
        <f t="shared" si="53"/>
        <v>435.74946916782238</v>
      </c>
      <c r="R39" s="59">
        <f t="shared" si="0"/>
        <v>729.0828025011557</v>
      </c>
      <c r="S39" s="59">
        <f ca="1">AVERAGE(OFFSET($R$3,0,0,'Données projet'!$E$9+1,1))-AVERAGE(OFFSET($H$3,0,0,'Données projet'!$E$9+1,1))</f>
        <v>434.08297999735811</v>
      </c>
      <c r="T39" s="59">
        <f t="shared" si="34"/>
        <v>371.04090283546122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27.208704436803288</v>
      </c>
      <c r="AA39" s="21">
        <f>EXP(-LN(2)/25)*AA38+(1-EXP(-LN(2)/25))/(LN(2)/25)*Calculateur!V39*Calculateur!X39*VLOOKUP('Données projet'!$B$9,Paramètres!$A$1:$I$89,3,0)*0.475*44/12</f>
        <v>43.784219780309975</v>
      </c>
      <c r="AB39" s="21">
        <f>EXP(-LN(2)/2)*AB38+(1-EXP(-LN(2)/2))/(LN(2)/2)*V39*Y39*VLOOKUP('Données projet'!$B$9,Paramètres!$A$1:$I$89,3,0)*0.475*44/12</f>
        <v>9.3948744000223405E-2</v>
      </c>
      <c r="AC39" s="22">
        <f t="shared" si="3"/>
        <v>71.086872961113485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13.2</v>
      </c>
      <c r="AI39" s="13">
        <f>IF('Données projet'!$A$62&gt;35,AI38+AH39-AQ38,IF(A39&lt;'Données projet'!$A$62,$AF$205^A39,IF(A39='Données projet'!$A$62,'Données projet'!$B$62,AI38+AH39-AQ38)))</f>
        <v>210.2</v>
      </c>
      <c r="AJ39" s="13">
        <f>AI39*VLOOKUP('Données projet'!$B$10,Paramètres!$A$1:$I$89,3,0)*VLOOKUP('Données projet'!$B$10,Paramètres!$A$1:$I$89,5,0)</f>
        <v>167.23511999999999</v>
      </c>
      <c r="AK39" s="13">
        <f t="shared" si="35"/>
        <v>42.470192710511604</v>
      </c>
      <c r="AL39" s="20">
        <f t="shared" si="4"/>
        <v>365.23675297080769</v>
      </c>
      <c r="AM39" s="59">
        <f t="shared" si="5"/>
        <v>658.570086304141</v>
      </c>
      <c r="AN39" s="59">
        <f ca="1">AVERAGE(OFFSET($AM$3,0,0,'Données projet'!$E$10+1,1))-AVERAGE(OFFSET($H$3,0,0,'Données projet'!$E$10+1,1))</f>
        <v>331.52724290297675</v>
      </c>
      <c r="AO39" s="59">
        <f t="shared" si="36"/>
        <v>322.79102610158054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19.194030820185986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19.194030820185986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141.00216</v>
      </c>
      <c r="BF39" s="13">
        <f t="shared" si="37"/>
        <v>36.526490885878076</v>
      </c>
      <c r="BG39" s="20">
        <f t="shared" si="7"/>
        <v>309.19573362623765</v>
      </c>
      <c r="BH39" s="59">
        <f t="shared" si="8"/>
        <v>602.52906695957097</v>
      </c>
      <c r="BI39" s="59">
        <f ca="1">AVERAGE(OFFSET($BH$3,0,0,'Données projet'!$E$11+1,1))-AVERAGE(OFFSET($H$3,0,0,'Données projet'!$E$11+1,1))</f>
        <v>273.84349636755343</v>
      </c>
      <c r="BJ39" s="59">
        <f t="shared" si="38"/>
        <v>268.10688874775451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16.183202456235243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16.183202456235243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29.6</v>
      </c>
      <c r="N40" s="13">
        <f>IF('Données projet'!$A$36&gt;35,N39+M40-V39,IF(A40&lt;'Données projet'!$A$36,$K$205^A40,IF(A40='Données projet'!$A$36,'Données projet'!$B$36,N39+M40-V39)))</f>
        <v>435.20000000000016</v>
      </c>
      <c r="O40" s="13">
        <f>N40*VLOOKUP('Données projet'!$B$9,Paramètres!$A$1:$I$89,3,0)*VLOOKUP('Données projet'!$B$9,Paramètres!$A$1:$I$89,5,0)</f>
        <v>214.98880000000008</v>
      </c>
      <c r="P40" s="13">
        <f t="shared" si="33"/>
        <v>53.024269883045626</v>
      </c>
      <c r="Q40" s="20">
        <f t="shared" si="53"/>
        <v>466.78943004630463</v>
      </c>
      <c r="R40" s="59">
        <f t="shared" si="0"/>
        <v>760.12276337963795</v>
      </c>
      <c r="S40" s="59">
        <f ca="1">AVERAGE(OFFSET($R$3,0,0,'Données projet'!$E$9+1,1))-AVERAGE(OFFSET($H$3,0,0,'Données projet'!$E$9+1,1))</f>
        <v>434.08297999735811</v>
      </c>
      <c r="T40" s="59">
        <f t="shared" si="34"/>
        <v>371.04090283546122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26.675158338468595</v>
      </c>
      <c r="AA40" s="21">
        <f>EXP(-LN(2)/25)*AA39+(1-EXP(-LN(2)/25))/(LN(2)/25)*Calculateur!V40*Calculateur!X40*VLOOKUP('Données projet'!$B$9,Paramètres!$A$1:$I$89,3,0)*0.475*44/12</f>
        <v>42.586937987905351</v>
      </c>
      <c r="AB40" s="21">
        <f>EXP(-LN(2)/2)*AB39+(1-EXP(-LN(2)/2))/(LN(2)/2)*V40*Y40*VLOOKUP('Données projet'!$B$9,Paramètres!$A$1:$I$89,3,0)*0.475*44/12</f>
        <v>6.6431793966516939E-2</v>
      </c>
      <c r="AC40" s="22">
        <f t="shared" si="3"/>
        <v>69.328528120340465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13.2</v>
      </c>
      <c r="AI40" s="13">
        <f>IF('Données projet'!$A$62&gt;35,AI39+AH40-AQ39,IF(A40&lt;'Données projet'!$A$62,$AF$205^A40,IF(A40='Données projet'!$A$62,'Données projet'!$B$62,AI39+AH40-AQ39)))</f>
        <v>223.39999999999998</v>
      </c>
      <c r="AJ40" s="13">
        <f>AI40*VLOOKUP('Données projet'!$B$10,Paramètres!$A$1:$I$89,3,0)*VLOOKUP('Données projet'!$B$10,Paramètres!$A$1:$I$89,5,0)</f>
        <v>177.73703999999998</v>
      </c>
      <c r="AK40" s="13">
        <f t="shared" si="35"/>
        <v>44.818349142210366</v>
      </c>
      <c r="AL40" s="20">
        <f t="shared" si="4"/>
        <v>387.61730275601627</v>
      </c>
      <c r="AM40" s="59">
        <f t="shared" si="5"/>
        <v>680.95063608934959</v>
      </c>
      <c r="AN40" s="59">
        <f ca="1">AVERAGE(OFFSET($AM$3,0,0,'Données projet'!$E$10+1,1))-AVERAGE(OFFSET($H$3,0,0,'Données projet'!$E$10+1,1))</f>
        <v>331.52724290297675</v>
      </c>
      <c r="AO40" s="59">
        <f t="shared" si="36"/>
        <v>322.79102610158054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18.817647583004948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18.817647583004948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149.85671999999997</v>
      </c>
      <c r="BF40" s="13">
        <f t="shared" si="37"/>
        <v>38.546022915923054</v>
      </c>
      <c r="BG40" s="20">
        <f t="shared" si="7"/>
        <v>328.13477724523256</v>
      </c>
      <c r="BH40" s="59">
        <f t="shared" si="8"/>
        <v>621.46811057856587</v>
      </c>
      <c r="BI40" s="59">
        <f ca="1">AVERAGE(OFFSET($BH$3,0,0,'Données projet'!$E$11+1,1))-AVERAGE(OFFSET($H$3,0,0,'Données projet'!$E$11+1,1))</f>
        <v>273.84349636755343</v>
      </c>
      <c r="BJ40" s="59">
        <f t="shared" si="38"/>
        <v>268.10688874775451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15.86585972684731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15.86585972684731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29.6</v>
      </c>
      <c r="N41" s="13">
        <f>IF('Données projet'!$A$36&gt;35,N40+M41-V40,IF(A41&lt;'Données projet'!$A$36,$K$205^A41,IF(A41='Données projet'!$A$36,'Données projet'!$B$36,N40+M41-V40)))</f>
        <v>464.80000000000018</v>
      </c>
      <c r="O41" s="13">
        <f>N41*VLOOKUP('Données projet'!$B$9,Paramètres!$A$1:$I$89,3,0)*VLOOKUP('Données projet'!$B$9,Paramètres!$A$1:$I$89,5,0)</f>
        <v>229.61120000000011</v>
      </c>
      <c r="P41" s="13">
        <f t="shared" si="33"/>
        <v>56.19860560493467</v>
      </c>
      <c r="Q41" s="20">
        <f t="shared" si="53"/>
        <v>497.78541142859484</v>
      </c>
      <c r="R41" s="59">
        <f t="shared" si="0"/>
        <v>791.11874476192816</v>
      </c>
      <c r="S41" s="59">
        <f ca="1">AVERAGE(OFFSET($R$3,0,0,'Données projet'!$E$9+1,1))-AVERAGE(OFFSET($H$3,0,0,'Données projet'!$E$9+1,1))</f>
        <v>434.08297999735811</v>
      </c>
      <c r="T41" s="59">
        <f t="shared" si="34"/>
        <v>371.04090283546122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26.152074753691259</v>
      </c>
      <c r="AA41" s="21">
        <f>EXP(-LN(2)/25)*AA40+(1-EXP(-LN(2)/25))/(LN(2)/25)*Calculateur!V41*Calculateur!X41*VLOOKUP('Données projet'!$B$9,Paramètres!$A$1:$I$89,3,0)*0.475*44/12</f>
        <v>41.422395929076345</v>
      </c>
      <c r="AB41" s="21">
        <f>EXP(-LN(2)/2)*AB40+(1-EXP(-LN(2)/2))/(LN(2)/2)*V41*Y41*VLOOKUP('Données projet'!$B$9,Paramètres!$A$1:$I$89,3,0)*0.475*44/12</f>
        <v>4.6974372000111703E-2</v>
      </c>
      <c r="AC41" s="22">
        <f t="shared" si="3"/>
        <v>67.621445054767719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13.2</v>
      </c>
      <c r="AI41" s="13">
        <f>IF('Données projet'!$A$62&gt;35,AI40+AH41-AQ40,IF(A41&lt;'Données projet'!$A$62,$AF$205^A41,IF(A41='Données projet'!$A$62,'Données projet'!$B$62,AI40+AH41-AQ40)))</f>
        <v>236.59999999999997</v>
      </c>
      <c r="AJ41" s="13">
        <f>AI41*VLOOKUP('Données projet'!$B$10,Paramètres!$A$1:$I$89,3,0)*VLOOKUP('Données projet'!$B$10,Paramètres!$A$1:$I$89,5,0)</f>
        <v>188.23895999999999</v>
      </c>
      <c r="AK41" s="13">
        <f t="shared" si="35"/>
        <v>47.150401158990007</v>
      </c>
      <c r="AL41" s="20">
        <f t="shared" si="4"/>
        <v>409.96980401857422</v>
      </c>
      <c r="AM41" s="59">
        <f t="shared" si="5"/>
        <v>703.30313735190748</v>
      </c>
      <c r="AN41" s="59">
        <f ca="1">AVERAGE(OFFSET($AM$3,0,0,'Données projet'!$E$10+1,1))-AVERAGE(OFFSET($H$3,0,0,'Données projet'!$E$10+1,1))</f>
        <v>331.52724290297675</v>
      </c>
      <c r="AO41" s="59">
        <f t="shared" si="36"/>
        <v>322.79102610158054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18.448644991533925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18.448644991533925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158.71127999999999</v>
      </c>
      <c r="BF41" s="13">
        <f t="shared" si="37"/>
        <v>40.551704343293025</v>
      </c>
      <c r="BG41" s="20">
        <f t="shared" si="7"/>
        <v>347.04969773123526</v>
      </c>
      <c r="BH41" s="59">
        <f t="shared" si="8"/>
        <v>640.38303106456851</v>
      </c>
      <c r="BI41" s="59">
        <f ca="1">AVERAGE(OFFSET($BH$3,0,0,'Données projet'!$E$11+1,1))-AVERAGE(OFFSET($H$3,0,0,'Données projet'!$E$11+1,1))</f>
        <v>273.84349636755343</v>
      </c>
      <c r="BJ41" s="59">
        <f t="shared" si="38"/>
        <v>268.10688874775451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15.554739894822722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15.554739894822722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29.6</v>
      </c>
      <c r="N42" s="13">
        <f>IF('Données projet'!$A$36&gt;35,N41+M42-V41,IF(A42&lt;'Données projet'!$A$36,$K$205^A42,IF(A42='Données projet'!$A$36,'Données projet'!$B$36,N41+M42-V41)))</f>
        <v>494.4000000000002</v>
      </c>
      <c r="O42" s="13">
        <f>N42*VLOOKUP('Données projet'!$B$9,Paramètres!$A$1:$I$89,3,0)*VLOOKUP('Données projet'!$B$9,Paramètres!$A$1:$I$89,5,0)</f>
        <v>244.23360000000011</v>
      </c>
      <c r="P42" s="13">
        <f t="shared" si="33"/>
        <v>59.34948107502936</v>
      </c>
      <c r="Q42" s="20">
        <f t="shared" si="53"/>
        <v>528.7405328723429</v>
      </c>
      <c r="R42" s="59">
        <f t="shared" si="0"/>
        <v>822.07386620567627</v>
      </c>
      <c r="S42" s="59">
        <f ca="1">AVERAGE(OFFSET($R$3,0,0,'Données projet'!$E$9+1,1))-AVERAGE(OFFSET($H$3,0,0,'Données projet'!$E$9+1,1))</f>
        <v>434.08297999735811</v>
      </c>
      <c r="T42" s="59">
        <f t="shared" si="34"/>
        <v>371.04090283546122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25.639248518961924</v>
      </c>
      <c r="AA42" s="21">
        <f>EXP(-LN(2)/25)*AA41+(1-EXP(-LN(2)/25))/(LN(2)/25)*Calculateur!V42*Calculateur!X42*VLOOKUP('Données projet'!$B$9,Paramètres!$A$1:$I$89,3,0)*0.475*44/12</f>
        <v>40.289698334086623</v>
      </c>
      <c r="AB42" s="21">
        <f>EXP(-LN(2)/2)*AB41+(1-EXP(-LN(2)/2))/(LN(2)/2)*V42*Y42*VLOOKUP('Données projet'!$B$9,Paramètres!$A$1:$I$89,3,0)*0.475*44/12</f>
        <v>3.3215896983258469E-2</v>
      </c>
      <c r="AC42" s="22">
        <f t="shared" si="3"/>
        <v>65.962162750031808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13.2</v>
      </c>
      <c r="AI42" s="13">
        <f>IF('Données projet'!$A$62&gt;35,AI41+AH42-AQ41,IF(A42&lt;'Données projet'!$A$62,$AF$205^A42,IF(A42='Données projet'!$A$62,'Données projet'!$B$62,AI41+AH42-AQ41)))</f>
        <v>249.79999999999995</v>
      </c>
      <c r="AJ42" s="13">
        <f>AI42*VLOOKUP('Données projet'!$B$10,Paramètres!$A$1:$I$89,3,0)*VLOOKUP('Données projet'!$B$10,Paramètres!$A$1:$I$89,5,0)</f>
        <v>198.74087999999998</v>
      </c>
      <c r="AK42" s="13">
        <f t="shared" si="35"/>
        <v>49.467349630825638</v>
      </c>
      <c r="AL42" s="20">
        <f t="shared" si="4"/>
        <v>432.29599994035453</v>
      </c>
      <c r="AM42" s="59">
        <f t="shared" si="5"/>
        <v>725.62933327368785</v>
      </c>
      <c r="AN42" s="59">
        <f ca="1">AVERAGE(OFFSET($AM$3,0,0,'Données projet'!$E$10+1,1))-AVERAGE(OFFSET($H$3,0,0,'Données projet'!$E$10+1,1))</f>
        <v>331.52724290297675</v>
      </c>
      <c r="AO42" s="59">
        <f t="shared" si="36"/>
        <v>322.79102610158054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18.086878315812292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18.086878315812292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167.56583999999995</v>
      </c>
      <c r="BF42" s="13">
        <f t="shared" si="37"/>
        <v>42.54439596624875</v>
      </c>
      <c r="BG42" s="20">
        <f t="shared" si="7"/>
        <v>365.94199430788308</v>
      </c>
      <c r="BH42" s="59">
        <f t="shared" si="8"/>
        <v>659.27532764121634</v>
      </c>
      <c r="BI42" s="59">
        <f ca="1">AVERAGE(OFFSET($BH$3,0,0,'Données projet'!$E$11+1,1))-AVERAGE(OFFSET($H$3,0,0,'Données projet'!$E$11+1,1))</f>
        <v>273.84349636755343</v>
      </c>
      <c r="BJ42" s="59">
        <f t="shared" si="38"/>
        <v>268.10688874775451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15.249720932939777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15.249720932939777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524</v>
      </c>
      <c r="L43" s="12">
        <f>VLOOKUP(A43,'Données projet'!$A$35:$I$55,9,0)</f>
        <v>29.6</v>
      </c>
      <c r="M43" s="12">
        <f t="array" ref="M43">INDEX(L:L,MIN(IF(ISNUMBER(L43:L239),ROW(L43:L239),"")))</f>
        <v>29.6</v>
      </c>
      <c r="N43" s="13">
        <f>IF('Données projet'!$A$36&gt;35,N42+M43-V42,IF(A43&lt;'Données projet'!$A$36,$K$205^A43,IF(A43='Données projet'!$A$36,'Données projet'!$B$36,N42+M43-V42)))</f>
        <v>524.00000000000023</v>
      </c>
      <c r="O43" s="13">
        <f>N43*VLOOKUP('Données projet'!$B$9,Paramètres!$A$1:$I$89,3,0)*VLOOKUP('Données projet'!$B$9,Paramètres!$A$1:$I$89,5,0)</f>
        <v>258.85600000000011</v>
      </c>
      <c r="P43" s="13">
        <f t="shared" si="33"/>
        <v>62.478460837483958</v>
      </c>
      <c r="Q43" s="20">
        <f t="shared" si="53"/>
        <v>559.65751929195142</v>
      </c>
      <c r="R43" s="59">
        <f t="shared" si="0"/>
        <v>852.99085262528479</v>
      </c>
      <c r="S43" s="59">
        <f ca="1">AVERAGE(OFFSET($R$3,0,0,'Données projet'!$E$9+1,1))-AVERAGE(OFFSET($H$3,0,0,'Données projet'!$E$9+1,1))</f>
        <v>434.08297999735811</v>
      </c>
      <c r="T43" s="59">
        <f t="shared" si="34"/>
        <v>371.04090283546122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52.889400809707595</v>
      </c>
      <c r="AA43" s="21">
        <f>EXP(-LN(2)/25)*AA42+(1-EXP(-LN(2)/25))/(LN(2)/25)*Calculateur!V43*Calculateur!X43*VLOOKUP('Données projet'!$B$9,Paramètres!$A$1:$I$89,3,0)*0.475*44/12</f>
        <v>39.187974414397871</v>
      </c>
      <c r="AB43" s="21">
        <f>EXP(-LN(2)/2)*AB42+(1-EXP(-LN(2)/2))/(LN(2)/2)*V43*Y43*VLOOKUP('Données projet'!$B$9,Paramètres!$A$1:$I$89,3,0)*0.475*44/12</f>
        <v>2.3487186000055851E-2</v>
      </c>
      <c r="AC43" s="22">
        <f t="shared" si="3"/>
        <v>92.10086241010552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13.2</v>
      </c>
      <c r="AH43" s="12">
        <f t="array" ref="AH43">INDEX(AG:AG,MIN(IF(ISNUMBER(AG43:AG239),ROW(AG43:AG239),"")))</f>
        <v>13.2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331.52724290297675</v>
      </c>
      <c r="AO43" s="59">
        <f t="shared" si="36"/>
        <v>322.79102610158054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36.377865023821677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36.377865023821677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176.42039999999997</v>
      </c>
      <c r="BF43" s="13">
        <f t="shared" si="37"/>
        <v>44.5248624718784</v>
      </c>
      <c r="BG43" s="20">
        <f t="shared" si="7"/>
        <v>384.81299880518822</v>
      </c>
      <c r="BH43" s="59">
        <f t="shared" si="8"/>
        <v>678.14633213852153</v>
      </c>
      <c r="BI43" s="59">
        <f ca="1">AVERAGE(OFFSET($BH$3,0,0,'Données projet'!$E$11+1,1))-AVERAGE(OFFSET($H$3,0,0,'Données projet'!$E$11+1,1))</f>
        <v>273.84349636755343</v>
      </c>
      <c r="BJ43" s="59">
        <f t="shared" si="38"/>
        <v>268.10688874775451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30.67153325537906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30.67153325537906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28.2</v>
      </c>
      <c r="N44" s="13">
        <f>IF('Données projet'!$A$36&gt;35,N43+M44-V43,IF(A44&lt;'Données projet'!$A$36,$K$205^A44,IF(A44='Données projet'!$A$36,'Données projet'!$B$36,N43+M44-V43)))</f>
        <v>475.20000000000027</v>
      </c>
      <c r="O44" s="13">
        <f>N44*VLOOKUP('Données projet'!$B$9,Paramètres!$A$1:$I$89,3,0)*VLOOKUP('Données projet'!$B$9,Paramètres!$A$1:$I$89,5,0)</f>
        <v>234.74880000000016</v>
      </c>
      <c r="P44" s="13">
        <f t="shared" si="33"/>
        <v>57.308258637037845</v>
      </c>
      <c r="Q44" s="20">
        <f t="shared" si="53"/>
        <v>508.66604379284121</v>
      </c>
      <c r="R44" s="59">
        <f t="shared" si="0"/>
        <v>801.99937712617452</v>
      </c>
      <c r="S44" s="59">
        <f ca="1">AVERAGE(OFFSET($R$3,0,0,'Données projet'!$E$9+1,1))-AVERAGE(OFFSET($H$3,0,0,'Données projet'!$E$9+1,1))</f>
        <v>434.08297999735811</v>
      </c>
      <c r="T44" s="59">
        <f t="shared" si="34"/>
        <v>371.04090283546122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51.852271919178378</v>
      </c>
      <c r="AA44" s="21">
        <f>EXP(-LN(2)/25)*AA43+(1-EXP(-LN(2)/25))/(LN(2)/25)*Calculateur!V44*Calculateur!X44*VLOOKUP('Données projet'!$B$9,Paramètres!$A$1:$I$89,3,0)*0.475*44/12</f>
        <v>38.11637719323015</v>
      </c>
      <c r="AB44" s="21">
        <f>EXP(-LN(2)/2)*AB43+(1-EXP(-LN(2)/2))/(LN(2)/2)*V44*Y44*VLOOKUP('Données projet'!$B$9,Paramètres!$A$1:$I$89,3,0)*0.475*44/12</f>
        <v>1.6607948491629235E-2</v>
      </c>
      <c r="AC44" s="22">
        <f t="shared" si="3"/>
        <v>89.985257060900153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234.39999999999992</v>
      </c>
      <c r="AJ44" s="13">
        <f>AI44*VLOOKUP('Données projet'!$B$10,Paramètres!$A$1:$I$89,3,0)*VLOOKUP('Données projet'!$B$10,Paramètres!$A$1:$I$89,5,0)</f>
        <v>186.48863999999995</v>
      </c>
      <c r="AK44" s="13">
        <f t="shared" si="35"/>
        <v>46.762800221578807</v>
      </c>
      <c r="AL44" s="20">
        <f t="shared" si="4"/>
        <v>406.24625838591629</v>
      </c>
      <c r="AM44" s="59">
        <f t="shared" si="5"/>
        <v>699.57959171924961</v>
      </c>
      <c r="AN44" s="59">
        <f ca="1">AVERAGE(OFFSET($AM$3,0,0,'Données projet'!$E$10+1,1))-AVERAGE(OFFSET($H$3,0,0,'Données projet'!$E$10+1,1))</f>
        <v>331.52724290297675</v>
      </c>
      <c r="AO44" s="59">
        <f t="shared" si="36"/>
        <v>322.79102610158054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35.664517279011285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35.664517279011285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157.23551999999995</v>
      </c>
      <c r="BF44" s="13">
        <f t="shared" si="37"/>
        <v>40.218348142057707</v>
      </c>
      <c r="BG44" s="20">
        <f t="shared" si="7"/>
        <v>343.89882034741709</v>
      </c>
      <c r="BH44" s="59">
        <f t="shared" si="8"/>
        <v>637.23215368075034</v>
      </c>
      <c r="BI44" s="59">
        <f ca="1">AVERAGE(OFFSET($BH$3,0,0,'Données projet'!$E$11+1,1))-AVERAGE(OFFSET($H$3,0,0,'Données projet'!$E$11+1,1))</f>
        <v>273.84349636755343</v>
      </c>
      <c r="BJ44" s="59">
        <f t="shared" si="38"/>
        <v>268.10688874775451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30.07008319602912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30.07008319602912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28.2</v>
      </c>
      <c r="N45" s="13">
        <f>IF('Données projet'!$A$36&gt;35,N44+M45-V44,IF(A45&lt;'Données projet'!$A$36,$K$205^A45,IF(A45='Données projet'!$A$36,'Données projet'!$B$36,N44+M45-V44)))</f>
        <v>503.40000000000026</v>
      </c>
      <c r="O45" s="13">
        <f>N45*VLOOKUP('Données projet'!$B$9,Paramètres!$A$1:$I$89,3,0)*VLOOKUP('Données projet'!$B$9,Paramètres!$A$1:$I$89,5,0)</f>
        <v>248.67960000000016</v>
      </c>
      <c r="P45" s="13">
        <f t="shared" si="33"/>
        <v>60.303109981559402</v>
      </c>
      <c r="Q45" s="20">
        <f t="shared" si="53"/>
        <v>538.14488655121613</v>
      </c>
      <c r="R45" s="59">
        <f t="shared" si="0"/>
        <v>831.47821988454939</v>
      </c>
      <c r="S45" s="59">
        <f ca="1">AVERAGE(OFFSET($R$3,0,0,'Données projet'!$E$9+1,1))-AVERAGE(OFFSET($H$3,0,0,'Données projet'!$E$9+1,1))</f>
        <v>434.08297999735811</v>
      </c>
      <c r="T45" s="59">
        <f t="shared" si="34"/>
        <v>371.04090283546122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50.835480493606276</v>
      </c>
      <c r="AA45" s="21">
        <f>EXP(-LN(2)/25)*AA44+(1-EXP(-LN(2)/25))/(LN(2)/25)*Calculateur!V45*Calculateur!X45*VLOOKUP('Données projet'!$B$9,Paramètres!$A$1:$I$89,3,0)*0.475*44/12</f>
        <v>37.074082854428113</v>
      </c>
      <c r="AB45" s="21">
        <f>EXP(-LN(2)/2)*AB44+(1-EXP(-LN(2)/2))/(LN(2)/2)*V45*Y45*VLOOKUP('Données projet'!$B$9,Paramètres!$A$1:$I$89,3,0)*0.475*44/12</f>
        <v>1.1743593000027926E-2</v>
      </c>
      <c r="AC45" s="22">
        <f t="shared" si="3"/>
        <v>87.92130694103443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245.79999999999993</v>
      </c>
      <c r="AJ45" s="13">
        <f>AI45*VLOOKUP('Données projet'!$B$10,Paramètres!$A$1:$I$89,3,0)*VLOOKUP('Données projet'!$B$10,Paramètres!$A$1:$I$89,5,0)</f>
        <v>195.55847999999995</v>
      </c>
      <c r="AK45" s="13">
        <f t="shared" si="35"/>
        <v>48.766783903364477</v>
      </c>
      <c r="AL45" s="20">
        <f t="shared" si="4"/>
        <v>425.53316796502639</v>
      </c>
      <c r="AM45" s="59">
        <f t="shared" si="5"/>
        <v>718.86650129835971</v>
      </c>
      <c r="AN45" s="59">
        <f ca="1">AVERAGE(OFFSET($AM$3,0,0,'Données projet'!$E$10+1,1))-AVERAGE(OFFSET($H$3,0,0,'Données projet'!$E$10+1,1))</f>
        <v>331.52724290297675</v>
      </c>
      <c r="AO45" s="59">
        <f t="shared" si="36"/>
        <v>322.79102610158054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34.965157848377466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34.965157848377466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164.88263999999995</v>
      </c>
      <c r="BF45" s="13">
        <f t="shared" si="37"/>
        <v>41.941874385207427</v>
      </c>
      <c r="BG45" s="20">
        <f t="shared" si="7"/>
        <v>360.21936255423617</v>
      </c>
      <c r="BH45" s="59">
        <f t="shared" si="8"/>
        <v>653.55269588756948</v>
      </c>
      <c r="BI45" s="59">
        <f ca="1">AVERAGE(OFFSET($BH$3,0,0,'Données projet'!$E$11+1,1))-AVERAGE(OFFSET($H$3,0,0,'Données projet'!$E$11+1,1))</f>
        <v>273.84349636755343</v>
      </c>
      <c r="BJ45" s="59">
        <f t="shared" si="38"/>
        <v>268.10688874775451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29.480427205494721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29.480427205494721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28.2</v>
      </c>
      <c r="N46" s="13">
        <f>IF('Données projet'!$A$36&gt;35,N45+M46-V45,IF(A46&lt;'Données projet'!$A$36,$K$205^A46,IF(A46='Données projet'!$A$36,'Données projet'!$B$36,N45+M46-V45)))</f>
        <v>531.60000000000025</v>
      </c>
      <c r="O46" s="13">
        <f>N46*VLOOKUP('Données projet'!$B$9,Paramètres!$A$1:$I$89,3,0)*VLOOKUP('Données projet'!$B$9,Paramètres!$A$1:$I$89,5,0)</f>
        <v>262.61040000000014</v>
      </c>
      <c r="P46" s="13">
        <f t="shared" si="33"/>
        <v>63.278485817210225</v>
      </c>
      <c r="Q46" s="20">
        <f t="shared" si="53"/>
        <v>567.58980946497468</v>
      </c>
      <c r="R46" s="59">
        <f t="shared" si="0"/>
        <v>860.92314279830794</v>
      </c>
      <c r="S46" s="59">
        <f ca="1">AVERAGE(OFFSET($R$3,0,0,'Données projet'!$E$9+1,1))-AVERAGE(OFFSET($H$3,0,0,'Données projet'!$E$9+1,1))</f>
        <v>434.08297999735811</v>
      </c>
      <c r="T46" s="59">
        <f t="shared" si="34"/>
        <v>371.04090283546122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49.838627727708115</v>
      </c>
      <c r="AA46" s="21">
        <f>EXP(-LN(2)/25)*AA45+(1-EXP(-LN(2)/25))/(LN(2)/25)*Calculateur!V46*Calculateur!X46*VLOOKUP('Données projet'!$B$9,Paramètres!$A$1:$I$89,3,0)*0.475*44/12</f>
        <v>36.060290109132495</v>
      </c>
      <c r="AB46" s="21">
        <f>EXP(-LN(2)/2)*AB45+(1-EXP(-LN(2)/2))/(LN(2)/2)*V46*Y46*VLOOKUP('Données projet'!$B$9,Paramètres!$A$1:$I$89,3,0)*0.475*44/12</f>
        <v>8.3039742458146173E-3</v>
      </c>
      <c r="AC46" s="22">
        <f t="shared" si="3"/>
        <v>85.90722181108643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257.19999999999993</v>
      </c>
      <c r="AJ46" s="13">
        <f>AI46*VLOOKUP('Données projet'!$B$10,Paramètres!$A$1:$I$89,3,0)*VLOOKUP('Données projet'!$B$10,Paramètres!$A$1:$I$89,5,0)</f>
        <v>204.62831999999995</v>
      </c>
      <c r="AK46" s="13">
        <f t="shared" si="35"/>
        <v>50.759974072251445</v>
      </c>
      <c r="AL46" s="20">
        <f t="shared" si="4"/>
        <v>444.80127884250447</v>
      </c>
      <c r="AM46" s="59">
        <f t="shared" si="5"/>
        <v>738.13461217583779</v>
      </c>
      <c r="AN46" s="59">
        <f ca="1">AVERAGE(OFFSET($AM$3,0,0,'Données projet'!$E$10+1,1))-AVERAGE(OFFSET($H$3,0,0,'Données projet'!$E$10+1,1))</f>
        <v>331.52724290297675</v>
      </c>
      <c r="AO46" s="59">
        <f t="shared" si="36"/>
        <v>322.79102610158054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34.279512429611238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34.279512429611238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172.52975999999995</v>
      </c>
      <c r="BF46" s="13">
        <f t="shared" si="37"/>
        <v>43.656117667170463</v>
      </c>
      <c r="BG46" s="20">
        <f t="shared" si="7"/>
        <v>376.52373693698843</v>
      </c>
      <c r="BH46" s="59">
        <f t="shared" si="8"/>
        <v>669.85707027032174</v>
      </c>
      <c r="BI46" s="59">
        <f ca="1">AVERAGE(OFFSET($BH$3,0,0,'Données projet'!$E$11+1,1))-AVERAGE(OFFSET($H$3,0,0,'Données projet'!$E$11+1,1))</f>
        <v>273.84349636755343</v>
      </c>
      <c r="BJ46" s="59">
        <f t="shared" si="38"/>
        <v>268.10688874775451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28.902334009280061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28.902334009280061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28.2</v>
      </c>
      <c r="N47" s="13">
        <f>IF('Données projet'!$A$36&gt;35,N46+M47-V46,IF(A47&lt;'Données projet'!$A$36,$K$205^A47,IF(A47='Données projet'!$A$36,'Données projet'!$B$36,N46+M47-V46)))</f>
        <v>559.8000000000003</v>
      </c>
      <c r="O47" s="13">
        <f>N47*VLOOKUP('Données projet'!$B$9,Paramètres!$A$1:$I$89,3,0)*VLOOKUP('Données projet'!$B$9,Paramètres!$A$1:$I$89,5,0)</f>
        <v>276.54120000000012</v>
      </c>
      <c r="P47" s="13">
        <f t="shared" si="33"/>
        <v>66.235537078709044</v>
      </c>
      <c r="Q47" s="20">
        <f t="shared" si="53"/>
        <v>597.00281707875183</v>
      </c>
      <c r="R47" s="59">
        <f t="shared" si="0"/>
        <v>890.33615041208509</v>
      </c>
      <c r="S47" s="59">
        <f ca="1">AVERAGE(OFFSET($R$3,0,0,'Données projet'!$E$9+1,1))-AVERAGE(OFFSET($H$3,0,0,'Données projet'!$E$9+1,1))</f>
        <v>434.08297999735811</v>
      </c>
      <c r="T47" s="59">
        <f t="shared" si="34"/>
        <v>371.04090283546122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48.861322636529067</v>
      </c>
      <c r="AA47" s="21">
        <f>EXP(-LN(2)/25)*AA46+(1-EXP(-LN(2)/25))/(LN(2)/25)*Calculateur!V47*Calculateur!X47*VLOOKUP('Données projet'!$B$9,Paramètres!$A$1:$I$89,3,0)*0.475*44/12</f>
        <v>35.07421957977003</v>
      </c>
      <c r="AB47" s="21">
        <f>EXP(-LN(2)/2)*AB46+(1-EXP(-LN(2)/2))/(LN(2)/2)*V47*Y47*VLOOKUP('Données projet'!$B$9,Paramètres!$A$1:$I$89,3,0)*0.475*44/12</f>
        <v>5.8717965000139628E-3</v>
      </c>
      <c r="AC47" s="22">
        <f t="shared" si="3"/>
        <v>83.941414012799115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268.59999999999991</v>
      </c>
      <c r="AJ47" s="13">
        <f>AI47*VLOOKUP('Données projet'!$B$10,Paramètres!$A$1:$I$89,3,0)*VLOOKUP('Données projet'!$B$10,Paramètres!$A$1:$I$89,5,0)</f>
        <v>213.69815999999994</v>
      </c>
      <c r="AK47" s="13">
        <f t="shared" si="35"/>
        <v>52.742903801874164</v>
      </c>
      <c r="AL47" s="20">
        <f t="shared" si="4"/>
        <v>464.05151945493071</v>
      </c>
      <c r="AM47" s="59">
        <f t="shared" si="5"/>
        <v>757.38485278826397</v>
      </c>
      <c r="AN47" s="59">
        <f ca="1">AVERAGE(OFFSET($AM$3,0,0,'Données projet'!$E$10+1,1))-AVERAGE(OFFSET($H$3,0,0,'Données projet'!$E$10+1,1))</f>
        <v>331.52724290297675</v>
      </c>
      <c r="AO47" s="59">
        <f t="shared" si="36"/>
        <v>322.79102610158054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33.607312099304608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33.607312099304608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180.17687999999995</v>
      </c>
      <c r="BF47" s="13">
        <f t="shared" si="37"/>
        <v>45.361536457946897</v>
      </c>
      <c r="BG47" s="20">
        <f t="shared" si="7"/>
        <v>392.81274199759076</v>
      </c>
      <c r="BH47" s="59">
        <f t="shared" si="8"/>
        <v>686.14607533092408</v>
      </c>
      <c r="BI47" s="59">
        <f ca="1">AVERAGE(OFFSET($BH$3,0,0,'Données projet'!$E$11+1,1))-AVERAGE(OFFSET($H$3,0,0,'Données projet'!$E$11+1,1))</f>
        <v>273.84349636755343</v>
      </c>
      <c r="BJ47" s="59">
        <f t="shared" si="38"/>
        <v>268.10688874775451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28.335576868041137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28.335576868041137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588</v>
      </c>
      <c r="L48" s="12">
        <f>VLOOKUP(A48,'Données projet'!$A$35:$I$55,9,0)</f>
        <v>28.2</v>
      </c>
      <c r="M48" s="12">
        <f t="array" ref="M48">INDEX(L:L,MIN(IF(ISNUMBER(L48:L244),ROW(L48:L244),"")))</f>
        <v>28.2</v>
      </c>
      <c r="N48" s="13">
        <f>IF('Données projet'!$A$36&gt;35,N47+M48-V47,IF(A48&lt;'Données projet'!$A$36,$K$205^A48,IF(A48='Données projet'!$A$36,'Données projet'!$B$36,N47+M48-V47)))</f>
        <v>588.00000000000034</v>
      </c>
      <c r="O48" s="13">
        <f>N48*VLOOKUP('Données projet'!$B$9,Paramètres!$A$1:$I$89,3,0)*VLOOKUP('Données projet'!$B$9,Paramètres!$A$1:$I$89,5,0)</f>
        <v>290.47200000000021</v>
      </c>
      <c r="P48" s="13">
        <f t="shared" si="33"/>
        <v>69.175292193663694</v>
      </c>
      <c r="Q48" s="20">
        <f t="shared" si="53"/>
        <v>626.38570057063134</v>
      </c>
      <c r="R48" s="59">
        <f t="shared" si="0"/>
        <v>919.7190339039646</v>
      </c>
      <c r="S48" s="59">
        <f ca="1">AVERAGE(OFFSET($R$3,0,0,'Données projet'!$E$9+1,1))-AVERAGE(OFFSET($H$3,0,0,'Données projet'!$E$9+1,1))</f>
        <v>434.08297999735811</v>
      </c>
      <c r="T48" s="59">
        <f t="shared" si="34"/>
        <v>371.04090283546122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77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75.656104217895873</v>
      </c>
      <c r="AA48" s="21">
        <f>EXP(-LN(2)/25)*AA47+(1-EXP(-LN(2)/25))/(LN(2)/25)*Calculateur!V48*Calculateur!X48*VLOOKUP('Données projet'!$B$9,Paramètres!$A$1:$I$89,3,0)*0.475*44/12</f>
        <v>34.115113200888175</v>
      </c>
      <c r="AB48" s="21">
        <f>EXP(-LN(2)/2)*AB47+(1-EXP(-LN(2)/2))/(LN(2)/2)*V48*Y48*VLOOKUP('Données projet'!$B$9,Paramètres!$A$1:$I$89,3,0)*0.475*44/12</f>
        <v>4.1519871229073087E-3</v>
      </c>
      <c r="AC48" s="22">
        <f t="shared" si="3"/>
        <v>109.77536940590696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280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279.99999999999989</v>
      </c>
      <c r="AJ48" s="13">
        <f>AI48*VLOOKUP('Données projet'!$B$10,Paramètres!$A$1:$I$89,3,0)*VLOOKUP('Données projet'!$B$10,Paramètres!$A$1:$I$89,5,0)</f>
        <v>222.76799999999994</v>
      </c>
      <c r="AK48" s="13">
        <f t="shared" si="35"/>
        <v>54.716058356609508</v>
      </c>
      <c r="AL48" s="20">
        <f t="shared" si="4"/>
        <v>483.28473497109485</v>
      </c>
      <c r="AM48" s="59">
        <f t="shared" si="5"/>
        <v>776.61806830442811</v>
      </c>
      <c r="AN48" s="59">
        <f ca="1">AVERAGE(OFFSET($AM$3,0,0,'Données projet'!$E$10+1,1))-AVERAGE(OFFSET($H$3,0,0,'Données projet'!$E$10+1,1))</f>
        <v>331.52724290297675</v>
      </c>
      <c r="AO48" s="59">
        <f t="shared" si="36"/>
        <v>322.79102610158054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45.067971791392978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45.067971791392978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187.82399999999993</v>
      </c>
      <c r="BF48" s="13">
        <f t="shared" si="37"/>
        <v>47.058548109182688</v>
      </c>
      <c r="BG48" s="20">
        <f t="shared" si="7"/>
        <v>409.08710462349296</v>
      </c>
      <c r="BH48" s="59">
        <f t="shared" si="8"/>
        <v>702.42043795682628</v>
      </c>
      <c r="BI48" s="59">
        <f ca="1">AVERAGE(OFFSET($BH$3,0,0,'Données projet'!$E$11+1,1))-AVERAGE(OFFSET($H$3,0,0,'Données projet'!$E$11+1,1))</f>
        <v>273.84349636755343</v>
      </c>
      <c r="BJ48" s="59">
        <f t="shared" si="38"/>
        <v>268.10688874775451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37.998486020194072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37.998486020194072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26.6</v>
      </c>
      <c r="N49" s="13">
        <f>IF('Données projet'!$A$36&gt;35,N48+M49-V48,IF(A49&lt;'Données projet'!$A$36,$K$205^A49,IF(A49='Données projet'!$A$36,'Données projet'!$B$36,N48+M49-V48)))</f>
        <v>537.60000000000036</v>
      </c>
      <c r="O49" s="13">
        <f>N49*VLOOKUP('Données projet'!$B$9,Paramètres!$A$1:$I$89,3,0)*VLOOKUP('Données projet'!$B$9,Paramètres!$A$1:$I$89,5,0)</f>
        <v>265.5744000000002</v>
      </c>
      <c r="P49" s="13">
        <f t="shared" si="33"/>
        <v>63.909143775438601</v>
      </c>
      <c r="Q49" s="20">
        <f t="shared" si="53"/>
        <v>573.85050540888926</v>
      </c>
      <c r="R49" s="59">
        <f t="shared" si="0"/>
        <v>867.18383874222263</v>
      </c>
      <c r="S49" s="59">
        <f ca="1">AVERAGE(OFFSET($R$3,0,0,'Données projet'!$E$9+1,1))-AVERAGE(OFFSET($H$3,0,0,'Données projet'!$E$9+1,1))</f>
        <v>434.08297999735811</v>
      </c>
      <c r="T49" s="59">
        <f t="shared" si="34"/>
        <v>371.04090283546122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74.172534159850002</v>
      </c>
      <c r="AA49" s="21">
        <f>EXP(-LN(2)/25)*AA48+(1-EXP(-LN(2)/25))/(LN(2)/25)*Calculateur!V49*Calculateur!X49*VLOOKUP('Données projet'!$B$9,Paramètres!$A$1:$I$89,3,0)*0.475*44/12</f>
        <v>33.182233636374058</v>
      </c>
      <c r="AB49" s="21">
        <f>EXP(-LN(2)/2)*AB48+(1-EXP(-LN(2)/2))/(LN(2)/2)*V49*Y49*VLOOKUP('Données projet'!$B$9,Paramètres!$A$1:$I$89,3,0)*0.475*44/12</f>
        <v>2.9358982500069814E-3</v>
      </c>
      <c r="AC49" s="22">
        <f t="shared" si="3"/>
        <v>107.35770369447405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9.8000000000000007</v>
      </c>
      <c r="AI49" s="13">
        <f>IF('Données projet'!$A$62&gt;35,AI48+AH49-AQ48,IF(A49&lt;'Données projet'!$A$62,$AF$205^A49,IF(A49='Données projet'!$A$62,'Données projet'!$B$62,AI48+AH49-AQ48)))</f>
        <v>263.7999999999999</v>
      </c>
      <c r="AJ49" s="13">
        <f>AI49*VLOOKUP('Données projet'!$B$10,Paramètres!$A$1:$I$89,3,0)*VLOOKUP('Données projet'!$B$10,Paramètres!$A$1:$I$89,5,0)</f>
        <v>209.87927999999994</v>
      </c>
      <c r="AK49" s="13">
        <f t="shared" si="35"/>
        <v>51.909204458241767</v>
      </c>
      <c r="AL49" s="20">
        <f t="shared" si="4"/>
        <v>455.94827709810426</v>
      </c>
      <c r="AM49" s="59">
        <f t="shared" si="5"/>
        <v>749.28161043143757</v>
      </c>
      <c r="AN49" s="59">
        <f ca="1">AVERAGE(OFFSET($AM$3,0,0,'Données projet'!$E$10+1,1))-AVERAGE(OFFSET($H$3,0,0,'Données projet'!$E$10+1,1))</f>
        <v>331.52724290297675</v>
      </c>
      <c r="AO49" s="59">
        <f t="shared" si="36"/>
        <v>322.79102610158054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44.184216353312266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44.184216353312266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176.95703999999995</v>
      </c>
      <c r="BF49" s="13">
        <f t="shared" si="37"/>
        <v>44.64451330516016</v>
      </c>
      <c r="BG49" s="20">
        <f t="shared" si="7"/>
        <v>385.95603867315384</v>
      </c>
      <c r="BH49" s="59">
        <f t="shared" si="8"/>
        <v>679.28937200648716</v>
      </c>
      <c r="BI49" s="59">
        <f ca="1">AVERAGE(OFFSET($BH$3,0,0,'Données projet'!$E$11+1,1))-AVERAGE(OFFSET($H$3,0,0,'Données projet'!$E$11+1,1))</f>
        <v>273.84349636755343</v>
      </c>
      <c r="BJ49" s="59">
        <f t="shared" si="38"/>
        <v>268.10688874775451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37.253358886126023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37.253358886126023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26.6</v>
      </c>
      <c r="N50" s="13">
        <f>IF('Données projet'!$A$36&gt;35,N49+M50-V49,IF(A50&lt;'Données projet'!$A$36,$K$205^A50,IF(A50='Données projet'!$A$36,'Données projet'!$B$36,N49+M50-V49)))</f>
        <v>564.20000000000039</v>
      </c>
      <c r="O50" s="13">
        <f>N50*VLOOKUP('Données projet'!$B$9,Paramètres!$A$1:$I$89,3,0)*VLOOKUP('Données projet'!$B$9,Paramètres!$A$1:$I$89,5,0)</f>
        <v>278.7148000000002</v>
      </c>
      <c r="P50" s="13">
        <f t="shared" si="33"/>
        <v>66.695336497146968</v>
      </c>
      <c r="Q50" s="20">
        <f t="shared" si="53"/>
        <v>601.58932106586462</v>
      </c>
      <c r="R50" s="59">
        <f t="shared" si="0"/>
        <v>894.92265439919788</v>
      </c>
      <c r="S50" s="59">
        <f ca="1">AVERAGE(OFFSET($R$3,0,0,'Données projet'!$E$9+1,1))-AVERAGE(OFFSET($H$3,0,0,'Données projet'!$E$9+1,1))</f>
        <v>434.08297999735811</v>
      </c>
      <c r="T50" s="59">
        <f t="shared" si="34"/>
        <v>371.04090283546122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72.718056005754022</v>
      </c>
      <c r="AA50" s="21">
        <f>EXP(-LN(2)/25)*AA49+(1-EXP(-LN(2)/25))/(LN(2)/25)*Calculateur!V50*Calculateur!X50*VLOOKUP('Données projet'!$B$9,Paramètres!$A$1:$I$89,3,0)*0.475*44/12</f>
        <v>32.27486371260958</v>
      </c>
      <c r="AB50" s="21">
        <f>EXP(-LN(2)/2)*AB49+(1-EXP(-LN(2)/2))/(LN(2)/2)*V50*Y50*VLOOKUP('Données projet'!$B$9,Paramètres!$A$1:$I$89,3,0)*0.475*44/12</f>
        <v>2.0759935614536543E-3</v>
      </c>
      <c r="AC50" s="22">
        <f t="shared" si="3"/>
        <v>104.99499571192504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9.8000000000000007</v>
      </c>
      <c r="AI50" s="13">
        <f>IF('Données projet'!$A$62&gt;35,AI49+AH50-AQ49,IF(A50&lt;'Données projet'!$A$62,$AF$205^A50,IF(A50='Données projet'!$A$62,'Données projet'!$B$62,AI49+AH50-AQ49)))</f>
        <v>273.59999999999991</v>
      </c>
      <c r="AJ50" s="13">
        <f>AI50*VLOOKUP('Données projet'!$B$10,Paramètres!$A$1:$I$89,3,0)*VLOOKUP('Données projet'!$B$10,Paramètres!$A$1:$I$89,5,0)</f>
        <v>217.67615999999992</v>
      </c>
      <c r="AK50" s="13">
        <f t="shared" si="35"/>
        <v>53.609498850196708</v>
      </c>
      <c r="AL50" s="20">
        <f t="shared" si="4"/>
        <v>472.48918916409235</v>
      </c>
      <c r="AM50" s="59">
        <f t="shared" si="5"/>
        <v>765.82252249742567</v>
      </c>
      <c r="AN50" s="59">
        <f ca="1">AVERAGE(OFFSET($AM$3,0,0,'Données projet'!$E$10+1,1))-AVERAGE(OFFSET($H$3,0,0,'Données projet'!$E$10+1,1))</f>
        <v>331.52724290297675</v>
      </c>
      <c r="AO50" s="59">
        <f t="shared" si="36"/>
        <v>322.79102610158054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43.317790820334722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43.317790820334722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183.53087999999994</v>
      </c>
      <c r="BF50" s="13">
        <f t="shared" si="37"/>
        <v>46.106851562826662</v>
      </c>
      <c r="BG50" s="20">
        <f t="shared" si="7"/>
        <v>399.95238247192304</v>
      </c>
      <c r="BH50" s="59">
        <f t="shared" si="8"/>
        <v>693.28571580525636</v>
      </c>
      <c r="BI50" s="59">
        <f ca="1">AVERAGE(OFFSET($BH$3,0,0,'Données projet'!$E$11+1,1))-AVERAGE(OFFSET($H$3,0,0,'Données projet'!$E$11+1,1))</f>
        <v>273.84349636755343</v>
      </c>
      <c r="BJ50" s="59">
        <f t="shared" si="38"/>
        <v>268.10688874775451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36.522843240674369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36.522843240674369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26.6</v>
      </c>
      <c r="N51" s="13">
        <f>IF('Données projet'!$A$36&gt;35,N50+M51-V50,IF(A51&lt;'Données projet'!$A$36,$K$205^A51,IF(A51='Données projet'!$A$36,'Données projet'!$B$36,N50+M51-V50)))</f>
        <v>590.80000000000041</v>
      </c>
      <c r="O51" s="13">
        <f>N51*VLOOKUP('Données projet'!$B$9,Paramètres!$A$1:$I$89,3,0)*VLOOKUP('Données projet'!$B$9,Paramètres!$A$1:$I$89,5,0)</f>
        <v>291.8552000000002</v>
      </c>
      <c r="P51" s="13">
        <f t="shared" si="33"/>
        <v>69.466274947200503</v>
      </c>
      <c r="Q51" s="20">
        <f t="shared" si="53"/>
        <v>629.30156886637451</v>
      </c>
      <c r="R51" s="59">
        <f t="shared" si="0"/>
        <v>922.63490219970777</v>
      </c>
      <c r="S51" s="59">
        <f ca="1">AVERAGE(OFFSET($R$3,0,0,'Données projet'!$E$9+1,1))-AVERAGE(OFFSET($H$3,0,0,'Données projet'!$E$9+1,1))</f>
        <v>434.08297999735811</v>
      </c>
      <c r="T51" s="59">
        <f t="shared" si="34"/>
        <v>371.04090283546122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71.292099281115796</v>
      </c>
      <c r="AA51" s="21">
        <f>EXP(-LN(2)/25)*AA50+(1-EXP(-LN(2)/25))/(LN(2)/25)*Calculateur!V51*Calculateur!X51*VLOOKUP('Données projet'!$B$9,Paramètres!$A$1:$I$89,3,0)*0.475*44/12</f>
        <v>31.392305867126954</v>
      </c>
      <c r="AB51" s="21">
        <f>EXP(-LN(2)/2)*AB50+(1-EXP(-LN(2)/2))/(LN(2)/2)*V51*Y51*VLOOKUP('Données projet'!$B$9,Paramètres!$A$1:$I$89,3,0)*0.475*44/12</f>
        <v>1.4679491250034907E-3</v>
      </c>
      <c r="AC51" s="22">
        <f t="shared" si="3"/>
        <v>102.68587309736775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9.8000000000000007</v>
      </c>
      <c r="AI51" s="13">
        <f>IF('Données projet'!$A$62&gt;35,AI50+AH51-AQ50,IF(A51&lt;'Données projet'!$A$62,$AF$205^A51,IF(A51='Données projet'!$A$62,'Données projet'!$B$62,AI50+AH51-AQ50)))</f>
        <v>283.39999999999992</v>
      </c>
      <c r="AJ51" s="13">
        <f>AI51*VLOOKUP('Données projet'!$B$10,Paramètres!$A$1:$I$89,3,0)*VLOOKUP('Données projet'!$B$10,Paramètres!$A$1:$I$89,5,0)</f>
        <v>225.47303999999994</v>
      </c>
      <c r="AK51" s="13">
        <f t="shared" si="35"/>
        <v>55.302717367103824</v>
      </c>
      <c r="AL51" s="20">
        <f t="shared" si="4"/>
        <v>489.0177774143724</v>
      </c>
      <c r="AM51" s="59">
        <f t="shared" si="5"/>
        <v>782.35111074770566</v>
      </c>
      <c r="AN51" s="59">
        <f ca="1">AVERAGE(OFFSET($AM$3,0,0,'Données projet'!$E$10+1,1))-AVERAGE(OFFSET($H$3,0,0,'Données projet'!$E$10+1,1))</f>
        <v>331.52724290297675</v>
      </c>
      <c r="AO51" s="59">
        <f t="shared" si="36"/>
        <v>322.79102610158054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42.468355363591478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42.468355363591478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190.10471999999996</v>
      </c>
      <c r="BF51" s="13">
        <f t="shared" si="37"/>
        <v>47.563104213884252</v>
      </c>
      <c r="BG51" s="20">
        <f t="shared" si="7"/>
        <v>413.93812717251495</v>
      </c>
      <c r="BH51" s="59">
        <f t="shared" si="8"/>
        <v>707.27146050584827</v>
      </c>
      <c r="BI51" s="59">
        <f ca="1">AVERAGE(OFFSET($BH$3,0,0,'Données projet'!$E$11+1,1))-AVERAGE(OFFSET($H$3,0,0,'Données projet'!$E$11+1,1))</f>
        <v>273.84349636755343</v>
      </c>
      <c r="BJ51" s="59">
        <f t="shared" si="38"/>
        <v>268.10688874775451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35.80665256145948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35.80665256145948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26.6</v>
      </c>
      <c r="N52" s="13">
        <f>IF('Données projet'!$A$36&gt;35,N51+M52-V51,IF(A52&lt;'Données projet'!$A$36,$K$205^A52,IF(A52='Données projet'!$A$36,'Données projet'!$B$36,N51+M52-V51)))</f>
        <v>617.40000000000043</v>
      </c>
      <c r="O52" s="13">
        <f>N52*VLOOKUP('Données projet'!$B$9,Paramètres!$A$1:$I$89,3,0)*VLOOKUP('Données projet'!$B$9,Paramètres!$A$1:$I$89,5,0)</f>
        <v>304.99560000000025</v>
      </c>
      <c r="P52" s="13">
        <f t="shared" si="33"/>
        <v>72.222724395804605</v>
      </c>
      <c r="Q52" s="20">
        <f t="shared" si="53"/>
        <v>656.98858165602678</v>
      </c>
      <c r="R52" s="59">
        <f t="shared" si="0"/>
        <v>950.32191498936004</v>
      </c>
      <c r="S52" s="59">
        <f ca="1">AVERAGE(OFFSET($R$3,0,0,'Données projet'!$E$9+1,1))-AVERAGE(OFFSET($H$3,0,0,'Données projet'!$E$9+1,1))</f>
        <v>434.08297999735811</v>
      </c>
      <c r="T52" s="59">
        <f t="shared" si="34"/>
        <v>371.04090283546122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69.894104698099994</v>
      </c>
      <c r="AA52" s="21">
        <f>EXP(-LN(2)/25)*AA51+(1-EXP(-LN(2)/25))/(LN(2)/25)*Calculateur!V52*Calculateur!X52*VLOOKUP('Données projet'!$B$9,Paramètres!$A$1:$I$89,3,0)*0.475*44/12</f>
        <v>30.53388161234075</v>
      </c>
      <c r="AB52" s="21">
        <f>EXP(-LN(2)/2)*AB51+(1-EXP(-LN(2)/2))/(LN(2)/2)*V52*Y52*VLOOKUP('Données projet'!$B$9,Paramètres!$A$1:$I$89,3,0)*0.475*44/12</f>
        <v>1.0379967807268272E-3</v>
      </c>
      <c r="AC52" s="22">
        <f t="shared" si="3"/>
        <v>100.42902430722147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9.8000000000000007</v>
      </c>
      <c r="AI52" s="13">
        <f>IF('Données projet'!$A$62&gt;35,AI51+AH52-AQ51,IF(A52&lt;'Données projet'!$A$62,$AF$205^A52,IF(A52='Données projet'!$A$62,'Données projet'!$B$62,AI51+AH52-AQ51)))</f>
        <v>293.19999999999993</v>
      </c>
      <c r="AJ52" s="13">
        <f>AI52*VLOOKUP('Données projet'!$B$10,Paramètres!$A$1:$I$89,3,0)*VLOOKUP('Données projet'!$B$10,Paramètres!$A$1:$I$89,5,0)</f>
        <v>233.26991999999993</v>
      </c>
      <c r="AK52" s="13">
        <f t="shared" si="35"/>
        <v>56.989132736134763</v>
      </c>
      <c r="AL52" s="20">
        <f t="shared" si="4"/>
        <v>505.53451684876785</v>
      </c>
      <c r="AM52" s="59">
        <f t="shared" si="5"/>
        <v>798.86785018210117</v>
      </c>
      <c r="AN52" s="59">
        <f ca="1">AVERAGE(OFFSET($AM$3,0,0,'Données projet'!$E$10+1,1))-AVERAGE(OFFSET($H$3,0,0,'Données projet'!$E$10+1,1))</f>
        <v>331.52724290297675</v>
      </c>
      <c r="AO52" s="59">
        <f t="shared" si="36"/>
        <v>322.79102610158054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41.635576818050495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41.635576818050495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196.67855999999995</v>
      </c>
      <c r="BF52" s="13">
        <f t="shared" si="37"/>
        <v>49.013505817347365</v>
      </c>
      <c r="BG52" s="20">
        <f t="shared" si="7"/>
        <v>427.91368129854658</v>
      </c>
      <c r="BH52" s="59">
        <f t="shared" si="8"/>
        <v>721.24701463187989</v>
      </c>
      <c r="BI52" s="59">
        <f ca="1">AVERAGE(OFFSET($BH$3,0,0,'Données projet'!$E$11+1,1))-AVERAGE(OFFSET($H$3,0,0,'Données projet'!$E$11+1,1))</f>
        <v>273.84349636755343</v>
      </c>
      <c r="BJ52" s="59">
        <f t="shared" si="38"/>
        <v>268.10688874775451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35.104505944630809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35.104505944630809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644</v>
      </c>
      <c r="L53" s="12">
        <f>VLOOKUP(A53,'Données projet'!$A$35:$I$55,9,0)</f>
        <v>26.6</v>
      </c>
      <c r="M53" s="12">
        <f t="array" ref="M53">INDEX(L:L,MIN(IF(ISNUMBER(L53:L249),ROW(L53:L249),"")))</f>
        <v>26.6</v>
      </c>
      <c r="N53" s="13">
        <f>IF('Données projet'!$A$36&gt;35,N52+M53-V52,IF(A53&lt;'Données projet'!$A$36,$K$205^A53,IF(A53='Données projet'!$A$36,'Données projet'!$B$36,N52+M53-V52)))</f>
        <v>644.00000000000045</v>
      </c>
      <c r="O53" s="13">
        <f>N53*VLOOKUP('Données projet'!$B$9,Paramètres!$A$1:$I$89,3,0)*VLOOKUP('Données projet'!$B$9,Paramètres!$A$1:$I$89,5,0)</f>
        <v>318.13600000000025</v>
      </c>
      <c r="P53" s="13">
        <f t="shared" si="33"/>
        <v>74.965380442161234</v>
      </c>
      <c r="Q53" s="20">
        <f t="shared" si="53"/>
        <v>684.65157093676453</v>
      </c>
      <c r="R53" s="59">
        <f t="shared" si="0"/>
        <v>977.98490427009779</v>
      </c>
      <c r="S53" s="59">
        <f ca="1">AVERAGE(OFFSET($R$3,0,0,'Données projet'!$E$9+1,1))-AVERAGE(OFFSET($H$3,0,0,'Données projet'!$E$9+1,1))</f>
        <v>434.08297999735811</v>
      </c>
      <c r="T53" s="59">
        <f t="shared" si="34"/>
        <v>371.04090283546122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77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96.276446251969716</v>
      </c>
      <c r="AA53" s="21">
        <f>EXP(-LN(2)/25)*AA52+(1-EXP(-LN(2)/25))/(LN(2)/25)*Calculateur!V53*Calculateur!X53*VLOOKUP('Données projet'!$B$9,Paramètres!$A$1:$I$89,3,0)*0.475*44/12</f>
        <v>29.698931013944243</v>
      </c>
      <c r="AB53" s="21">
        <f>EXP(-LN(2)/2)*AB52+(1-EXP(-LN(2)/2))/(LN(2)/2)*V53*Y53*VLOOKUP('Données projet'!$B$9,Paramètres!$A$1:$I$89,3,0)*0.475*44/12</f>
        <v>7.3397456250174535E-4</v>
      </c>
      <c r="AC53" s="22">
        <f t="shared" si="3"/>
        <v>125.97611124047647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303</v>
      </c>
      <c r="AG53" s="12">
        <f>VLOOKUP(A53,'Données projet'!$A$61:$I$81,9,0)</f>
        <v>9.8000000000000007</v>
      </c>
      <c r="AH53" s="12">
        <f t="array" ref="AH53">INDEX(AG:AG,MIN(IF(ISNUMBER(AG53:AG249),ROW(AG53:AG249),"")))</f>
        <v>9.8000000000000007</v>
      </c>
      <c r="AI53" s="13">
        <f>IF('Données projet'!$A$62&gt;35,AI52+AH53-AQ52,IF(A53&lt;'Données projet'!$A$62,$AF$205^A53,IF(A53='Données projet'!$A$62,'Données projet'!$B$62,AI52+AH53-AQ52)))</f>
        <v>302.99999999999994</v>
      </c>
      <c r="AJ53" s="13">
        <f>AI53*VLOOKUP('Données projet'!$B$10,Paramètres!$A$1:$I$89,3,0)*VLOOKUP('Données projet'!$B$10,Paramètres!$A$1:$I$89,5,0)</f>
        <v>241.06679999999997</v>
      </c>
      <c r="AK53" s="13">
        <f t="shared" si="35"/>
        <v>58.668998418543559</v>
      </c>
      <c r="AL53" s="20">
        <f t="shared" si="4"/>
        <v>522.03984891229663</v>
      </c>
      <c r="AM53" s="59">
        <f t="shared" si="5"/>
        <v>815.37318224563001</v>
      </c>
      <c r="AN53" s="59">
        <f ca="1">AVERAGE(OFFSET($AM$3,0,0,'Données projet'!$E$10+1,1))-AVERAGE(OFFSET($H$3,0,0,'Données projet'!$E$10+1,1))</f>
        <v>331.52724290297675</v>
      </c>
      <c r="AO53" s="59">
        <f t="shared" si="36"/>
        <v>322.79102610158054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50.608099715777719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50.608099715777719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203.25239999999994</v>
      </c>
      <c r="BF53" s="13">
        <f t="shared" si="37"/>
        <v>50.458274362577384</v>
      </c>
      <c r="BG53" s="20">
        <f t="shared" si="7"/>
        <v>441.87942451482218</v>
      </c>
      <c r="BH53" s="59">
        <f t="shared" si="8"/>
        <v>735.21275784815543</v>
      </c>
      <c r="BI53" s="59">
        <f ca="1">AVERAGE(OFFSET($BH$3,0,0,'Données projet'!$E$11+1,1))-AVERAGE(OFFSET($H$3,0,0,'Données projet'!$E$11+1,1))</f>
        <v>273.84349636755343</v>
      </c>
      <c r="BJ53" s="59">
        <f t="shared" si="38"/>
        <v>268.10688874775451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42.669574270165526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42.669574270165526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25.4</v>
      </c>
      <c r="N54" s="13">
        <f>IF('Données projet'!$A$36&gt;35,N53+M54-V53,IF(A54&lt;'Données projet'!$A$36,$K$205^A54,IF(A54='Données projet'!$A$36,'Données projet'!$B$36,N53+M54-V53)))</f>
        <v>592.40000000000043</v>
      </c>
      <c r="O54" s="13">
        <f>N54*VLOOKUP('Données projet'!$B$9,Paramètres!$A$1:$I$89,3,0)*VLOOKUP('Données projet'!$B$9,Paramètres!$A$1:$I$89,5,0)</f>
        <v>292.64560000000023</v>
      </c>
      <c r="P54" s="13">
        <f t="shared" si="33"/>
        <v>69.632478699936527</v>
      </c>
      <c r="Q54" s="20">
        <f t="shared" si="53"/>
        <v>630.96765373572316</v>
      </c>
      <c r="R54" s="59">
        <f t="shared" si="0"/>
        <v>924.30098706905642</v>
      </c>
      <c r="S54" s="59">
        <f ca="1">AVERAGE(OFFSET($R$3,0,0,'Données projet'!$E$9+1,1))-AVERAGE(OFFSET($H$3,0,0,'Données projet'!$E$9+1,1))</f>
        <v>434.08297999735811</v>
      </c>
      <c r="T54" s="59">
        <f t="shared" si="34"/>
        <v>371.04090283546122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94.388523863802405</v>
      </c>
      <c r="AA54" s="21">
        <f>EXP(-LN(2)/25)*AA53+(1-EXP(-LN(2)/25))/(LN(2)/25)*Calculateur!V54*Calculateur!X54*VLOOKUP('Données projet'!$B$9,Paramètres!$A$1:$I$89,3,0)*0.475*44/12</f>
        <v>28.886812183569035</v>
      </c>
      <c r="AB54" s="21">
        <f>EXP(-LN(2)/2)*AB53+(1-EXP(-LN(2)/2))/(LN(2)/2)*V54*Y54*VLOOKUP('Données projet'!$B$9,Paramètres!$A$1:$I$89,3,0)*0.475*44/12</f>
        <v>5.1899839036341358E-4</v>
      </c>
      <c r="AC54" s="22">
        <f t="shared" si="3"/>
        <v>123.2758550457618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290.39999999999992</v>
      </c>
      <c r="AJ54" s="13">
        <f>AI54*VLOOKUP('Données projet'!$B$10,Paramètres!$A$1:$I$89,3,0)*VLOOKUP('Données projet'!$B$10,Paramètres!$A$1:$I$89,5,0)</f>
        <v>231.04223999999994</v>
      </c>
      <c r="AK54" s="13">
        <f t="shared" si="35"/>
        <v>56.507978852931409</v>
      </c>
      <c r="AL54" s="20">
        <f t="shared" si="4"/>
        <v>500.81663116885539</v>
      </c>
      <c r="AM54" s="59">
        <f t="shared" si="5"/>
        <v>794.14996450218871</v>
      </c>
      <c r="AN54" s="59">
        <f ca="1">AVERAGE(OFFSET($AM$3,0,0,'Données projet'!$E$10+1,1))-AVERAGE(OFFSET($H$3,0,0,'Données projet'!$E$10+1,1))</f>
        <v>331.52724290297675</v>
      </c>
      <c r="AO54" s="59">
        <f t="shared" si="36"/>
        <v>322.79102610158054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49.615705748244196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49.615705748244196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194.80031999999994</v>
      </c>
      <c r="BF54" s="13">
        <f t="shared" si="37"/>
        <v>48.599689401459429</v>
      </c>
      <c r="BG54" s="20">
        <f t="shared" si="7"/>
        <v>423.92168304087505</v>
      </c>
      <c r="BH54" s="59">
        <f t="shared" si="8"/>
        <v>717.25501637420837</v>
      </c>
      <c r="BI54" s="59">
        <f ca="1">AVERAGE(OFFSET($BH$3,0,0,'Données projet'!$E$11+1,1))-AVERAGE(OFFSET($H$3,0,0,'Données projet'!$E$11+1,1))</f>
        <v>273.84349636755343</v>
      </c>
      <c r="BJ54" s="59">
        <f t="shared" si="38"/>
        <v>268.10688874775451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41.832849944598046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41.832849944598046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25.4</v>
      </c>
      <c r="N55" s="13">
        <f>IF('Données projet'!$A$36&gt;35,N54+M55-V54,IF(A55&lt;'Données projet'!$A$36,$K$205^A55,IF(A55='Données projet'!$A$36,'Données projet'!$B$36,N54+M55-V54)))</f>
        <v>617.80000000000041</v>
      </c>
      <c r="O55" s="13">
        <f>N55*VLOOKUP('Données projet'!$B$9,Paramètres!$A$1:$I$89,3,0)*VLOOKUP('Données projet'!$B$9,Paramètres!$A$1:$I$89,5,0)</f>
        <v>305.19320000000022</v>
      </c>
      <c r="P55" s="13">
        <f t="shared" si="33"/>
        <v>72.264067831876773</v>
      </c>
      <c r="Q55" s="20">
        <f t="shared" si="53"/>
        <v>657.40474147385248</v>
      </c>
      <c r="R55" s="59">
        <f t="shared" si="0"/>
        <v>950.73807480718574</v>
      </c>
      <c r="S55" s="59">
        <f ca="1">AVERAGE(OFFSET($R$3,0,0,'Données projet'!$E$9+1,1))-AVERAGE(OFFSET($H$3,0,0,'Données projet'!$E$9+1,1))</f>
        <v>434.08297999735811</v>
      </c>
      <c r="T55" s="59">
        <f t="shared" si="34"/>
        <v>371.04090283546122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92.537622482148095</v>
      </c>
      <c r="AA55" s="21">
        <f>EXP(-LN(2)/25)*AA54+(1-EXP(-LN(2)/25))/(LN(2)/25)*Calculateur!V55*Calculateur!X55*VLOOKUP('Données projet'!$B$9,Paramètres!$A$1:$I$89,3,0)*0.475*44/12</f>
        <v>28.09690078531791</v>
      </c>
      <c r="AB55" s="21">
        <f>EXP(-LN(2)/2)*AB54+(1-EXP(-LN(2)/2))/(LN(2)/2)*V55*Y55*VLOOKUP('Données projet'!$B$9,Paramètres!$A$1:$I$89,3,0)*0.475*44/12</f>
        <v>3.6698728125087268E-4</v>
      </c>
      <c r="AC55" s="22">
        <f t="shared" si="3"/>
        <v>120.63489025474726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298.7999999999999</v>
      </c>
      <c r="AJ55" s="13">
        <f>AI55*VLOOKUP('Données projet'!$B$10,Paramètres!$A$1:$I$89,3,0)*VLOOKUP('Données projet'!$B$10,Paramètres!$A$1:$I$89,5,0)</f>
        <v>237.72527999999994</v>
      </c>
      <c r="AK55" s="13">
        <f t="shared" si="35"/>
        <v>57.949842464086196</v>
      </c>
      <c r="AL55" s="20">
        <f t="shared" si="4"/>
        <v>514.96750495828326</v>
      </c>
      <c r="AM55" s="59">
        <f t="shared" si="5"/>
        <v>808.30083829161663</v>
      </c>
      <c r="AN55" s="59">
        <f ca="1">AVERAGE(OFFSET($AM$3,0,0,'Données projet'!$E$10+1,1))-AVERAGE(OFFSET($H$3,0,0,'Données projet'!$E$10+1,1))</f>
        <v>331.52724290297675</v>
      </c>
      <c r="AO55" s="59">
        <f t="shared" si="36"/>
        <v>322.79102610158054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48.642772021113451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48.642772021113451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200.43503999999993</v>
      </c>
      <c r="BF55" s="13">
        <f t="shared" si="37"/>
        <v>49.839764256087797</v>
      </c>
      <c r="BG55" s="20">
        <f t="shared" si="7"/>
        <v>435.89528407935273</v>
      </c>
      <c r="BH55" s="59">
        <f t="shared" si="8"/>
        <v>729.22861741268605</v>
      </c>
      <c r="BI55" s="59">
        <f ca="1">AVERAGE(OFFSET($BH$3,0,0,'Données projet'!$E$11+1,1))-AVERAGE(OFFSET($H$3,0,0,'Données projet'!$E$11+1,1))</f>
        <v>273.84349636755343</v>
      </c>
      <c r="BJ55" s="59">
        <f t="shared" si="38"/>
        <v>268.10688874775451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41.012533272703493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41.012533272703493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25.4</v>
      </c>
      <c r="N56" s="13">
        <f>IF('Données projet'!$A$36&gt;35,N55+M56-V55,IF(A56&lt;'Données projet'!$A$36,$K$205^A56,IF(A56='Données projet'!$A$36,'Données projet'!$B$36,N55+M56-V55)))</f>
        <v>643.20000000000039</v>
      </c>
      <c r="O56" s="13">
        <f>N56*VLOOKUP('Données projet'!$B$9,Paramètres!$A$1:$I$89,3,0)*VLOOKUP('Données projet'!$B$9,Paramètres!$A$1:$I$89,5,0)</f>
        <v>317.74080000000021</v>
      </c>
      <c r="P56" s="13">
        <f t="shared" si="33"/>
        <v>74.883089508794882</v>
      </c>
      <c r="Q56" s="20">
        <f t="shared" si="53"/>
        <v>683.81994089448472</v>
      </c>
      <c r="R56" s="59">
        <f t="shared" si="0"/>
        <v>977.15327422781797</v>
      </c>
      <c r="S56" s="59">
        <f ca="1">AVERAGE(OFFSET($R$3,0,0,'Données projet'!$E$9+1,1))-AVERAGE(OFFSET($H$3,0,0,'Données projet'!$E$9+1,1))</f>
        <v>434.08297999735811</v>
      </c>
      <c r="T56" s="59">
        <f t="shared" si="34"/>
        <v>371.04090283546122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90.723016147649659</v>
      </c>
      <c r="AA56" s="21">
        <f>EXP(-LN(2)/25)*AA55+(1-EXP(-LN(2)/25))/(LN(2)/25)*Calculateur!V56*Calculateur!X56*VLOOKUP('Données projet'!$B$9,Paramètres!$A$1:$I$89,3,0)*0.475*44/12</f>
        <v>27.328589555791595</v>
      </c>
      <c r="AB56" s="21">
        <f>EXP(-LN(2)/2)*AB55+(1-EXP(-LN(2)/2))/(LN(2)/2)*V56*Y56*VLOOKUP('Données projet'!$B$9,Paramètres!$A$1:$I$89,3,0)*0.475*44/12</f>
        <v>2.5949919518170679E-4</v>
      </c>
      <c r="AC56" s="22">
        <f t="shared" si="3"/>
        <v>118.05186520263644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307.19999999999987</v>
      </c>
      <c r="AJ56" s="13">
        <f>AI56*VLOOKUP('Données projet'!$B$10,Paramètres!$A$1:$I$89,3,0)*VLOOKUP('Données projet'!$B$10,Paramètres!$A$1:$I$89,5,0)</f>
        <v>244.40831999999992</v>
      </c>
      <c r="AK56" s="13">
        <f t="shared" si="35"/>
        <v>59.38699493610541</v>
      </c>
      <c r="AL56" s="20">
        <f t="shared" si="4"/>
        <v>529.11017351371675</v>
      </c>
      <c r="AM56" s="59">
        <f t="shared" si="5"/>
        <v>822.44350684705</v>
      </c>
      <c r="AN56" s="59">
        <f ca="1">AVERAGE(OFFSET($AM$3,0,0,'Données projet'!$E$10+1,1))-AVERAGE(OFFSET($H$3,0,0,'Données projet'!$E$10+1,1))</f>
        <v>331.52724290297675</v>
      </c>
      <c r="AO56" s="59">
        <f t="shared" si="36"/>
        <v>322.79102610158054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47.688916930940763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47.688916930940763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206.06975999999992</v>
      </c>
      <c r="BF56" s="13">
        <f t="shared" si="37"/>
        <v>51.075787295320026</v>
      </c>
      <c r="BG56" s="20">
        <f t="shared" si="7"/>
        <v>447.86182820601556</v>
      </c>
      <c r="BH56" s="59">
        <f t="shared" si="8"/>
        <v>741.19516153934887</v>
      </c>
      <c r="BI56" s="59">
        <f ca="1">AVERAGE(OFFSET($BH$3,0,0,'Données projet'!$E$11+1,1))-AVERAGE(OFFSET($H$3,0,0,'Données projet'!$E$11+1,1))</f>
        <v>273.84349636755343</v>
      </c>
      <c r="BJ56" s="59">
        <f t="shared" si="38"/>
        <v>268.10688874775451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40.208302510401033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40.208302510401033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25.4</v>
      </c>
      <c r="N57" s="13">
        <f>IF('Données projet'!$A$36&gt;35,N56+M57-V56,IF(A57&lt;'Données projet'!$A$36,$K$205^A57,IF(A57='Données projet'!$A$36,'Données projet'!$B$36,N56+M57-V56)))</f>
        <v>668.60000000000036</v>
      </c>
      <c r="O57" s="13">
        <f>N57*VLOOKUP('Données projet'!$B$9,Paramètres!$A$1:$I$89,3,0)*VLOOKUP('Données projet'!$B$9,Paramètres!$A$1:$I$89,5,0)</f>
        <v>330.28840000000019</v>
      </c>
      <c r="P57" s="13">
        <f t="shared" si="33"/>
        <v>77.490096809619459</v>
      </c>
      <c r="Q57" s="20">
        <f t="shared" si="53"/>
        <v>710.21421527675409</v>
      </c>
      <c r="R57" s="59">
        <f t="shared" si="0"/>
        <v>1003.5475486100875</v>
      </c>
      <c r="S57" s="59">
        <f ca="1">AVERAGE(OFFSET($R$3,0,0,'Données projet'!$E$9+1,1))-AVERAGE(OFFSET($H$3,0,0,'Données projet'!$E$9+1,1))</f>
        <v>434.08297999735811</v>
      </c>
      <c r="T57" s="59">
        <f t="shared" si="34"/>
        <v>371.04090283546122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88.943993136570171</v>
      </c>
      <c r="AA57" s="21">
        <f>EXP(-LN(2)/25)*AA56+(1-EXP(-LN(2)/25))/(LN(2)/25)*Calculateur!V57*Calculateur!X57*VLOOKUP('Données projet'!$B$9,Paramètres!$A$1:$I$89,3,0)*0.475*44/12</f>
        <v>26.58128783724041</v>
      </c>
      <c r="AB57" s="21">
        <f>EXP(-LN(2)/2)*AB56+(1-EXP(-LN(2)/2))/(LN(2)/2)*V57*Y57*VLOOKUP('Données projet'!$B$9,Paramètres!$A$1:$I$89,3,0)*0.475*44/12</f>
        <v>1.8349364062543634E-4</v>
      </c>
      <c r="AC57" s="22">
        <f t="shared" si="3"/>
        <v>115.5254644674512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315.59999999999985</v>
      </c>
      <c r="AJ57" s="13">
        <f>AI57*VLOOKUP('Données projet'!$B$10,Paramètres!$A$1:$I$89,3,0)*VLOOKUP('Données projet'!$B$10,Paramètres!$A$1:$I$89,5,0)</f>
        <v>251.0913599999999</v>
      </c>
      <c r="AK57" s="13">
        <f t="shared" si="35"/>
        <v>60.81957989149403</v>
      </c>
      <c r="AL57" s="20">
        <f t="shared" si="4"/>
        <v>543.24488697768527</v>
      </c>
      <c r="AM57" s="59">
        <f t="shared" si="5"/>
        <v>836.57822031101864</v>
      </c>
      <c r="AN57" s="59">
        <f ca="1">AVERAGE(OFFSET($AM$3,0,0,'Données projet'!$E$10+1,1))-AVERAGE(OFFSET($H$3,0,0,'Données projet'!$E$10+1,1))</f>
        <v>331.52724290297675</v>
      </c>
      <c r="AO57" s="59">
        <f t="shared" si="36"/>
        <v>322.79102610158054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46.753766357292207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46.753766357292207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211.7044799999999</v>
      </c>
      <c r="BF57" s="13">
        <f t="shared" si="37"/>
        <v>52.307882041697226</v>
      </c>
      <c r="BG57" s="20">
        <f t="shared" si="7"/>
        <v>459.82153055595586</v>
      </c>
      <c r="BH57" s="59">
        <f t="shared" si="8"/>
        <v>753.15486388928912</v>
      </c>
      <c r="BI57" s="59">
        <f ca="1">AVERAGE(OFFSET($BH$3,0,0,'Données projet'!$E$11+1,1))-AVERAGE(OFFSET($H$3,0,0,'Données projet'!$E$11+1,1))</f>
        <v>273.84349636755343</v>
      </c>
      <c r="BJ57" s="59">
        <f t="shared" si="38"/>
        <v>268.10688874775451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39.419842222814992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39.419842222814992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694</v>
      </c>
      <c r="L58" s="12">
        <f>VLOOKUP(A58,'Données projet'!$A$35:$I$55,9,0)</f>
        <v>25.4</v>
      </c>
      <c r="M58" s="12">
        <f t="array" ref="M58">INDEX(L:L,MIN(IF(ISNUMBER(L58:L254),ROW(L58:L254),"")))</f>
        <v>25.4</v>
      </c>
      <c r="N58" s="13">
        <f>IF('Données projet'!$A$36&gt;35,N57+M58-V57,IF(A58&lt;'Données projet'!$A$36,$K$205^A58,IF(A58='Données projet'!$A$36,'Données projet'!$B$36,N57+M58-V57)))</f>
        <v>694.00000000000034</v>
      </c>
      <c r="O58" s="13">
        <f>N58*VLOOKUP('Données projet'!$B$9,Paramètres!$A$1:$I$89,3,0)*VLOOKUP('Données projet'!$B$9,Paramètres!$A$1:$I$89,5,0)</f>
        <v>342.83600000000018</v>
      </c>
      <c r="P58" s="13">
        <f t="shared" si="33"/>
        <v>80.085598410344375</v>
      </c>
      <c r="Q58" s="20">
        <f t="shared" si="53"/>
        <v>736.58845056468351</v>
      </c>
      <c r="R58" s="59">
        <f t="shared" si="0"/>
        <v>1029.9217838980169</v>
      </c>
      <c r="S58" s="59">
        <f ca="1">AVERAGE(OFFSET($R$3,0,0,'Données projet'!$E$9+1,1))-AVERAGE(OFFSET($H$3,0,0,'Données projet'!$E$9+1,1))</f>
        <v>434.08297999735811</v>
      </c>
      <c r="T58" s="59">
        <f t="shared" si="34"/>
        <v>371.04090283546122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73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113.51106774727444</v>
      </c>
      <c r="AA58" s="21">
        <f>EXP(-LN(2)/25)*AA57+(1-EXP(-LN(2)/25))/(LN(2)/25)*Calculateur!V58*Calculateur!X58*VLOOKUP('Données projet'!$B$9,Paramètres!$A$1:$I$89,3,0)*0.475*44/12</f>
        <v>25.854421123481895</v>
      </c>
      <c r="AB58" s="21">
        <f>EXP(-LN(2)/2)*AB57+(1-EXP(-LN(2)/2))/(LN(2)/2)*V58*Y58*VLOOKUP('Données projet'!$B$9,Paramètres!$A$1:$I$89,3,0)*0.475*44/12</f>
        <v>1.297495975908534E-4</v>
      </c>
      <c r="AC58" s="22">
        <f t="shared" si="3"/>
        <v>139.36561862035393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324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323.99999999999983</v>
      </c>
      <c r="AJ58" s="13">
        <f>AI58*VLOOKUP('Données projet'!$B$10,Paramètres!$A$1:$I$89,3,0)*VLOOKUP('Données projet'!$B$10,Paramètres!$A$1:$I$89,5,0)</f>
        <v>257.7743999999999</v>
      </c>
      <c r="AK58" s="13">
        <f t="shared" si="35"/>
        <v>62.247732872134243</v>
      </c>
      <c r="AL58" s="20">
        <f t="shared" si="4"/>
        <v>557.37188141896695</v>
      </c>
      <c r="AM58" s="59">
        <f t="shared" si="5"/>
        <v>850.70521475230021</v>
      </c>
      <c r="AN58" s="59">
        <f ca="1">AVERAGE(OFFSET($AM$3,0,0,'Données projet'!$E$10+1,1))-AVERAGE(OFFSET($H$3,0,0,'Données projet'!$E$10+1,1))</f>
        <v>331.52724290297675</v>
      </c>
      <c r="AO58" s="59">
        <f t="shared" si="36"/>
        <v>322.79102610158054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18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54.227500227951566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54.227500227951566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217.33919999999992</v>
      </c>
      <c r="BF58" s="13">
        <f t="shared" si="37"/>
        <v>53.536165068020416</v>
      </c>
      <c r="BG58" s="20">
        <f t="shared" si="7"/>
        <v>471.77459416013545</v>
      </c>
      <c r="BH58" s="59">
        <f t="shared" si="8"/>
        <v>765.10792749346876</v>
      </c>
      <c r="BI58" s="59">
        <f ca="1">AVERAGE(OFFSET($BH$3,0,0,'Données projet'!$E$11+1,1))-AVERAGE(OFFSET($H$3,0,0,'Données projet'!$E$11+1,1))</f>
        <v>273.84349636755343</v>
      </c>
      <c r="BJ58" s="59">
        <f t="shared" si="38"/>
        <v>268.10688874775451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45.721225682390532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45.721225682390532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23.8</v>
      </c>
      <c r="N59" s="13">
        <f>IF('Données projet'!$A$36&gt;35,N58+M59-V58,IF(A59&lt;'Données projet'!$A$36,$K$205^A59,IF(A59='Données projet'!$A$36,'Données projet'!$B$36,N58+M59-V58)))</f>
        <v>644.8000000000003</v>
      </c>
      <c r="O59" s="13">
        <f>N59*VLOOKUP('Données projet'!$B$9,Paramètres!$A$1:$I$89,3,0)*VLOOKUP('Données projet'!$B$9,Paramètres!$A$1:$I$89,5,0)</f>
        <v>318.53120000000018</v>
      </c>
      <c r="P59" s="13">
        <f t="shared" si="33"/>
        <v>75.047659477422243</v>
      </c>
      <c r="Q59" s="20">
        <f t="shared" si="53"/>
        <v>685.48318025651076</v>
      </c>
      <c r="R59" s="59">
        <f t="shared" si="0"/>
        <v>978.81651358984413</v>
      </c>
      <c r="S59" s="59">
        <f ca="1">AVERAGE(OFFSET($R$3,0,0,'Données projet'!$E$9+1,1))-AVERAGE(OFFSET($H$3,0,0,'Données projet'!$E$9+1,1))</f>
        <v>434.08297999735811</v>
      </c>
      <c r="T59" s="59">
        <f t="shared" si="34"/>
        <v>371.04090283546122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111.28518494366533</v>
      </c>
      <c r="AA59" s="21">
        <f>EXP(-LN(2)/25)*AA58+(1-EXP(-LN(2)/25))/(LN(2)/25)*Calculateur!V59*Calculateur!X59*VLOOKUP('Données projet'!$B$9,Paramètres!$A$1:$I$89,3,0)*0.475*44/12</f>
        <v>25.147430618235369</v>
      </c>
      <c r="AB59" s="21">
        <f>EXP(-LN(2)/2)*AB58+(1-EXP(-LN(2)/2))/(LN(2)/2)*V59*Y59*VLOOKUP('Données projet'!$B$9,Paramètres!$A$1:$I$89,3,0)*0.475*44/12</f>
        <v>9.1746820312718169E-5</v>
      </c>
      <c r="AC59" s="22">
        <f t="shared" si="3"/>
        <v>136.43270730872101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313.39999999999981</v>
      </c>
      <c r="AJ59" s="13">
        <f>AI59*VLOOKUP('Données projet'!$B$10,Paramètres!$A$1:$I$89,3,0)*VLOOKUP('Données projet'!$B$10,Paramètres!$A$1:$I$89,5,0)</f>
        <v>249.34103999999988</v>
      </c>
      <c r="AK59" s="13">
        <f t="shared" si="35"/>
        <v>60.444812818312201</v>
      </c>
      <c r="AL59" s="20">
        <f t="shared" si="4"/>
        <v>539.54369365856019</v>
      </c>
      <c r="AM59" s="59">
        <f t="shared" si="5"/>
        <v>832.87702699189344</v>
      </c>
      <c r="AN59" s="59">
        <f ca="1">AVERAGE(OFFSET($AM$3,0,0,'Données projet'!$E$10+1,1))-AVERAGE(OFFSET($H$3,0,0,'Données projet'!$E$10+1,1))</f>
        <v>331.52724290297675</v>
      </c>
      <c r="AO59" s="59">
        <f t="shared" si="36"/>
        <v>322.79102610158054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53.164132023990639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53.164132023990639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210.22871999999987</v>
      </c>
      <c r="BF59" s="13">
        <f t="shared" si="37"/>
        <v>51.985563605889581</v>
      </c>
      <c r="BG59" s="20">
        <f t="shared" si="7"/>
        <v>456.68987728025746</v>
      </c>
      <c r="BH59" s="59">
        <f t="shared" si="8"/>
        <v>750.02321061359078</v>
      </c>
      <c r="BI59" s="59">
        <f ca="1">AVERAGE(OFFSET($BH$3,0,0,'Données projet'!$E$11+1,1))-AVERAGE(OFFSET($H$3,0,0,'Données projet'!$E$11+1,1))</f>
        <v>273.84349636755343</v>
      </c>
      <c r="BJ59" s="59">
        <f t="shared" si="38"/>
        <v>268.10688874775451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44.824660333952892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44.824660333952892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23.8</v>
      </c>
      <c r="N60" s="13">
        <f>IF('Données projet'!$A$36&gt;35,N59+M60-V59,IF(A60&lt;'Données projet'!$A$36,$K$205^A60,IF(A60='Données projet'!$A$36,'Données projet'!$B$36,N59+M60-V59)))</f>
        <v>668.60000000000025</v>
      </c>
      <c r="O60" s="13">
        <f>N60*VLOOKUP('Données projet'!$B$9,Paramètres!$A$1:$I$89,3,0)*VLOOKUP('Données projet'!$B$9,Paramètres!$A$1:$I$89,5,0)</f>
        <v>330.28840000000014</v>
      </c>
      <c r="P60" s="13">
        <f t="shared" si="33"/>
        <v>77.490096809619459</v>
      </c>
      <c r="Q60" s="20">
        <f t="shared" si="53"/>
        <v>710.21421527675409</v>
      </c>
      <c r="R60" s="59">
        <f t="shared" si="0"/>
        <v>1003.5475486100875</v>
      </c>
      <c r="S60" s="59">
        <f ca="1">AVERAGE(OFFSET($R$3,0,0,'Données projet'!$E$9+1,1))-AVERAGE(OFFSET($H$3,0,0,'Données projet'!$E$9+1,1))</f>
        <v>434.08297999735811</v>
      </c>
      <c r="T60" s="59">
        <f t="shared" si="34"/>
        <v>371.04090283546122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109.10295034418054</v>
      </c>
      <c r="AA60" s="21">
        <f>EXP(-LN(2)/25)*AA59+(1-EXP(-LN(2)/25))/(LN(2)/25)*Calculateur!V60*Calculateur!X60*VLOOKUP('Données projet'!$B$9,Paramètres!$A$1:$I$89,3,0)*0.475*44/12</f>
        <v>24.45977280553382</v>
      </c>
      <c r="AB60" s="21">
        <f>EXP(-LN(2)/2)*AB59+(1-EXP(-LN(2)/2))/(LN(2)/2)*V60*Y60*VLOOKUP('Données projet'!$B$9,Paramètres!$A$1:$I$89,3,0)*0.475*44/12</f>
        <v>6.4874798795426698E-5</v>
      </c>
      <c r="AC60" s="22">
        <f t="shared" si="3"/>
        <v>133.56278802451317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320.79999999999978</v>
      </c>
      <c r="AJ60" s="13">
        <f>AI60*VLOOKUP('Données projet'!$B$10,Paramètres!$A$1:$I$89,3,0)*VLOOKUP('Données projet'!$B$10,Paramètres!$A$1:$I$89,5,0)</f>
        <v>255.22847999999985</v>
      </c>
      <c r="AK60" s="13">
        <f t="shared" si="35"/>
        <v>61.704188876103551</v>
      </c>
      <c r="AL60" s="20">
        <f t="shared" si="4"/>
        <v>551.99106495921342</v>
      </c>
      <c r="AM60" s="59">
        <f t="shared" si="5"/>
        <v>845.32439829254668</v>
      </c>
      <c r="AN60" s="59">
        <f ca="1">AVERAGE(OFFSET($AM$3,0,0,'Données projet'!$E$10+1,1))-AVERAGE(OFFSET($H$3,0,0,'Données projet'!$E$10+1,1))</f>
        <v>331.52724290297675</v>
      </c>
      <c r="AO60" s="59">
        <f t="shared" si="36"/>
        <v>322.79102610158054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52.121615821918823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52.121615821918823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215.19263999999987</v>
      </c>
      <c r="BF60" s="13">
        <f t="shared" si="37"/>
        <v>53.068690033178463</v>
      </c>
      <c r="BG60" s="20">
        <f t="shared" si="7"/>
        <v>467.22181647445228</v>
      </c>
      <c r="BH60" s="59">
        <f t="shared" si="8"/>
        <v>760.5551498077856</v>
      </c>
      <c r="BI60" s="59">
        <f ca="1">AVERAGE(OFFSET($BH$3,0,0,'Données projet'!$E$11+1,1))-AVERAGE(OFFSET($H$3,0,0,'Données projet'!$E$11+1,1))</f>
        <v>273.84349636755343</v>
      </c>
      <c r="BJ60" s="59">
        <f t="shared" si="38"/>
        <v>268.10688874775451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43.945676085147248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43.945676085147248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23.8</v>
      </c>
      <c r="N61" s="13">
        <f>IF('Données projet'!$A$36&gt;35,N60+M61-V60,IF(A61&lt;'Données projet'!$A$36,$K$205^A61,IF(A61='Données projet'!$A$36,'Données projet'!$B$36,N60+M61-V60)))</f>
        <v>692.4000000000002</v>
      </c>
      <c r="O61" s="13">
        <f>N61*VLOOKUP('Données projet'!$B$9,Paramètres!$A$1:$I$89,3,0)*VLOOKUP('Données projet'!$B$9,Paramètres!$A$1:$I$89,5,0)</f>
        <v>342.04560000000009</v>
      </c>
      <c r="P61" s="13">
        <f t="shared" si="33"/>
        <v>79.922432674592855</v>
      </c>
      <c r="Q61" s="20">
        <f t="shared" si="53"/>
        <v>734.92765690824933</v>
      </c>
      <c r="R61" s="59">
        <f t="shared" si="0"/>
        <v>1028.2609902415827</v>
      </c>
      <c r="S61" s="59">
        <f ca="1">AVERAGE(OFFSET($R$3,0,0,'Données projet'!$E$9+1,1))-AVERAGE(OFFSET($H$3,0,0,'Données projet'!$E$9+1,1))</f>
        <v>434.08297999735811</v>
      </c>
      <c r="T61" s="59">
        <f t="shared" si="34"/>
        <v>371.04090283546122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106.96350803415997</v>
      </c>
      <c r="AA61" s="21">
        <f>EXP(-LN(2)/25)*AA60+(1-EXP(-LN(2)/25))/(LN(2)/25)*Calculateur!V61*Calculateur!X61*VLOOKUP('Données projet'!$B$9,Paramètres!$A$1:$I$89,3,0)*0.475*44/12</f>
        <v>23.79091903188295</v>
      </c>
      <c r="AB61" s="21">
        <f>EXP(-LN(2)/2)*AB60+(1-EXP(-LN(2)/2))/(LN(2)/2)*V61*Y61*VLOOKUP('Données projet'!$B$9,Paramètres!$A$1:$I$89,3,0)*0.475*44/12</f>
        <v>4.5873410156359085E-5</v>
      </c>
      <c r="AC61" s="22">
        <f t="shared" si="3"/>
        <v>130.75447293945308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328.19999999999976</v>
      </c>
      <c r="AJ61" s="13">
        <f>AI61*VLOOKUP('Données projet'!$B$10,Paramètres!$A$1:$I$89,3,0)*VLOOKUP('Données projet'!$B$10,Paramètres!$A$1:$I$89,5,0)</f>
        <v>261.11591999999985</v>
      </c>
      <c r="AK61" s="13">
        <f t="shared" si="35"/>
        <v>62.960187681145797</v>
      </c>
      <c r="AL61" s="20">
        <f t="shared" si="4"/>
        <v>564.43255421132858</v>
      </c>
      <c r="AM61" s="59">
        <f t="shared" si="5"/>
        <v>857.76588754466184</v>
      </c>
      <c r="AN61" s="59">
        <f ca="1">AVERAGE(OFFSET($AM$3,0,0,'Données projet'!$E$10+1,1))-AVERAGE(OFFSET($H$3,0,0,'Données projet'!$E$10+1,1))</f>
        <v>331.52724290297675</v>
      </c>
      <c r="AO61" s="59">
        <f t="shared" si="36"/>
        <v>322.79102610158054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51.099542726697543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51.099542726697543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220.15655999999984</v>
      </c>
      <c r="BF61" s="13">
        <f t="shared" si="37"/>
        <v>54.148911854109755</v>
      </c>
      <c r="BG61" s="20">
        <f t="shared" si="7"/>
        <v>477.74869681257422</v>
      </c>
      <c r="BH61" s="59">
        <f t="shared" si="8"/>
        <v>771.08203014590754</v>
      </c>
      <c r="BI61" s="59">
        <f ca="1">AVERAGE(OFFSET($BH$3,0,0,'Données projet'!$E$11+1,1))-AVERAGE(OFFSET($H$3,0,0,'Données projet'!$E$11+1,1))</f>
        <v>273.84349636755343</v>
      </c>
      <c r="BJ61" s="59">
        <f t="shared" si="38"/>
        <v>268.10688874775451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43.083928181333228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43.083928181333228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23.8</v>
      </c>
      <c r="N62" s="13">
        <f>IF('Données projet'!$A$36&gt;35,N61+M62-V61,IF(A62&lt;'Données projet'!$A$36,$K$205^A62,IF(A62='Données projet'!$A$36,'Données projet'!$B$36,N61+M62-V61)))</f>
        <v>716.20000000000016</v>
      </c>
      <c r="O62" s="13">
        <f>N62*VLOOKUP('Données projet'!$B$9,Paramètres!$A$1:$I$89,3,0)*VLOOKUP('Données projet'!$B$9,Paramètres!$A$1:$I$89,5,0)</f>
        <v>353.8028000000001</v>
      </c>
      <c r="P62" s="13">
        <f t="shared" si="33"/>
        <v>82.345054088850119</v>
      </c>
      <c r="Q62" s="20">
        <f t="shared" si="53"/>
        <v>759.62417920474752</v>
      </c>
      <c r="R62" s="59">
        <f t="shared" si="0"/>
        <v>1052.9575125380809</v>
      </c>
      <c r="S62" s="59">
        <f ca="1">AVERAGE(OFFSET($R$3,0,0,'Données projet'!$E$9+1,1))-AVERAGE(OFFSET($H$3,0,0,'Données projet'!$E$9+1,1))</f>
        <v>434.08297999735811</v>
      </c>
      <c r="T62" s="59">
        <f t="shared" si="34"/>
        <v>371.04090283546122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104.86601888290795</v>
      </c>
      <c r="AA62" s="21">
        <f>EXP(-LN(2)/25)*AA61+(1-EXP(-LN(2)/25))/(LN(2)/25)*Calculateur!V62*Calculateur!X62*VLOOKUP('Données projet'!$B$9,Paramètres!$A$1:$I$89,3,0)*0.475*44/12</f>
        <v>23.140355099846055</v>
      </c>
      <c r="AB62" s="21">
        <f>EXP(-LN(2)/2)*AB61+(1-EXP(-LN(2)/2))/(LN(2)/2)*V62*Y62*VLOOKUP('Données projet'!$B$9,Paramètres!$A$1:$I$89,3,0)*0.475*44/12</f>
        <v>3.2437399397713349E-5</v>
      </c>
      <c r="AC62" s="22">
        <f t="shared" si="3"/>
        <v>128.00640642015341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335.59999999999974</v>
      </c>
      <c r="AJ62" s="13">
        <f>AI62*VLOOKUP('Données projet'!$B$10,Paramètres!$A$1:$I$89,3,0)*VLOOKUP('Données projet'!$B$10,Paramètres!$A$1:$I$89,5,0)</f>
        <v>267.00335999999982</v>
      </c>
      <c r="AK62" s="13">
        <f t="shared" si="35"/>
        <v>64.212894147794728</v>
      </c>
      <c r="AL62" s="20">
        <f t="shared" si="4"/>
        <v>576.86830930740882</v>
      </c>
      <c r="AM62" s="59">
        <f t="shared" si="5"/>
        <v>870.20164264074219</v>
      </c>
      <c r="AN62" s="59">
        <f ca="1">AVERAGE(OFFSET($AM$3,0,0,'Données projet'!$E$10+1,1))-AVERAGE(OFFSET($H$3,0,0,'Données projet'!$E$10+1,1))</f>
        <v>331.52724290297675</v>
      </c>
      <c r="AO62" s="59">
        <f t="shared" si="36"/>
        <v>322.79102610158054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50.097511861470515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50.097511861470515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225.12047999999982</v>
      </c>
      <c r="BF62" s="13">
        <f t="shared" si="37"/>
        <v>55.226302099278278</v>
      </c>
      <c r="BG62" s="20">
        <f t="shared" si="7"/>
        <v>488.27064548957588</v>
      </c>
      <c r="BH62" s="59">
        <f t="shared" si="8"/>
        <v>781.6039788229092</v>
      </c>
      <c r="BI62" s="59">
        <f ca="1">AVERAGE(OFFSET($BH$3,0,0,'Données projet'!$E$11+1,1))-AVERAGE(OFFSET($H$3,0,0,'Données projet'!$E$11+1,1))</f>
        <v>273.84349636755343</v>
      </c>
      <c r="BJ62" s="59">
        <f t="shared" si="38"/>
        <v>268.10688874775451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42.239078628298678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42.239078628298678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740</v>
      </c>
      <c r="L63" s="12">
        <f>VLOOKUP(A63,'Données projet'!$A$35:$I$55,9,0)</f>
        <v>23.8</v>
      </c>
      <c r="M63" s="12">
        <f t="array" ref="M63">INDEX(L:L,MIN(IF(ISNUMBER(L63:L259),ROW(L63:L259),"")))</f>
        <v>23.8</v>
      </c>
      <c r="N63" s="13">
        <f>IF('Données projet'!$A$36&gt;35,N62+M63-V62,IF(A63&lt;'Données projet'!$A$36,$K$205^A63,IF(A63='Données projet'!$A$36,'Données projet'!$B$36,N62+M63-V62)))</f>
        <v>740.00000000000011</v>
      </c>
      <c r="O63" s="13">
        <f>N63*VLOOKUP('Données projet'!$B$9,Paramètres!$A$1:$I$89,3,0)*VLOOKUP('Données projet'!$B$9,Paramètres!$A$1:$I$89,5,0)</f>
        <v>365.56000000000006</v>
      </c>
      <c r="P63" s="13">
        <f t="shared" si="33"/>
        <v>84.758320887405773</v>
      </c>
      <c r="Q63" s="20">
        <f t="shared" si="53"/>
        <v>784.30440887889836</v>
      </c>
      <c r="R63" s="59">
        <f t="shared" si="0"/>
        <v>1077.6377422122316</v>
      </c>
      <c r="S63" s="59">
        <f ca="1">AVERAGE(OFFSET($R$3,0,0,'Données projet'!$E$9+1,1))-AVERAGE(OFFSET($H$3,0,0,'Données projet'!$E$9+1,1))</f>
        <v>434.08297999735811</v>
      </c>
      <c r="T63" s="59">
        <f t="shared" si="34"/>
        <v>371.04090283546122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66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126.59787934240286</v>
      </c>
      <c r="AA63" s="21">
        <f>EXP(-LN(2)/25)*AA62+(1-EXP(-LN(2)/25))/(LN(2)/25)*Calculateur!V63*Calculateur!X63*VLOOKUP('Données projet'!$B$9,Paramètres!$A$1:$I$89,3,0)*0.475*44/12</f>
        <v>22.507580872742377</v>
      </c>
      <c r="AB63" s="21">
        <f>EXP(-LN(2)/2)*AB62+(1-EXP(-LN(2)/2))/(LN(2)/2)*V63*Y63*VLOOKUP('Données projet'!$B$9,Paramètres!$A$1:$I$89,3,0)*0.475*44/12</f>
        <v>2.2936705078179542E-5</v>
      </c>
      <c r="AC63" s="22">
        <f t="shared" si="3"/>
        <v>149.10548315185031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343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342.99999999999972</v>
      </c>
      <c r="AJ63" s="13">
        <f>AI63*VLOOKUP('Données projet'!$B$10,Paramètres!$A$1:$I$89,3,0)*VLOOKUP('Données projet'!$B$10,Paramètres!$A$1:$I$89,5,0)</f>
        <v>272.89079999999979</v>
      </c>
      <c r="AK63" s="13">
        <f t="shared" si="35"/>
        <v>65.462389231846373</v>
      </c>
      <c r="AL63" s="20">
        <f t="shared" si="4"/>
        <v>589.29847124546529</v>
      </c>
      <c r="AM63" s="59">
        <f t="shared" si="5"/>
        <v>882.63180457879866</v>
      </c>
      <c r="AN63" s="59">
        <f ca="1">AVERAGE(OFFSET($AM$3,0,0,'Données projet'!$E$10+1,1))-AVERAGE(OFFSET($H$3,0,0,'Données projet'!$E$10+1,1))</f>
        <v>331.52724290297675</v>
      </c>
      <c r="AO63" s="59">
        <f t="shared" si="36"/>
        <v>322.79102610158054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17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57.039535438279415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57.039535438279415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230.08439999999979</v>
      </c>
      <c r="BF63" s="13">
        <f t="shared" si="37"/>
        <v>56.300930394719607</v>
      </c>
      <c r="BG63" s="20">
        <f t="shared" si="7"/>
        <v>498.78778377080289</v>
      </c>
      <c r="BH63" s="59">
        <f t="shared" si="8"/>
        <v>792.12111710413615</v>
      </c>
      <c r="BI63" s="59">
        <f ca="1">AVERAGE(OFFSET($BH$3,0,0,'Données projet'!$E$11+1,1))-AVERAGE(OFFSET($H$3,0,0,'Données projet'!$E$11+1,1))</f>
        <v>273.84349636755343</v>
      </c>
      <c r="BJ63" s="59">
        <f t="shared" si="38"/>
        <v>268.10688874775451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48.092157330314024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48.092157330314024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22.4</v>
      </c>
      <c r="N64" s="13">
        <f>IF('Données projet'!$A$36&gt;35,N63+M64-V63,IF(A64&lt;'Données projet'!$A$36,$K$205^A64,IF(A64='Données projet'!$A$36,'Données projet'!$B$36,N63+M64-V63)))</f>
        <v>696.40000000000009</v>
      </c>
      <c r="O64" s="13">
        <f>N64*VLOOKUP('Données projet'!$B$9,Paramètres!$A$1:$I$89,3,0)*VLOOKUP('Données projet'!$B$9,Paramètres!$A$1:$I$89,5,0)</f>
        <v>344.02160000000009</v>
      </c>
      <c r="P64" s="13">
        <f t="shared" si="33"/>
        <v>80.33026495995145</v>
      </c>
      <c r="Q64" s="20">
        <f t="shared" si="53"/>
        <v>739.07949813858215</v>
      </c>
      <c r="R64" s="59">
        <f t="shared" si="0"/>
        <v>1032.4128314719155</v>
      </c>
      <c r="S64" s="59">
        <f ca="1">AVERAGE(OFFSET($R$3,0,0,'Données projet'!$E$9+1,1))-AVERAGE(OFFSET($H$3,0,0,'Données projet'!$E$9+1,1))</f>
        <v>434.08297999735811</v>
      </c>
      <c r="T64" s="59">
        <f t="shared" si="34"/>
        <v>371.04090283546122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124.11537214558018</v>
      </c>
      <c r="AA64" s="21">
        <f>EXP(-LN(2)/25)*AA63+(1-EXP(-LN(2)/25))/(LN(2)/25)*Calculateur!V64*Calculateur!X64*VLOOKUP('Données projet'!$B$9,Paramètres!$A$1:$I$89,3,0)*0.475*44/12</f>
        <v>21.892109890155002</v>
      </c>
      <c r="AB64" s="21">
        <f>EXP(-LN(2)/2)*AB63+(1-EXP(-LN(2)/2))/(LN(2)/2)*V64*Y64*VLOOKUP('Données projet'!$B$9,Paramètres!$A$1:$I$89,3,0)*0.475*44/12</f>
        <v>1.6218699698856675E-5</v>
      </c>
      <c r="AC64" s="22">
        <f t="shared" si="3"/>
        <v>146.00749825443489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331.99999999999972</v>
      </c>
      <c r="AJ64" s="13">
        <f>AI64*VLOOKUP('Données projet'!$B$10,Paramètres!$A$1:$I$89,3,0)*VLOOKUP('Données projet'!$B$10,Paramètres!$A$1:$I$89,5,0)</f>
        <v>264.13919999999979</v>
      </c>
      <c r="AK64" s="13">
        <f t="shared" si="35"/>
        <v>63.60387543087441</v>
      </c>
      <c r="AL64" s="20">
        <f t="shared" si="4"/>
        <v>570.81918970877257</v>
      </c>
      <c r="AM64" s="59">
        <f t="shared" si="5"/>
        <v>864.15252304210594</v>
      </c>
      <c r="AN64" s="59">
        <f ca="1">AVERAGE(OFFSET($AM$3,0,0,'Données projet'!$E$10+1,1))-AVERAGE(OFFSET($H$3,0,0,'Données projet'!$E$10+1,1))</f>
        <v>331.52724290297675</v>
      </c>
      <c r="AO64" s="59">
        <f t="shared" si="36"/>
        <v>322.79102610158054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55.921024939016078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55.921024939016078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222.70559999999981</v>
      </c>
      <c r="BF64" s="13">
        <f t="shared" si="37"/>
        <v>54.702515528198852</v>
      </c>
      <c r="BG64" s="20">
        <f t="shared" si="7"/>
        <v>483.15246787827937</v>
      </c>
      <c r="BH64" s="59">
        <f t="shared" si="8"/>
        <v>776.48580121161262</v>
      </c>
      <c r="BI64" s="59">
        <f ca="1">AVERAGE(OFFSET($BH$3,0,0,'Données projet'!$E$11+1,1))-AVERAGE(OFFSET($H$3,0,0,'Données projet'!$E$11+1,1))</f>
        <v>273.84349636755343</v>
      </c>
      <c r="BJ64" s="59">
        <f t="shared" si="38"/>
        <v>268.10688874775451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47.149099458386111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47.149099458386111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22.4</v>
      </c>
      <c r="N65" s="13">
        <f>IF('Données projet'!$A$36&gt;35,N64+M65-V64,IF(A65&lt;'Données projet'!$A$36,$K$205^A65,IF(A65='Données projet'!$A$36,'Données projet'!$B$36,N64+M65-V64)))</f>
        <v>718.80000000000007</v>
      </c>
      <c r="O65" s="13">
        <f>N65*VLOOKUP('Données projet'!$B$9,Paramètres!$A$1:$I$89,3,0)*VLOOKUP('Données projet'!$B$9,Paramètres!$A$1:$I$89,5,0)</f>
        <v>355.0872</v>
      </c>
      <c r="P65" s="13">
        <f t="shared" si="33"/>
        <v>82.609137191148633</v>
      </c>
      <c r="Q65" s="20">
        <f t="shared" si="53"/>
        <v>762.32112060791712</v>
      </c>
      <c r="R65" s="59">
        <f t="shared" si="0"/>
        <v>1055.6544539412505</v>
      </c>
      <c r="S65" s="59">
        <f ca="1">AVERAGE(OFFSET($R$3,0,0,'Données projet'!$E$9+1,1))-AVERAGE(OFFSET($H$3,0,0,'Données projet'!$E$9+1,1))</f>
        <v>434.08297999735811</v>
      </c>
      <c r="T65" s="59">
        <f t="shared" si="34"/>
        <v>371.04090283546122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121.68154540070732</v>
      </c>
      <c r="AA65" s="21">
        <f>EXP(-LN(2)/25)*AA64+(1-EXP(-LN(2)/25))/(LN(2)/25)*Calculateur!V65*Calculateur!X65*VLOOKUP('Données projet'!$B$9,Paramètres!$A$1:$I$89,3,0)*0.475*44/12</f>
        <v>21.29346899395269</v>
      </c>
      <c r="AB65" s="21">
        <f>EXP(-LN(2)/2)*AB64+(1-EXP(-LN(2)/2))/(LN(2)/2)*V65*Y65*VLOOKUP('Données projet'!$B$9,Paramètres!$A$1:$I$89,3,0)*0.475*44/12</f>
        <v>1.1468352539089771E-5</v>
      </c>
      <c r="AC65" s="22">
        <f t="shared" si="3"/>
        <v>142.97502586301255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337.99999999999972</v>
      </c>
      <c r="AJ65" s="13">
        <f>AI65*VLOOKUP('Données projet'!$B$10,Paramètres!$A$1:$I$89,3,0)*VLOOKUP('Données projet'!$B$10,Paramètres!$A$1:$I$89,5,0)</f>
        <v>268.91279999999978</v>
      </c>
      <c r="AK65" s="13">
        <f t="shared" si="35"/>
        <v>64.618483855217065</v>
      </c>
      <c r="AL65" s="20">
        <f t="shared" si="4"/>
        <v>580.90031938116931</v>
      </c>
      <c r="AM65" s="59">
        <f t="shared" si="5"/>
        <v>874.23365271450257</v>
      </c>
      <c r="AN65" s="59">
        <f ca="1">AVERAGE(OFFSET($AM$3,0,0,'Données projet'!$E$10+1,1))-AVERAGE(OFFSET($H$3,0,0,'Données projet'!$E$10+1,1))</f>
        <v>331.52724290297675</v>
      </c>
      <c r="AO65" s="59">
        <f t="shared" si="36"/>
        <v>322.79102610158054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54.824447748419253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54.824447748419253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226.73039999999983</v>
      </c>
      <c r="BF65" s="13">
        <f t="shared" si="37"/>
        <v>55.575129542858527</v>
      </c>
      <c r="BG65" s="20">
        <f t="shared" si="7"/>
        <v>491.68213062047835</v>
      </c>
      <c r="BH65" s="59">
        <f t="shared" si="8"/>
        <v>785.0154639538116</v>
      </c>
      <c r="BI65" s="59">
        <f ca="1">AVERAGE(OFFSET($BH$3,0,0,'Données projet'!$E$11+1,1))-AVERAGE(OFFSET($H$3,0,0,'Données projet'!$E$11+1,1))</f>
        <v>273.84349636755343</v>
      </c>
      <c r="BJ65" s="59">
        <f t="shared" si="38"/>
        <v>268.10688874775451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46.2245343761182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46.2245343761182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22.4</v>
      </c>
      <c r="N66" s="13">
        <f>IF('Données projet'!$A$36&gt;35,N65+M66-V65,IF(A66&lt;'Données projet'!$A$36,$K$205^A66,IF(A66='Données projet'!$A$36,'Données projet'!$B$36,N65+M66-V65)))</f>
        <v>741.2</v>
      </c>
      <c r="O66" s="13">
        <f>N66*VLOOKUP('Données projet'!$B$9,Paramètres!$A$1:$I$89,3,0)*VLOOKUP('Données projet'!$B$9,Paramètres!$A$1:$I$89,5,0)</f>
        <v>366.15280000000001</v>
      </c>
      <c r="P66" s="13">
        <f t="shared" si="33"/>
        <v>84.879756652329547</v>
      </c>
      <c r="Q66" s="20">
        <f t="shared" si="53"/>
        <v>785.5483695028073</v>
      </c>
      <c r="R66" s="59">
        <f t="shared" si="0"/>
        <v>1078.8817028361407</v>
      </c>
      <c r="S66" s="59">
        <f ca="1">AVERAGE(OFFSET($R$3,0,0,'Données projet'!$E$9+1,1))-AVERAGE(OFFSET($H$3,0,0,'Données projet'!$E$9+1,1))</f>
        <v>434.08297999735811</v>
      </c>
      <c r="T66" s="59">
        <f t="shared" si="34"/>
        <v>371.04090283546122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119.29544451381369</v>
      </c>
      <c r="AA66" s="21">
        <f>EXP(-LN(2)/25)*AA65+(1-EXP(-LN(2)/25))/(LN(2)/25)*Calculateur!V66*Calculateur!X66*VLOOKUP('Données projet'!$B$9,Paramètres!$A$1:$I$89,3,0)*0.475*44/12</f>
        <v>20.711197964538187</v>
      </c>
      <c r="AB66" s="21">
        <f>EXP(-LN(2)/2)*AB65+(1-EXP(-LN(2)/2))/(LN(2)/2)*V66*Y66*VLOOKUP('Données projet'!$B$9,Paramètres!$A$1:$I$89,3,0)*0.475*44/12</f>
        <v>8.1093498494283373E-6</v>
      </c>
      <c r="AC66" s="22">
        <f t="shared" si="3"/>
        <v>140.00665058770173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343.99999999999972</v>
      </c>
      <c r="AJ66" s="13">
        <f>AI66*VLOOKUP('Données projet'!$B$10,Paramètres!$A$1:$I$89,3,0)*VLOOKUP('Données projet'!$B$10,Paramètres!$A$1:$I$89,5,0)</f>
        <v>273.68639999999976</v>
      </c>
      <c r="AK66" s="13">
        <f t="shared" si="35"/>
        <v>65.630997870536959</v>
      </c>
      <c r="AL66" s="20">
        <f t="shared" si="4"/>
        <v>590.97780129118485</v>
      </c>
      <c r="AM66" s="59">
        <f t="shared" si="5"/>
        <v>884.31113462451822</v>
      </c>
      <c r="AN66" s="59">
        <f ca="1">AVERAGE(OFFSET($AM$3,0,0,'Données projet'!$E$10+1,1))-AVERAGE(OFFSET($H$3,0,0,'Données projet'!$E$10+1,1))</f>
        <v>331.52724290297675</v>
      </c>
      <c r="AO66" s="59">
        <f t="shared" si="36"/>
        <v>322.79102610158054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53.749373767683991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53.749373767683991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230.7551999999998</v>
      </c>
      <c r="BF66" s="13">
        <f t="shared" si="37"/>
        <v>56.445942260956926</v>
      </c>
      <c r="BG66" s="20">
        <f t="shared" si="7"/>
        <v>500.2086561044996</v>
      </c>
      <c r="BH66" s="59">
        <f t="shared" si="8"/>
        <v>793.54198943783285</v>
      </c>
      <c r="BI66" s="59">
        <f ca="1">AVERAGE(OFFSET($BH$3,0,0,'Données projet'!$E$11+1,1))-AVERAGE(OFFSET($H$3,0,0,'Données projet'!$E$11+1,1))</f>
        <v>273.84349636755343</v>
      </c>
      <c r="BJ66" s="59">
        <f t="shared" si="38"/>
        <v>268.10688874775451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45.318099451184544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45.318099451184544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22.4</v>
      </c>
      <c r="N67" s="13">
        <f>IF('Données projet'!$A$36&gt;35,N66+M67-V66,IF(A67&lt;'Données projet'!$A$36,$K$205^A67,IF(A67='Données projet'!$A$36,'Données projet'!$B$36,N66+M67-V66)))</f>
        <v>763.6</v>
      </c>
      <c r="O67" s="13">
        <f>N67*VLOOKUP('Données projet'!$B$9,Paramètres!$A$1:$I$89,3,0)*VLOOKUP('Données projet'!$B$9,Paramètres!$A$1:$I$89,5,0)</f>
        <v>377.21840000000003</v>
      </c>
      <c r="P67" s="13">
        <f t="shared" si="33"/>
        <v>87.142401380514713</v>
      </c>
      <c r="Q67" s="20">
        <f t="shared" ref="Q67:Q98" si="54">(O67+P67)*0.475*44/12</f>
        <v>808.7617290710632</v>
      </c>
      <c r="R67" s="59">
        <f t="shared" ref="R67:R130" si="55">Q67+(I67+J67)*44/12</f>
        <v>1102.0950624043965</v>
      </c>
      <c r="S67" s="59">
        <f ca="1">AVERAGE(OFFSET($R$3,0,0,'Données projet'!$E$9+1,1))-AVERAGE(OFFSET($H$3,0,0,'Données projet'!$E$9+1,1))</f>
        <v>434.08297999735811</v>
      </c>
      <c r="T67" s="59">
        <f t="shared" si="34"/>
        <v>371.04090283546122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116.9561336099342</v>
      </c>
      <c r="AA67" s="21">
        <f>EXP(-LN(2)/25)*AA66+(1-EXP(-LN(2)/25))/(LN(2)/25)*Calculateur!V67*Calculateur!X67*VLOOKUP('Données projet'!$B$9,Paramètres!$A$1:$I$89,3,0)*0.475*44/12</f>
        <v>20.144849167043326</v>
      </c>
      <c r="AB67" s="21">
        <f>EXP(-LN(2)/2)*AB66+(1-EXP(-LN(2)/2))/(LN(2)/2)*V67*Y67*VLOOKUP('Données projet'!$B$9,Paramètres!$A$1:$I$89,3,0)*0.475*44/12</f>
        <v>5.7341762695448856E-6</v>
      </c>
      <c r="AC67" s="22">
        <f t="shared" si="3"/>
        <v>137.10098851115379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349.99999999999972</v>
      </c>
      <c r="AJ67" s="13">
        <f>AI67*VLOOKUP('Données projet'!$B$10,Paramètres!$A$1:$I$89,3,0)*VLOOKUP('Données projet'!$B$10,Paramètres!$A$1:$I$89,5,0)</f>
        <v>278.45999999999981</v>
      </c>
      <c r="AK67" s="13">
        <f t="shared" si="35"/>
        <v>66.641458222154824</v>
      </c>
      <c r="AL67" s="20">
        <f t="shared" si="4"/>
        <v>601.05170640358597</v>
      </c>
      <c r="AM67" s="59">
        <f t="shared" si="5"/>
        <v>894.38503973691923</v>
      </c>
      <c r="AN67" s="59">
        <f ca="1">AVERAGE(OFFSET($AM$3,0,0,'Données projet'!$E$10+1,1))-AVERAGE(OFFSET($H$3,0,0,'Données projet'!$E$10+1,1))</f>
        <v>331.52724290297675</v>
      </c>
      <c r="AO67" s="59">
        <f t="shared" si="36"/>
        <v>322.79102610158054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52.69538133198057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52.69538133198057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234.77999999999983</v>
      </c>
      <c r="BF67" s="13">
        <f t="shared" si="37"/>
        <v>57.314988725508904</v>
      </c>
      <c r="BG67" s="20">
        <f t="shared" si="7"/>
        <v>508.73210536359443</v>
      </c>
      <c r="BH67" s="59">
        <f t="shared" si="8"/>
        <v>802.06543869692769</v>
      </c>
      <c r="BI67" s="59">
        <f ca="1">AVERAGE(OFFSET($BH$3,0,0,'Données projet'!$E$11+1,1))-AVERAGE(OFFSET($H$3,0,0,'Données projet'!$E$11+1,1))</f>
        <v>273.84349636755343</v>
      </c>
      <c r="BJ67" s="59">
        <f t="shared" si="38"/>
        <v>268.10688874775451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44.429439162258127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44.429439162258127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786</v>
      </c>
      <c r="L68" s="12">
        <f>VLOOKUP(A68,'Données projet'!$A$35:$I$55,9,0)</f>
        <v>22.4</v>
      </c>
      <c r="M68" s="12">
        <f t="array" ref="M68">INDEX(L:L,MIN(IF(ISNUMBER(L68:L264),ROW(L68:L264),"")))</f>
        <v>22.4</v>
      </c>
      <c r="N68" s="13">
        <f>IF('Données projet'!$A$36&gt;35,N67+M68-V67,IF(A68&lt;'Données projet'!$A$36,$K$205^A68,IF(A68='Données projet'!$A$36,'Données projet'!$B$36,N67+M68-V67)))</f>
        <v>786</v>
      </c>
      <c r="O68" s="13">
        <f>N68*VLOOKUP('Données projet'!$B$9,Paramètres!$A$1:$I$89,3,0)*VLOOKUP('Données projet'!$B$9,Paramètres!$A$1:$I$89,5,0)</f>
        <v>388.28400000000005</v>
      </c>
      <c r="P68" s="13">
        <f t="shared" si="33"/>
        <v>89.397332173017887</v>
      </c>
      <c r="Q68" s="20">
        <f t="shared" si="54"/>
        <v>831.96165353467279</v>
      </c>
      <c r="R68" s="59">
        <f t="shared" si="55"/>
        <v>1125.2949868680062</v>
      </c>
      <c r="S68" s="59">
        <f ca="1">AVERAGE(OFFSET($R$3,0,0,'Données projet'!$E$9+1,1))-AVERAGE(OFFSET($H$3,0,0,'Données projet'!$E$9+1,1))</f>
        <v>434.08297999735811</v>
      </c>
      <c r="T68" s="59">
        <f t="shared" si="34"/>
        <v>371.04090283546122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62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137.00920404370225</v>
      </c>
      <c r="AA68" s="21">
        <f>EXP(-LN(2)/25)*AA67+(1-EXP(-LN(2)/25))/(LN(2)/25)*Calculateur!V68*Calculateur!X68*VLOOKUP('Données projet'!$B$9,Paramètres!$A$1:$I$89,3,0)*0.475*44/12</f>
        <v>19.59398720719895</v>
      </c>
      <c r="AB68" s="21">
        <f>EXP(-LN(2)/2)*AB67+(1-EXP(-LN(2)/2))/(LN(2)/2)*V68*Y68*VLOOKUP('Données projet'!$B$9,Paramètres!$A$1:$I$89,3,0)*0.475*44/12</f>
        <v>4.0546749247141686E-6</v>
      </c>
      <c r="AC68" s="22">
        <f t="shared" ref="AC68:AC131" si="57">SUM(Z68:AB68)</f>
        <v>156.60319530557612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355.99999999999972</v>
      </c>
      <c r="AJ68" s="13">
        <f>AI68*VLOOKUP('Données projet'!$B$10,Paramètres!$A$1:$I$89,3,0)*VLOOKUP('Données projet'!$B$10,Paramètres!$A$1:$I$89,5,0)</f>
        <v>283.2335999999998</v>
      </c>
      <c r="AK68" s="13">
        <f t="shared" si="35"/>
        <v>67.649904178362377</v>
      </c>
      <c r="AL68" s="20">
        <f t="shared" ref="AL68:AL131" si="58">(AJ68+AK68)*0.475*44/12</f>
        <v>611.12210311064734</v>
      </c>
      <c r="AM68" s="59">
        <f t="shared" ref="AM68:AM131" si="59">AL68+(AD68+AE68)*44/12</f>
        <v>904.45543644398072</v>
      </c>
      <c r="AN68" s="59">
        <f ca="1">AVERAGE(OFFSET($AM$3,0,0,'Données projet'!$E$10+1,1))-AVERAGE(OFFSET($H$3,0,0,'Données projet'!$E$10+1,1))</f>
        <v>331.52724290297675</v>
      </c>
      <c r="AO68" s="59">
        <f t="shared" si="36"/>
        <v>322.79102610158054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16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59.120320789019786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59.120320789019786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238.8047999999998</v>
      </c>
      <c r="BF68" s="13">
        <f t="shared" si="37"/>
        <v>58.182302709210205</v>
      </c>
      <c r="BG68" s="20">
        <f t="shared" ref="BG68:BG131" si="61">(BE68+BF68)*0.475*44/12</f>
        <v>517.25253721854074</v>
      </c>
      <c r="BH68" s="59">
        <f t="shared" ref="BH68:BH131" si="62">BG68+(AY68+AZ68)*44/12</f>
        <v>810.585870551874</v>
      </c>
      <c r="BI68" s="59">
        <f ca="1">AVERAGE(OFFSET($BH$3,0,0,'Données projet'!$E$11+1,1))-AVERAGE(OFFSET($H$3,0,0,'Données projet'!$E$11+1,1))</f>
        <v>273.84349636755343</v>
      </c>
      <c r="BJ68" s="59">
        <f t="shared" si="38"/>
        <v>268.10688874775451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49.846544978977462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49.846544978977462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21.6</v>
      </c>
      <c r="N69" s="13">
        <f>IF('Données projet'!$A$36&gt;35,N68+M69-V68,IF(A69&lt;'Données projet'!$A$36,$K$205^A69,IF(A69='Données projet'!$A$36,'Données projet'!$B$36,N68+M69-V68)))</f>
        <v>745.6</v>
      </c>
      <c r="O69" s="13">
        <f>N69*VLOOKUP('Données projet'!$B$9,Paramètres!$A$1:$I$89,3,0)*VLOOKUP('Données projet'!$B$9,Paramètres!$A$1:$I$89,5,0)</f>
        <v>368.32640000000004</v>
      </c>
      <c r="P69" s="13">
        <f t="shared" ref="P69:P132" si="87">EXP(-1.0587+0.8836*LN(O69)+0.284)</f>
        <v>85.324825664207623</v>
      </c>
      <c r="Q69" s="20">
        <f t="shared" si="54"/>
        <v>790.10921803182828</v>
      </c>
      <c r="R69" s="59">
        <f t="shared" si="55"/>
        <v>1083.4425513651615</v>
      </c>
      <c r="S69" s="59">
        <f ca="1">AVERAGE(OFFSET($R$3,0,0,'Données projet'!$E$9+1,1))-AVERAGE(OFFSET($H$3,0,0,'Données projet'!$E$9+1,1))</f>
        <v>434.08297999735811</v>
      </c>
      <c r="T69" s="59">
        <f t="shared" ref="T69:T132" si="88">$T$3</f>
        <v>371.04090283546122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134.32253711976813</v>
      </c>
      <c r="AA69" s="21">
        <f>EXP(-LN(2)/25)*AA68+(1-EXP(-LN(2)/25))/(LN(2)/25)*Calculateur!V69*Calculateur!X69*VLOOKUP('Données projet'!$B$9,Paramètres!$A$1:$I$89,3,0)*0.475*44/12</f>
        <v>19.058188596615089</v>
      </c>
      <c r="AB69" s="21">
        <f>EXP(-LN(2)/2)*AB68+(1-EXP(-LN(2)/2))/(LN(2)/2)*V69*Y69*VLOOKUP('Données projet'!$B$9,Paramètres!$A$1:$I$89,3,0)*0.475*44/12</f>
        <v>2.8670881347724428E-6</v>
      </c>
      <c r="AC69" s="22">
        <f t="shared" si="57"/>
        <v>153.38072858347135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345.1999999999997</v>
      </c>
      <c r="AJ69" s="13">
        <f>AI69*VLOOKUP('Données projet'!$B$10,Paramètres!$A$1:$I$89,3,0)*VLOOKUP('Données projet'!$B$10,Paramètres!$A$1:$I$89,5,0)</f>
        <v>274.64111999999977</v>
      </c>
      <c r="AK69" s="13">
        <f t="shared" ref="AK69:AK132" si="89">EXP(-1.0587+0.8836*LN(AJ69)+0.284)</f>
        <v>65.833252956609641</v>
      </c>
      <c r="AL69" s="20">
        <f t="shared" si="58"/>
        <v>592.99286623276123</v>
      </c>
      <c r="AM69" s="59">
        <f t="shared" si="59"/>
        <v>886.3261995660946</v>
      </c>
      <c r="AN69" s="59">
        <f ca="1">AVERAGE(OFFSET($AM$3,0,0,'Données projet'!$E$10+1,1))-AVERAGE(OFFSET($H$3,0,0,'Données projet'!$E$10+1,1))</f>
        <v>331.52724290297675</v>
      </c>
      <c r="AO69" s="59">
        <f t="shared" ref="AO69:AO132" si="90">$AO$3</f>
        <v>322.79102610158054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57.961007358182179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57.961007358182179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231.5601599999998</v>
      </c>
      <c r="BF69" s="13">
        <f t="shared" ref="BF69:BF132" si="91">EXP(-1.0587+0.8836*LN(BE69)+0.284)</f>
        <v>56.619891755568716</v>
      </c>
      <c r="BG69" s="20">
        <f t="shared" si="61"/>
        <v>501.91359014094843</v>
      </c>
      <c r="BH69" s="59">
        <f t="shared" si="62"/>
        <v>795.24692347428174</v>
      </c>
      <c r="BI69" s="59">
        <f ca="1">AVERAGE(OFFSET($BH$3,0,0,'Données projet'!$E$11+1,1))-AVERAGE(OFFSET($H$3,0,0,'Données projet'!$E$11+1,1))</f>
        <v>273.84349636755343</v>
      </c>
      <c r="BJ69" s="59">
        <f t="shared" ref="BJ69:BJ132" si="92">$BJ$3</f>
        <v>268.10688874775451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48.869084635330069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48.869084635330069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21.6</v>
      </c>
      <c r="N70" s="13">
        <f>IF('Données projet'!$A$36&gt;35,N69+M70-V69,IF(A70&lt;'Données projet'!$A$36,$K$205^A70,IF(A70='Données projet'!$A$36,'Données projet'!$B$36,N69+M70-V69)))</f>
        <v>767.2</v>
      </c>
      <c r="O70" s="13">
        <f>N70*VLOOKUP('Données projet'!$B$9,Paramètres!$A$1:$I$89,3,0)*VLOOKUP('Données projet'!$B$9,Paramètres!$A$1:$I$89,5,0)</f>
        <v>378.99680000000001</v>
      </c>
      <c r="P70" s="13">
        <f t="shared" si="87"/>
        <v>87.505314643718904</v>
      </c>
      <c r="Q70" s="20">
        <f t="shared" si="54"/>
        <v>812.49118300447708</v>
      </c>
      <c r="R70" s="59">
        <f t="shared" si="55"/>
        <v>1105.8245163378103</v>
      </c>
      <c r="S70" s="59">
        <f ca="1">AVERAGE(OFFSET($R$3,0,0,'Données projet'!$E$9+1,1))-AVERAGE(OFFSET($H$3,0,0,'Données projet'!$E$9+1,1))</f>
        <v>434.08297999735811</v>
      </c>
      <c r="T70" s="59">
        <f t="shared" si="88"/>
        <v>371.04090283546122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131.68855409550733</v>
      </c>
      <c r="AA70" s="21">
        <f>EXP(-LN(2)/25)*AA69+(1-EXP(-LN(2)/25))/(LN(2)/25)*Calculateur!V70*Calculateur!X70*VLOOKUP('Données projet'!$B$9,Paramètres!$A$1:$I$89,3,0)*0.475*44/12</f>
        <v>18.537041427214071</v>
      </c>
      <c r="AB70" s="21">
        <f>EXP(-LN(2)/2)*AB69+(1-EXP(-LN(2)/2))/(LN(2)/2)*V70*Y70*VLOOKUP('Données projet'!$B$9,Paramètres!$A$1:$I$89,3,0)*0.475*44/12</f>
        <v>2.0273374623570843E-6</v>
      </c>
      <c r="AC70" s="22">
        <f t="shared" si="57"/>
        <v>150.22559755005886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350.39999999999969</v>
      </c>
      <c r="AJ70" s="13">
        <f>AI70*VLOOKUP('Données projet'!$B$10,Paramètres!$A$1:$I$89,3,0)*VLOOKUP('Données projet'!$B$10,Paramètres!$A$1:$I$89,5,0)</f>
        <v>278.77823999999976</v>
      </c>
      <c r="AK70" s="13">
        <f t="shared" si="89"/>
        <v>66.70875019643654</v>
      </c>
      <c r="AL70" s="20">
        <f t="shared" si="58"/>
        <v>601.7231745921265</v>
      </c>
      <c r="AM70" s="59">
        <f t="shared" si="59"/>
        <v>895.05650792545975</v>
      </c>
      <c r="AN70" s="59">
        <f ca="1">AVERAGE(OFFSET($AM$3,0,0,'Données projet'!$E$10+1,1))-AVERAGE(OFFSET($H$3,0,0,'Données projet'!$E$10+1,1))</f>
        <v>331.52724290297675</v>
      </c>
      <c r="AO70" s="59">
        <f t="shared" si="90"/>
        <v>322.79102610158054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56.82442735661192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56.82442735661192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235.04831999999979</v>
      </c>
      <c r="BF70" s="13">
        <f t="shared" si="91"/>
        <v>57.37286319059664</v>
      </c>
      <c r="BG70" s="20">
        <f t="shared" si="61"/>
        <v>509.30022739028874</v>
      </c>
      <c r="BH70" s="59">
        <f t="shared" si="62"/>
        <v>802.63356072362205</v>
      </c>
      <c r="BI70" s="59">
        <f ca="1">AVERAGE(OFFSET($BH$3,0,0,'Données projet'!$E$11+1,1))-AVERAGE(OFFSET($H$3,0,0,'Données projet'!$E$11+1,1))</f>
        <v>273.84349636755343</v>
      </c>
      <c r="BJ70" s="59">
        <f t="shared" si="92"/>
        <v>268.10688874775451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47.910791692829655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47.910791692829655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21.6</v>
      </c>
      <c r="N71" s="13">
        <f>IF('Données projet'!$A$36&gt;35,N70+M71-V70,IF(A71&lt;'Données projet'!$A$36,$K$205^A71,IF(A71='Données projet'!$A$36,'Données projet'!$B$36,N70+M71-V70)))</f>
        <v>788.80000000000007</v>
      </c>
      <c r="O71" s="13">
        <f>N71*VLOOKUP('Données projet'!$B$9,Paramètres!$A$1:$I$89,3,0)*VLOOKUP('Données projet'!$B$9,Paramètres!$A$1:$I$89,5,0)</f>
        <v>389.66720000000004</v>
      </c>
      <c r="P71" s="13">
        <f t="shared" si="87"/>
        <v>89.678668504054727</v>
      </c>
      <c r="Q71" s="20">
        <f t="shared" si="54"/>
        <v>834.86072097789531</v>
      </c>
      <c r="R71" s="59">
        <f t="shared" si="55"/>
        <v>1128.1940543112287</v>
      </c>
      <c r="S71" s="59">
        <f ca="1">AVERAGE(OFFSET($R$3,0,0,'Données projet'!$E$9+1,1))-AVERAGE(OFFSET($H$3,0,0,'Données projet'!$E$9+1,1))</f>
        <v>434.08297999735811</v>
      </c>
      <c r="T71" s="59">
        <f t="shared" si="88"/>
        <v>371.04090283546122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129.10622187178129</v>
      </c>
      <c r="AA71" s="21">
        <f>EXP(-LN(2)/25)*AA70+(1-EXP(-LN(2)/25))/(LN(2)/25)*Calculateur!V71*Calculateur!X71*VLOOKUP('Données projet'!$B$9,Paramètres!$A$1:$I$89,3,0)*0.475*44/12</f>
        <v>18.030145054566262</v>
      </c>
      <c r="AB71" s="21">
        <f>EXP(-LN(2)/2)*AB70+(1-EXP(-LN(2)/2))/(LN(2)/2)*V71*Y71*VLOOKUP('Données projet'!$B$9,Paramètres!$A$1:$I$89,3,0)*0.475*44/12</f>
        <v>1.4335440673862214E-6</v>
      </c>
      <c r="AC71" s="22">
        <f t="shared" si="57"/>
        <v>147.13636835989161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355.59999999999968</v>
      </c>
      <c r="AJ71" s="13">
        <f>AI71*VLOOKUP('Données projet'!$B$10,Paramètres!$A$1:$I$89,3,0)*VLOOKUP('Données projet'!$B$10,Paramètres!$A$1:$I$89,5,0)</f>
        <v>282.91535999999979</v>
      </c>
      <c r="AK71" s="13">
        <f t="shared" si="89"/>
        <v>67.582736351531807</v>
      </c>
      <c r="AL71" s="20">
        <f t="shared" si="58"/>
        <v>610.45085114558412</v>
      </c>
      <c r="AM71" s="59">
        <f t="shared" si="59"/>
        <v>903.7841844789175</v>
      </c>
      <c r="AN71" s="59">
        <f ca="1">AVERAGE(OFFSET($AM$3,0,0,'Données projet'!$E$10+1,1))-AVERAGE(OFFSET($H$3,0,0,'Données projet'!$E$10+1,1))</f>
        <v>331.52724290297675</v>
      </c>
      <c r="AO71" s="59">
        <f t="shared" si="90"/>
        <v>322.79102610158054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55.710134995627108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55.710134995627108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238.53647999999981</v>
      </c>
      <c r="BF71" s="13">
        <f t="shared" si="91"/>
        <v>58.124535017142684</v>
      </c>
      <c r="BG71" s="20">
        <f t="shared" si="61"/>
        <v>516.68460115485652</v>
      </c>
      <c r="BH71" s="59">
        <f t="shared" si="62"/>
        <v>810.01793448818989</v>
      </c>
      <c r="BI71" s="59">
        <f ca="1">AVERAGE(OFFSET($BH$3,0,0,'Données projet'!$E$11+1,1))-AVERAGE(OFFSET($H$3,0,0,'Données projet'!$E$11+1,1))</f>
        <v>273.84349636755343</v>
      </c>
      <c r="BJ71" s="59">
        <f t="shared" si="92"/>
        <v>268.10688874775451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46.971290290430694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46.971290290430694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21.6</v>
      </c>
      <c r="N72" s="13">
        <f>IF('Données projet'!$A$36&gt;35,N71+M72-V71,IF(A72&lt;'Données projet'!$A$36,$K$205^A72,IF(A72='Données projet'!$A$36,'Données projet'!$B$36,N71+M72-V71)))</f>
        <v>810.40000000000009</v>
      </c>
      <c r="O72" s="13">
        <f>N72*VLOOKUP('Données projet'!$B$9,Paramètres!$A$1:$I$89,3,0)*VLOOKUP('Données projet'!$B$9,Paramètres!$A$1:$I$89,5,0)</f>
        <v>400.33760000000007</v>
      </c>
      <c r="P72" s="13">
        <f t="shared" si="87"/>
        <v>91.845105079328206</v>
      </c>
      <c r="Q72" s="20">
        <f t="shared" si="54"/>
        <v>857.21821134649679</v>
      </c>
      <c r="R72" s="59">
        <f t="shared" si="55"/>
        <v>1150.5515446798302</v>
      </c>
      <c r="S72" s="59">
        <f ca="1">AVERAGE(OFFSET($R$3,0,0,'Données projet'!$E$9+1,1))-AVERAGE(OFFSET($H$3,0,0,'Données projet'!$E$9+1,1))</f>
        <v>434.08297999735811</v>
      </c>
      <c r="T72" s="59">
        <f t="shared" si="88"/>
        <v>371.04090283546122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126.57452760789538</v>
      </c>
      <c r="AA72" s="21">
        <f>EXP(-LN(2)/25)*AA71+(1-EXP(-LN(2)/25))/(LN(2)/25)*Calculateur!V72*Calculateur!X72*VLOOKUP('Données projet'!$B$9,Paramètres!$A$1:$I$89,3,0)*0.475*44/12</f>
        <v>17.537109789885026</v>
      </c>
      <c r="AB72" s="21">
        <f>EXP(-LN(2)/2)*AB71+(1-EXP(-LN(2)/2))/(LN(2)/2)*V72*Y72*VLOOKUP('Données projet'!$B$9,Paramètres!$A$1:$I$89,3,0)*0.475*44/12</f>
        <v>1.0136687311785422E-6</v>
      </c>
      <c r="AC72" s="22">
        <f t="shared" si="57"/>
        <v>144.11163841144915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360.79999999999967</v>
      </c>
      <c r="AJ72" s="13">
        <f>AI72*VLOOKUP('Données projet'!$B$10,Paramètres!$A$1:$I$89,3,0)*VLOOKUP('Données projet'!$B$10,Paramètres!$A$1:$I$89,5,0)</f>
        <v>287.05247999999978</v>
      </c>
      <c r="AK72" s="13">
        <f t="shared" si="89"/>
        <v>68.455236071606535</v>
      </c>
      <c r="AL72" s="20">
        <f t="shared" si="58"/>
        <v>619.17593882471431</v>
      </c>
      <c r="AM72" s="59">
        <f t="shared" si="59"/>
        <v>912.50927215804768</v>
      </c>
      <c r="AN72" s="59">
        <f ca="1">AVERAGE(OFFSET($AM$3,0,0,'Données projet'!$E$10+1,1))-AVERAGE(OFFSET($H$3,0,0,'Données projet'!$E$10+1,1))</f>
        <v>331.52724290297675</v>
      </c>
      <c r="AO72" s="59">
        <f t="shared" si="90"/>
        <v>322.79102610158054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54.617693228189978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54.617693228189978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242.02463999999981</v>
      </c>
      <c r="BF72" s="13">
        <f t="shared" si="91"/>
        <v>58.874928435191691</v>
      </c>
      <c r="BG72" s="20">
        <f t="shared" si="61"/>
        <v>524.06674835795855</v>
      </c>
      <c r="BH72" s="59">
        <f t="shared" si="62"/>
        <v>817.40008169129192</v>
      </c>
      <c r="BI72" s="59">
        <f ca="1">AVERAGE(OFFSET($BH$3,0,0,'Données projet'!$E$11+1,1))-AVERAGE(OFFSET($H$3,0,0,'Données projet'!$E$11+1,1))</f>
        <v>273.84349636755343</v>
      </c>
      <c r="BJ72" s="59">
        <f t="shared" si="92"/>
        <v>268.10688874775451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46.050211937493508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46.050211937493508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832</v>
      </c>
      <c r="L73" s="12">
        <f>VLOOKUP(A73,'Données projet'!$A$35:$I$55,9,0)</f>
        <v>21.6</v>
      </c>
      <c r="M73" s="12">
        <f t="array" ref="M73">INDEX(L:L,MIN(IF(ISNUMBER(L73:L269),ROW(L73:L269),"")))</f>
        <v>21.6</v>
      </c>
      <c r="N73" s="13">
        <f>IF('Données projet'!$A$36&gt;35,N72+M73-V72,IF(A73&lt;'Données projet'!$A$36,$K$205^A73,IF(A73='Données projet'!$A$36,'Données projet'!$B$36,N72+M73-V72)))</f>
        <v>832.00000000000011</v>
      </c>
      <c r="O73" s="13">
        <f>N73*VLOOKUP('Données projet'!$B$9,Paramètres!$A$1:$I$89,3,0)*VLOOKUP('Données projet'!$B$9,Paramètres!$A$1:$I$89,5,0)</f>
        <v>411.00800000000004</v>
      </c>
      <c r="P73" s="13">
        <f t="shared" si="87"/>
        <v>94.004829930397378</v>
      </c>
      <c r="Q73" s="20">
        <f t="shared" si="54"/>
        <v>879.56401212877552</v>
      </c>
      <c r="R73" s="59">
        <f t="shared" si="55"/>
        <v>1172.8973454621089</v>
      </c>
      <c r="S73" s="59">
        <f ca="1">AVERAGE(OFFSET($R$3,0,0,'Données projet'!$E$9+1,1))-AVERAGE(OFFSET($H$3,0,0,'Données projet'!$E$9+1,1))</f>
        <v>434.08297999735811</v>
      </c>
      <c r="T73" s="59">
        <f t="shared" si="88"/>
        <v>371.04090283546122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60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145.71813207691864</v>
      </c>
      <c r="AA73" s="21">
        <f>EXP(-LN(2)/25)*AA72+(1-EXP(-LN(2)/25))/(LN(2)/25)*Calculateur!V73*Calculateur!X73*VLOOKUP('Données projet'!$B$9,Paramètres!$A$1:$I$89,3,0)*0.475*44/12</f>
        <v>17.057556600444098</v>
      </c>
      <c r="AB73" s="21">
        <f>EXP(-LN(2)/2)*AB72+(1-EXP(-LN(2)/2))/(LN(2)/2)*V73*Y73*VLOOKUP('Données projet'!$B$9,Paramètres!$A$1:$I$89,3,0)*0.475*44/12</f>
        <v>7.167720336931107E-7</v>
      </c>
      <c r="AC73" s="22">
        <f t="shared" si="57"/>
        <v>162.77568939413476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366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365.99999999999966</v>
      </c>
      <c r="AJ73" s="13">
        <f>AI73*VLOOKUP('Données projet'!$B$10,Paramètres!$A$1:$I$89,3,0)*VLOOKUP('Données projet'!$B$10,Paramètres!$A$1:$I$89,5,0)</f>
        <v>291.18959999999976</v>
      </c>
      <c r="AK73" s="13">
        <f t="shared" si="89"/>
        <v>69.326273255048633</v>
      </c>
      <c r="AL73" s="20">
        <f t="shared" si="58"/>
        <v>627.89847925254264</v>
      </c>
      <c r="AM73" s="59">
        <f t="shared" si="59"/>
        <v>921.23181258587601</v>
      </c>
      <c r="AN73" s="59">
        <f ca="1">AVERAGE(OFFSET($AM$3,0,0,'Données projet'!$E$10+1,1))-AVERAGE(OFFSET($H$3,0,0,'Données projet'!$E$10+1,1))</f>
        <v>331.52724290297675</v>
      </c>
      <c r="AO73" s="59">
        <f t="shared" si="90"/>
        <v>322.79102610158054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15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60.538795837442109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60.538795837442109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245.51279999999977</v>
      </c>
      <c r="BF73" s="13">
        <f t="shared" si="91"/>
        <v>59.624063998553098</v>
      </c>
      <c r="BG73" s="20">
        <f t="shared" si="61"/>
        <v>531.44670479747958</v>
      </c>
      <c r="BH73" s="59">
        <f t="shared" si="62"/>
        <v>824.78003813081295</v>
      </c>
      <c r="BI73" s="59">
        <f ca="1">AVERAGE(OFFSET($BH$3,0,0,'Données projet'!$E$11+1,1))-AVERAGE(OFFSET($H$3,0,0,'Données projet'!$E$11+1,1))</f>
        <v>273.84349636755343</v>
      </c>
      <c r="BJ73" s="59">
        <f t="shared" si="92"/>
        <v>268.10688874775451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51.042514137451185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51.042514137451185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20.399999999999999</v>
      </c>
      <c r="N74" s="13">
        <f>IF('Données projet'!$A$36&gt;35,N73+M74-V73,IF(A74&lt;'Données projet'!$A$36,$K$205^A74,IF(A74='Données projet'!$A$36,'Données projet'!$B$36,N73+M74-V73)))</f>
        <v>792.40000000000009</v>
      </c>
      <c r="O74" s="13">
        <f>N74*VLOOKUP('Données projet'!$B$9,Paramètres!$A$1:$I$89,3,0)*VLOOKUP('Données projet'!$B$9,Paramètres!$A$1:$I$89,5,0)</f>
        <v>391.44560000000007</v>
      </c>
      <c r="P74" s="13">
        <f t="shared" si="87"/>
        <v>90.040215935892022</v>
      </c>
      <c r="Q74" s="20">
        <f t="shared" si="54"/>
        <v>838.58779608834539</v>
      </c>
      <c r="R74" s="59">
        <f t="shared" si="55"/>
        <v>1131.9211294216786</v>
      </c>
      <c r="S74" s="59">
        <f ca="1">AVERAGE(OFFSET($R$3,0,0,'Données projet'!$E$9+1,1))-AVERAGE(OFFSET($H$3,0,0,'Données projet'!$E$9+1,1))</f>
        <v>434.08297999735811</v>
      </c>
      <c r="T74" s="59">
        <f t="shared" si="88"/>
        <v>371.04090283546122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142.86068838617473</v>
      </c>
      <c r="AA74" s="21">
        <f>EXP(-LN(2)/25)*AA73+(1-EXP(-LN(2)/25))/(LN(2)/25)*Calculateur!V74*Calculateur!X74*VLOOKUP('Données projet'!$B$9,Paramètres!$A$1:$I$89,3,0)*0.475*44/12</f>
        <v>16.591116818187039</v>
      </c>
      <c r="AB74" s="21">
        <f>EXP(-LN(2)/2)*AB73+(1-EXP(-LN(2)/2))/(LN(2)/2)*V74*Y74*VLOOKUP('Données projet'!$B$9,Paramètres!$A$1:$I$89,3,0)*0.475*44/12</f>
        <v>5.0683436558927108E-7</v>
      </c>
      <c r="AC74" s="22">
        <f t="shared" si="57"/>
        <v>159.45180571119613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355.79999999999967</v>
      </c>
      <c r="AJ74" s="13">
        <f>AI74*VLOOKUP('Données projet'!$B$10,Paramètres!$A$1:$I$89,3,0)*VLOOKUP('Données projet'!$B$10,Paramètres!$A$1:$I$89,5,0)</f>
        <v>283.07447999999977</v>
      </c>
      <c r="AK74" s="13">
        <f t="shared" si="89"/>
        <v>67.616321363645156</v>
      </c>
      <c r="AL74" s="20">
        <f t="shared" si="58"/>
        <v>610.78647904168156</v>
      </c>
      <c r="AM74" s="59">
        <f t="shared" si="59"/>
        <v>904.11981237501482</v>
      </c>
      <c r="AN74" s="59">
        <f ca="1">AVERAGE(OFFSET($AM$3,0,0,'Données projet'!$E$10+1,1))-AVERAGE(OFFSET($H$3,0,0,'Données projet'!$E$10+1,1))</f>
        <v>331.52724290297675</v>
      </c>
      <c r="AO74" s="59">
        <f t="shared" si="90"/>
        <v>322.79102610158054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59.351666976089284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59.351666976089284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238.67063999999979</v>
      </c>
      <c r="BF74" s="13">
        <f t="shared" si="91"/>
        <v>58.153419808111728</v>
      </c>
      <c r="BG74" s="20">
        <f t="shared" si="61"/>
        <v>516.96857083246095</v>
      </c>
      <c r="BH74" s="59">
        <f t="shared" si="62"/>
        <v>810.30190416579421</v>
      </c>
      <c r="BI74" s="59">
        <f ca="1">AVERAGE(OFFSET($BH$3,0,0,'Données projet'!$E$11+1,1))-AVERAGE(OFFSET($H$3,0,0,'Données projet'!$E$11+1,1))</f>
        <v>273.84349636755343</v>
      </c>
      <c r="BJ74" s="59">
        <f t="shared" si="92"/>
        <v>268.10688874775451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50.041601568075279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50.041601568075279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20.399999999999999</v>
      </c>
      <c r="N75" s="13">
        <f>IF('Données projet'!$A$36&gt;35,N74+M75-V74,IF(A75&lt;'Données projet'!$A$36,$K$205^A75,IF(A75='Données projet'!$A$36,'Données projet'!$B$36,N74+M75-V74)))</f>
        <v>812.80000000000007</v>
      </c>
      <c r="O75" s="13">
        <f>N75*VLOOKUP('Données projet'!$B$9,Paramètres!$A$1:$I$89,3,0)*VLOOKUP('Données projet'!$B$9,Paramètres!$A$1:$I$89,5,0)</f>
        <v>401.52320000000003</v>
      </c>
      <c r="P75" s="13">
        <f t="shared" si="87"/>
        <v>92.085402303018512</v>
      </c>
      <c r="Q75" s="20">
        <f t="shared" si="54"/>
        <v>859.70164901109058</v>
      </c>
      <c r="R75" s="59">
        <f t="shared" si="55"/>
        <v>1153.034982344424</v>
      </c>
      <c r="S75" s="59">
        <f ca="1">AVERAGE(OFFSET($R$3,0,0,'Données projet'!$E$9+1,1))-AVERAGE(OFFSET($H$3,0,0,'Données projet'!$E$9+1,1))</f>
        <v>434.08297999735811</v>
      </c>
      <c r="T75" s="59">
        <f t="shared" si="88"/>
        <v>371.04090283546122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140.05927742333776</v>
      </c>
      <c r="AA75" s="21">
        <f>EXP(-LN(2)/25)*AA74+(1-EXP(-LN(2)/25))/(LN(2)/25)*Calculateur!V75*Calculateur!X75*VLOOKUP('Données projet'!$B$9,Paramètres!$A$1:$I$89,3,0)*0.475*44/12</f>
        <v>16.137431856304801</v>
      </c>
      <c r="AB75" s="21">
        <f>EXP(-LN(2)/2)*AB74+(1-EXP(-LN(2)/2))/(LN(2)/2)*V75*Y75*VLOOKUP('Données projet'!$B$9,Paramètres!$A$1:$I$89,3,0)*0.475*44/12</f>
        <v>3.5838601684655535E-7</v>
      </c>
      <c r="AC75" s="22">
        <f t="shared" si="57"/>
        <v>156.19670963802858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360.59999999999968</v>
      </c>
      <c r="AJ75" s="13">
        <f>AI75*VLOOKUP('Données projet'!$B$10,Paramètres!$A$1:$I$89,3,0)*VLOOKUP('Données projet'!$B$10,Paramètres!$A$1:$I$89,5,0)</f>
        <v>286.89335999999975</v>
      </c>
      <c r="AK75" s="13">
        <f t="shared" si="89"/>
        <v>68.421705584684744</v>
      </c>
      <c r="AL75" s="20">
        <f t="shared" si="58"/>
        <v>618.84040589332551</v>
      </c>
      <c r="AM75" s="59">
        <f t="shared" si="59"/>
        <v>912.17373922665888</v>
      </c>
      <c r="AN75" s="59">
        <f ca="1">AVERAGE(OFFSET($AM$3,0,0,'Données projet'!$E$10+1,1))-AVERAGE(OFFSET($H$3,0,0,'Données projet'!$E$10+1,1))</f>
        <v>331.52724290297675</v>
      </c>
      <c r="AO75" s="59">
        <f t="shared" si="90"/>
        <v>322.79102610158054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58.187816987630484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58.187816987630484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241.89047999999977</v>
      </c>
      <c r="BF75" s="13">
        <f t="shared" si="91"/>
        <v>58.846090538615705</v>
      </c>
      <c r="BG75" s="20">
        <f t="shared" si="61"/>
        <v>523.78286035475526</v>
      </c>
      <c r="BH75" s="59">
        <f t="shared" si="62"/>
        <v>817.11619368808852</v>
      </c>
      <c r="BI75" s="59">
        <f ca="1">AVERAGE(OFFSET($BH$3,0,0,'Données projet'!$E$11+1,1))-AVERAGE(OFFSET($H$3,0,0,'Données projet'!$E$11+1,1))</f>
        <v>273.84349636755343</v>
      </c>
      <c r="BJ75" s="59">
        <f t="shared" si="92"/>
        <v>268.10688874775451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49.060316283688444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49.060316283688444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20.399999999999999</v>
      </c>
      <c r="N76" s="13">
        <f>IF('Données projet'!$A$36&gt;35,N75+M76-V75,IF(A76&lt;'Données projet'!$A$36,$K$205^A76,IF(A76='Données projet'!$A$36,'Données projet'!$B$36,N75+M76-V75)))</f>
        <v>833.2</v>
      </c>
      <c r="O76" s="13">
        <f>N76*VLOOKUP('Données projet'!$B$9,Paramètres!$A$1:$I$89,3,0)*VLOOKUP('Données projet'!$B$9,Paramètres!$A$1:$I$89,5,0)</f>
        <v>411.60080000000005</v>
      </c>
      <c r="P76" s="13">
        <f t="shared" si="87"/>
        <v>94.124621803946411</v>
      </c>
      <c r="Q76" s="20">
        <f t="shared" si="54"/>
        <v>880.8051096418734</v>
      </c>
      <c r="R76" s="59">
        <f t="shared" si="55"/>
        <v>1174.1384429752068</v>
      </c>
      <c r="S76" s="59">
        <f ca="1">AVERAGE(OFFSET($R$3,0,0,'Données projet'!$E$9+1,1))-AVERAGE(OFFSET($H$3,0,0,'Données projet'!$E$9+1,1))</f>
        <v>434.08297999735811</v>
      </c>
      <c r="T76" s="59">
        <f t="shared" si="88"/>
        <v>371.04090283546122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137.31280042079004</v>
      </c>
      <c r="AA76" s="21">
        <f>EXP(-LN(2)/25)*AA75+(1-EXP(-LN(2)/25))/(LN(2)/25)*Calculateur!V76*Calculateur!X76*VLOOKUP('Données projet'!$B$9,Paramètres!$A$1:$I$89,3,0)*0.475*44/12</f>
        <v>15.696152933563488</v>
      </c>
      <c r="AB76" s="21">
        <f>EXP(-LN(2)/2)*AB75+(1-EXP(-LN(2)/2))/(LN(2)/2)*V76*Y76*VLOOKUP('Données projet'!$B$9,Paramètres!$A$1:$I$89,3,0)*0.475*44/12</f>
        <v>2.5341718279463554E-7</v>
      </c>
      <c r="AC76" s="22">
        <f t="shared" si="57"/>
        <v>153.00895360777071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365.39999999999969</v>
      </c>
      <c r="AJ76" s="13">
        <f>AI76*VLOOKUP('Données projet'!$B$10,Paramètres!$A$1:$I$89,3,0)*VLOOKUP('Données projet'!$B$10,Paramètres!$A$1:$I$89,5,0)</f>
        <v>290.71223999999978</v>
      </c>
      <c r="AK76" s="13">
        <f t="shared" si="89"/>
        <v>69.225842856510994</v>
      </c>
      <c r="AL76" s="20">
        <f t="shared" si="58"/>
        <v>626.89216097508961</v>
      </c>
      <c r="AM76" s="59">
        <f t="shared" si="59"/>
        <v>920.22549430842287</v>
      </c>
      <c r="AN76" s="59">
        <f ca="1">AVERAGE(OFFSET($AM$3,0,0,'Données projet'!$E$10+1,1))-AVERAGE(OFFSET($H$3,0,0,'Données projet'!$E$10+1,1))</f>
        <v>331.52724290297675</v>
      </c>
      <c r="AO76" s="59">
        <f t="shared" si="90"/>
        <v>322.79102610158054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57.04678938756696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57.04678938756696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245.1103199999998</v>
      </c>
      <c r="BF76" s="13">
        <f t="shared" si="91"/>
        <v>59.537688830400349</v>
      </c>
      <c r="BG76" s="20">
        <f t="shared" si="61"/>
        <v>530.5952820462802</v>
      </c>
      <c r="BH76" s="59">
        <f t="shared" si="62"/>
        <v>823.92861537961357</v>
      </c>
      <c r="BI76" s="59">
        <f ca="1">AVERAGE(OFFSET($BH$3,0,0,'Données projet'!$E$11+1,1))-AVERAGE(OFFSET($H$3,0,0,'Données projet'!$E$11+1,1))</f>
        <v>273.84349636755343</v>
      </c>
      <c r="BJ76" s="59">
        <f t="shared" si="92"/>
        <v>268.10688874775451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48.098273405203514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48.098273405203514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20.399999999999999</v>
      </c>
      <c r="N77" s="13">
        <f>IF('Données projet'!$A$36&gt;35,N76+M77-V76,IF(A77&lt;'Données projet'!$A$36,$K$205^A77,IF(A77='Données projet'!$A$36,'Données projet'!$B$36,N76+M77-V76)))</f>
        <v>853.6</v>
      </c>
      <c r="O77" s="13">
        <f>N77*VLOOKUP('Données projet'!$B$9,Paramètres!$A$1:$I$89,3,0)*VLOOKUP('Données projet'!$B$9,Paramètres!$A$1:$I$89,5,0)</f>
        <v>421.67840000000001</v>
      </c>
      <c r="P77" s="13">
        <f t="shared" si="87"/>
        <v>96.158037336803631</v>
      </c>
      <c r="Q77" s="20">
        <f t="shared" si="54"/>
        <v>901.89846169493296</v>
      </c>
      <c r="R77" s="59">
        <f t="shared" si="55"/>
        <v>1195.2317950282663</v>
      </c>
      <c r="S77" s="59">
        <f ca="1">AVERAGE(OFFSET($R$3,0,0,'Données projet'!$E$9+1,1))-AVERAGE(OFFSET($H$3,0,0,'Données projet'!$E$9+1,1))</f>
        <v>434.08297999735811</v>
      </c>
      <c r="T77" s="59">
        <f t="shared" si="88"/>
        <v>371.04090283546122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134.62018015707673</v>
      </c>
      <c r="AA77" s="21">
        <f>EXP(-LN(2)/25)*AA76+(1-EXP(-LN(2)/25))/(LN(2)/25)*Calculateur!V77*Calculateur!X77*VLOOKUP('Données projet'!$B$9,Paramètres!$A$1:$I$89,3,0)*0.475*44/12</f>
        <v>15.266940806170386</v>
      </c>
      <c r="AB77" s="21">
        <f>EXP(-LN(2)/2)*AB76+(1-EXP(-LN(2)/2))/(LN(2)/2)*V77*Y77*VLOOKUP('Données projet'!$B$9,Paramètres!$A$1:$I$89,3,0)*0.475*44/12</f>
        <v>1.7919300842327767E-7</v>
      </c>
      <c r="AC77" s="22">
        <f t="shared" si="57"/>
        <v>149.88712114244012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370.1999999999997</v>
      </c>
      <c r="AJ77" s="13">
        <f>AI77*VLOOKUP('Données projet'!$B$10,Paramètres!$A$1:$I$89,3,0)*VLOOKUP('Données projet'!$B$10,Paramètres!$A$1:$I$89,5,0)</f>
        <v>294.53111999999976</v>
      </c>
      <c r="AK77" s="13">
        <f t="shared" si="89"/>
        <v>70.028751453157682</v>
      </c>
      <c r="AL77" s="20">
        <f t="shared" si="58"/>
        <v>634.94177611424914</v>
      </c>
      <c r="AM77" s="59">
        <f t="shared" si="59"/>
        <v>928.27510944758251</v>
      </c>
      <c r="AN77" s="59">
        <f ca="1">AVERAGE(OFFSET($AM$3,0,0,'Données projet'!$E$10+1,1))-AVERAGE(OFFSET($H$3,0,0,'Données projet'!$E$10+1,1))</f>
        <v>331.52724290297675</v>
      </c>
      <c r="AO77" s="59">
        <f t="shared" si="90"/>
        <v>322.79102610158054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55.928136642782569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55.928136642782569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248.33015999999981</v>
      </c>
      <c r="BF77" s="13">
        <f t="shared" si="91"/>
        <v>60.228230400049313</v>
      </c>
      <c r="BG77" s="20">
        <f t="shared" si="61"/>
        <v>537.40586328008555</v>
      </c>
      <c r="BH77" s="59">
        <f t="shared" si="62"/>
        <v>830.73919661341893</v>
      </c>
      <c r="BI77" s="59">
        <f ca="1">AVERAGE(OFFSET($BH$3,0,0,'Données projet'!$E$11+1,1))-AVERAGE(OFFSET($H$3,0,0,'Données projet'!$E$11+1,1))</f>
        <v>273.84349636755343</v>
      </c>
      <c r="BJ77" s="59">
        <f t="shared" si="92"/>
        <v>268.10688874775451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47.155095600777457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47.155095600777457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874</v>
      </c>
      <c r="L78" s="12">
        <f>VLOOKUP(A78,'Données projet'!$A$35:$I$55,9,0)</f>
        <v>20.399999999999999</v>
      </c>
      <c r="M78" s="12">
        <f t="array" ref="M78">INDEX(L:L,MIN(IF(ISNUMBER(L78:L274),ROW(L78:L274),"")))</f>
        <v>20.399999999999999</v>
      </c>
      <c r="N78" s="13">
        <f>IF('Données projet'!$A$36&gt;35,N77+M78-V77,IF(A78&lt;'Données projet'!$A$36,$K$205^A78,IF(A78='Données projet'!$A$36,'Données projet'!$B$36,N77+M78-V77)))</f>
        <v>874</v>
      </c>
      <c r="O78" s="13">
        <f>N78*VLOOKUP('Données projet'!$B$9,Paramètres!$A$1:$I$89,3,0)*VLOOKUP('Données projet'!$B$9,Paramètres!$A$1:$I$89,5,0)</f>
        <v>431.75600000000003</v>
      </c>
      <c r="P78" s="13">
        <f t="shared" si="87"/>
        <v>98.185803569521966</v>
      </c>
      <c r="Q78" s="20">
        <f t="shared" si="54"/>
        <v>922.98197455025081</v>
      </c>
      <c r="R78" s="59">
        <f t="shared" si="55"/>
        <v>1216.3153078835842</v>
      </c>
      <c r="S78" s="59">
        <f ca="1">AVERAGE(OFFSET($R$3,0,0,'Données projet'!$E$9+1,1))-AVERAGE(OFFSET($H$3,0,0,'Données projet'!$E$9+1,1))</f>
        <v>434.08297999735811</v>
      </c>
      <c r="T78" s="59">
        <f t="shared" si="88"/>
        <v>371.04090283546122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58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152.88515916188817</v>
      </c>
      <c r="AA78" s="21">
        <f>EXP(-LN(2)/25)*AA77+(1-EXP(-LN(2)/25))/(LN(2)/25)*Calculateur!V78*Calculateur!X78*VLOOKUP('Données projet'!$B$9,Paramètres!$A$1:$I$89,3,0)*0.475*44/12</f>
        <v>14.849465506972132</v>
      </c>
      <c r="AB78" s="21">
        <f>EXP(-LN(2)/2)*AB77+(1-EXP(-LN(2)/2))/(LN(2)/2)*V78*Y78*VLOOKUP('Données projet'!$B$9,Paramètres!$A$1:$I$89,3,0)*0.475*44/12</f>
        <v>1.2670859139731777E-7</v>
      </c>
      <c r="AC78" s="22">
        <f t="shared" si="57"/>
        <v>167.73462479556889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375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374.99999999999972</v>
      </c>
      <c r="AJ78" s="13">
        <f>AI78*VLOOKUP('Données projet'!$B$10,Paramètres!$A$1:$I$89,3,0)*VLOOKUP('Données projet'!$B$10,Paramètres!$A$1:$I$89,5,0)</f>
        <v>298.3499999999998</v>
      </c>
      <c r="AK78" s="13">
        <f t="shared" si="89"/>
        <v>70.83044914753448</v>
      </c>
      <c r="AL78" s="20">
        <f t="shared" si="58"/>
        <v>642.98928226528881</v>
      </c>
      <c r="AM78" s="59">
        <f t="shared" si="59"/>
        <v>936.32261559862218</v>
      </c>
      <c r="AN78" s="59">
        <f ca="1">AVERAGE(OFFSET($AM$3,0,0,'Données projet'!$E$10+1,1))-AVERAGE(OFFSET($H$3,0,0,'Données projet'!$E$10+1,1))</f>
        <v>331.52724290297675</v>
      </c>
      <c r="AO78" s="59">
        <f t="shared" si="90"/>
        <v>322.79102610158054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61.357400771969196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61.357400771969196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251.54999999999984</v>
      </c>
      <c r="BF78" s="13">
        <f t="shared" si="91"/>
        <v>60.917730533154099</v>
      </c>
      <c r="BG78" s="20">
        <f t="shared" si="61"/>
        <v>544.21463067857633</v>
      </c>
      <c r="BH78" s="59">
        <f t="shared" si="62"/>
        <v>837.5479640119097</v>
      </c>
      <c r="BI78" s="59">
        <f ca="1">AVERAGE(OFFSET($BH$3,0,0,'Données projet'!$E$11+1,1))-AVERAGE(OFFSET($H$3,0,0,'Données projet'!$E$11+1,1))</f>
        <v>273.84349636755343</v>
      </c>
      <c r="BJ78" s="59">
        <f t="shared" si="92"/>
        <v>268.10688874775451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51.732710454797555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51.732710454797555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18.600000000000001</v>
      </c>
      <c r="N79" s="13">
        <f>IF('Données projet'!$A$36&gt;35,N78+M79-V78,IF(A79&lt;'Données projet'!$A$36,$K$205^A79,IF(A79='Données projet'!$A$36,'Données projet'!$B$36,N78+M79-V78)))</f>
        <v>834.6</v>
      </c>
      <c r="O79" s="13">
        <f>N79*VLOOKUP('Données projet'!$B$9,Paramètres!$A$1:$I$89,3,0)*VLOOKUP('Données projet'!$B$9,Paramètres!$A$1:$I$89,5,0)</f>
        <v>412.29240000000004</v>
      </c>
      <c r="P79" s="13">
        <f t="shared" si="87"/>
        <v>94.264353612406822</v>
      </c>
      <c r="Q79" s="20">
        <f t="shared" si="54"/>
        <v>882.25301254160865</v>
      </c>
      <c r="R79" s="59">
        <f t="shared" si="55"/>
        <v>1175.586345874942</v>
      </c>
      <c r="S79" s="59">
        <f ca="1">AVERAGE(OFFSET($R$3,0,0,'Données projet'!$E$9+1,1))-AVERAGE(OFFSET($H$3,0,0,'Données projet'!$E$9+1,1))</f>
        <v>434.08297999735811</v>
      </c>
      <c r="T79" s="59">
        <f t="shared" si="88"/>
        <v>371.04090283546122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149.88717444146289</v>
      </c>
      <c r="AA79" s="21">
        <f>EXP(-LN(2)/25)*AA78+(1-EXP(-LN(2)/25))/(LN(2)/25)*Calculateur!V79*Calculateur!X79*VLOOKUP('Données projet'!$B$9,Paramètres!$A$1:$I$89,3,0)*0.475*44/12</f>
        <v>14.443406091784528</v>
      </c>
      <c r="AB79" s="21">
        <f>EXP(-LN(2)/2)*AB78+(1-EXP(-LN(2)/2))/(LN(2)/2)*V79*Y79*VLOOKUP('Données projet'!$B$9,Paramètres!$A$1:$I$89,3,0)*0.475*44/12</f>
        <v>8.9596504211638837E-8</v>
      </c>
      <c r="AC79" s="22">
        <f t="shared" si="57"/>
        <v>164.33058062284394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364.99999999999972</v>
      </c>
      <c r="AJ79" s="13">
        <f>AI79*VLOOKUP('Données projet'!$B$10,Paramètres!$A$1:$I$89,3,0)*VLOOKUP('Données projet'!$B$10,Paramètres!$A$1:$I$89,5,0)</f>
        <v>290.39399999999978</v>
      </c>
      <c r="AK79" s="13">
        <f t="shared" si="89"/>
        <v>69.158878594433091</v>
      </c>
      <c r="AL79" s="20">
        <f t="shared" si="58"/>
        <v>626.22126355197054</v>
      </c>
      <c r="AM79" s="59">
        <f t="shared" si="59"/>
        <v>919.55459688530391</v>
      </c>
      <c r="AN79" s="59">
        <f ca="1">AVERAGE(OFFSET($AM$3,0,0,'Données projet'!$E$10+1,1))-AVERAGE(OFFSET($H$3,0,0,'Données projet'!$E$10+1,1))</f>
        <v>331.52724290297675</v>
      </c>
      <c r="AO79" s="59">
        <f t="shared" si="90"/>
        <v>322.79102610158054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60.154219567150008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60.154219567150008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244.84199999999981</v>
      </c>
      <c r="BF79" s="13">
        <f t="shared" si="91"/>
        <v>59.480096214206256</v>
      </c>
      <c r="BG79" s="20">
        <f t="shared" si="61"/>
        <v>530.02765090640889</v>
      </c>
      <c r="BH79" s="59">
        <f t="shared" si="62"/>
        <v>823.36098423974227</v>
      </c>
      <c r="BI79" s="59">
        <f ca="1">AVERAGE(OFFSET($BH$3,0,0,'Données projet'!$E$11+1,1))-AVERAGE(OFFSET($H$3,0,0,'Données projet'!$E$11+1,1))</f>
        <v>273.84349636755343</v>
      </c>
      <c r="BJ79" s="59">
        <f t="shared" si="92"/>
        <v>268.10688874775451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50.71826355661667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50.71826355661667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18.600000000000001</v>
      </c>
      <c r="N80" s="13">
        <f>IF('Données projet'!$A$36&gt;35,N79+M80-V79,IF(A80&lt;'Données projet'!$A$36,$K$205^A80,IF(A80='Données projet'!$A$36,'Données projet'!$B$36,N79+M80-V79)))</f>
        <v>853.2</v>
      </c>
      <c r="O80" s="13">
        <f>N80*VLOOKUP('Données projet'!$B$9,Paramètres!$A$1:$I$89,3,0)*VLOOKUP('Données projet'!$B$9,Paramètres!$A$1:$I$89,5,0)</f>
        <v>421.48080000000004</v>
      </c>
      <c r="P80" s="13">
        <f t="shared" si="87"/>
        <v>96.118221235852943</v>
      </c>
      <c r="Q80" s="20">
        <f t="shared" si="54"/>
        <v>901.48496198577732</v>
      </c>
      <c r="R80" s="59">
        <f t="shared" si="55"/>
        <v>1194.8182953191106</v>
      </c>
      <c r="S80" s="59">
        <f ca="1">AVERAGE(OFFSET($R$3,0,0,'Données projet'!$E$9+1,1))-AVERAGE(OFFSET($H$3,0,0,'Données projet'!$E$9+1,1))</f>
        <v>434.08297999735811</v>
      </c>
      <c r="T80" s="59">
        <f t="shared" si="88"/>
        <v>371.04090283546122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146.94797837281502</v>
      </c>
      <c r="AA80" s="21">
        <f>EXP(-LN(2)/25)*AA79+(1-EXP(-LN(2)/25))/(LN(2)/25)*Calculateur!V80*Calculateur!X80*VLOOKUP('Données projet'!$B$9,Paramètres!$A$1:$I$89,3,0)*0.475*44/12</f>
        <v>14.048450392658964</v>
      </c>
      <c r="AB80" s="21">
        <f>EXP(-LN(2)/2)*AB79+(1-EXP(-LN(2)/2))/(LN(2)/2)*V80*Y80*VLOOKUP('Données projet'!$B$9,Paramètres!$A$1:$I$89,3,0)*0.475*44/12</f>
        <v>6.3354295698658885E-8</v>
      </c>
      <c r="AC80" s="22">
        <f t="shared" si="57"/>
        <v>160.99642882882827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368.99999999999972</v>
      </c>
      <c r="AJ80" s="13">
        <f>AI80*VLOOKUP('Données projet'!$B$10,Paramètres!$A$1:$I$89,3,0)*VLOOKUP('Données projet'!$B$10,Paramètres!$A$1:$I$89,5,0)</f>
        <v>293.57639999999981</v>
      </c>
      <c r="AK80" s="13">
        <f t="shared" si="89"/>
        <v>69.828138511965548</v>
      </c>
      <c r="AL80" s="20">
        <f t="shared" si="58"/>
        <v>632.92957124167299</v>
      </c>
      <c r="AM80" s="59">
        <f t="shared" si="59"/>
        <v>926.26290457500636</v>
      </c>
      <c r="AN80" s="59">
        <f ca="1">AVERAGE(OFFSET($AM$3,0,0,'Données projet'!$E$10+1,1))-AVERAGE(OFFSET($H$3,0,0,'Données projet'!$E$10+1,1))</f>
        <v>331.52724290297675</v>
      </c>
      <c r="AO80" s="59">
        <f t="shared" si="90"/>
        <v>322.79102610158054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58.974632011889248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58.974632011889248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247.52519999999981</v>
      </c>
      <c r="BF80" s="13">
        <f t="shared" si="91"/>
        <v>60.055693232205705</v>
      </c>
      <c r="BG80" s="20">
        <f t="shared" si="61"/>
        <v>535.70338904609127</v>
      </c>
      <c r="BH80" s="59">
        <f t="shared" si="62"/>
        <v>829.03672237942465</v>
      </c>
      <c r="BI80" s="59">
        <f ca="1">AVERAGE(OFFSET($BH$3,0,0,'Données projet'!$E$11+1,1))-AVERAGE(OFFSET($H$3,0,0,'Données projet'!$E$11+1,1))</f>
        <v>273.84349636755343</v>
      </c>
      <c r="BJ80" s="59">
        <f t="shared" si="92"/>
        <v>268.10688874775451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49.723709343357598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49.723709343357598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18.600000000000001</v>
      </c>
      <c r="N81" s="13">
        <f>IF('Données projet'!$A$36&gt;35,N80+M81-V80,IF(A81&lt;'Données projet'!$A$36,$K$205^A81,IF(A81='Données projet'!$A$36,'Données projet'!$B$36,N80+M81-V80)))</f>
        <v>871.80000000000007</v>
      </c>
      <c r="O81" s="13">
        <f>N81*VLOOKUP('Données projet'!$B$9,Paramètres!$A$1:$I$89,3,0)*VLOOKUP('Données projet'!$B$9,Paramètres!$A$1:$I$89,5,0)</f>
        <v>430.6692000000001</v>
      </c>
      <c r="P81" s="13">
        <f t="shared" si="87"/>
        <v>97.967390142683371</v>
      </c>
      <c r="Q81" s="20">
        <f t="shared" si="54"/>
        <v>920.70872783184029</v>
      </c>
      <c r="R81" s="59">
        <f t="shared" si="55"/>
        <v>1214.0420611651737</v>
      </c>
      <c r="S81" s="59">
        <f ca="1">AVERAGE(OFFSET($R$3,0,0,'Données projet'!$E$9+1,1))-AVERAGE(OFFSET($H$3,0,0,'Données projet'!$E$9+1,1))</f>
        <v>434.08297999735811</v>
      </c>
      <c r="T81" s="59">
        <f t="shared" si="88"/>
        <v>371.04090283546122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144.06641814634074</v>
      </c>
      <c r="AA81" s="21">
        <f>EXP(-LN(2)/25)*AA80+(1-EXP(-LN(2)/25))/(LN(2)/25)*Calculateur!V81*Calculateur!X81*VLOOKUP('Données projet'!$B$9,Paramètres!$A$1:$I$89,3,0)*0.475*44/12</f>
        <v>13.664294777895806</v>
      </c>
      <c r="AB81" s="21">
        <f>EXP(-LN(2)/2)*AB80+(1-EXP(-LN(2)/2))/(LN(2)/2)*V81*Y81*VLOOKUP('Données projet'!$B$9,Paramètres!$A$1:$I$89,3,0)*0.475*44/12</f>
        <v>4.4798252105819419E-8</v>
      </c>
      <c r="AC81" s="22">
        <f t="shared" si="57"/>
        <v>157.73071296903478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372.99999999999972</v>
      </c>
      <c r="AJ81" s="13">
        <f>AI81*VLOOKUP('Données projet'!$B$10,Paramètres!$A$1:$I$89,3,0)*VLOOKUP('Données projet'!$B$10,Paramètres!$A$1:$I$89,5,0)</f>
        <v>296.75879999999978</v>
      </c>
      <c r="AK81" s="13">
        <f t="shared" si="89"/>
        <v>70.496554480015604</v>
      </c>
      <c r="AL81" s="20">
        <f t="shared" si="58"/>
        <v>639.63640905269347</v>
      </c>
      <c r="AM81" s="59">
        <f t="shared" si="59"/>
        <v>932.96974238602684</v>
      </c>
      <c r="AN81" s="59">
        <f ca="1">AVERAGE(OFFSET($AM$3,0,0,'Données projet'!$E$10+1,1))-AVERAGE(OFFSET($H$3,0,0,'Données projet'!$E$10+1,1))</f>
        <v>331.52724290297675</v>
      </c>
      <c r="AO81" s="59">
        <f t="shared" si="90"/>
        <v>322.79102610158054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57.818175449109788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57.818175449109788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250.20839999999981</v>
      </c>
      <c r="BF81" s="13">
        <f t="shared" si="91"/>
        <v>60.630564411420075</v>
      </c>
      <c r="BG81" s="20">
        <f t="shared" si="61"/>
        <v>541.37786301655638</v>
      </c>
      <c r="BH81" s="59">
        <f t="shared" si="62"/>
        <v>834.71119634988963</v>
      </c>
      <c r="BI81" s="59">
        <f ca="1">AVERAGE(OFFSET($BH$3,0,0,'Données projet'!$E$11+1,1))-AVERAGE(OFFSET($H$3,0,0,'Données projet'!$E$11+1,1))</f>
        <v>273.84349636755343</v>
      </c>
      <c r="BJ81" s="59">
        <f t="shared" si="92"/>
        <v>268.10688874775451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48.748657731602364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48.748657731602364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18.600000000000001</v>
      </c>
      <c r="N82" s="13">
        <f>IF('Données projet'!$A$36&gt;35,N81+M82-V81,IF(A82&lt;'Données projet'!$A$36,$K$205^A82,IF(A82='Données projet'!$A$36,'Données projet'!$B$36,N81+M82-V81)))</f>
        <v>890.40000000000009</v>
      </c>
      <c r="O82" s="13">
        <f>N82*VLOOKUP('Données projet'!$B$9,Paramètres!$A$1:$I$89,3,0)*VLOOKUP('Données projet'!$B$9,Paramètres!$A$1:$I$89,5,0)</f>
        <v>439.85760000000005</v>
      </c>
      <c r="P82" s="13">
        <f t="shared" si="87"/>
        <v>99.811972127941502</v>
      </c>
      <c r="Q82" s="20">
        <f t="shared" si="54"/>
        <v>939.92450478949831</v>
      </c>
      <c r="R82" s="59">
        <f t="shared" si="55"/>
        <v>1233.2578381228316</v>
      </c>
      <c r="S82" s="59">
        <f ca="1">AVERAGE(OFFSET($R$3,0,0,'Données projet'!$E$9+1,1))-AVERAGE(OFFSET($H$3,0,0,'Données projet'!$E$9+1,1))</f>
        <v>434.08297999735811</v>
      </c>
      <c r="T82" s="59">
        <f t="shared" si="88"/>
        <v>371.04090283546122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141.24136355832945</v>
      </c>
      <c r="AA82" s="21">
        <f>EXP(-LN(2)/25)*AA81+(1-EXP(-LN(2)/25))/(LN(2)/25)*Calculateur!V82*Calculateur!X82*VLOOKUP('Données projet'!$B$9,Paramètres!$A$1:$I$89,3,0)*0.475*44/12</f>
        <v>13.290643918620214</v>
      </c>
      <c r="AB82" s="21">
        <f>EXP(-LN(2)/2)*AB81+(1-EXP(-LN(2)/2))/(LN(2)/2)*V82*Y82*VLOOKUP('Données projet'!$B$9,Paramètres!$A$1:$I$89,3,0)*0.475*44/12</f>
        <v>3.1677147849329442E-8</v>
      </c>
      <c r="AC82" s="22">
        <f t="shared" si="57"/>
        <v>154.53200750862683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376.99999999999972</v>
      </c>
      <c r="AJ82" s="13">
        <f>AI82*VLOOKUP('Données projet'!$B$10,Paramètres!$A$1:$I$89,3,0)*VLOOKUP('Données projet'!$B$10,Paramètres!$A$1:$I$89,5,0)</f>
        <v>299.94119999999981</v>
      </c>
      <c r="AK82" s="13">
        <f t="shared" si="89"/>
        <v>71.164136596531506</v>
      </c>
      <c r="AL82" s="20">
        <f t="shared" si="58"/>
        <v>646.34179457229197</v>
      </c>
      <c r="AM82" s="59">
        <f t="shared" si="59"/>
        <v>939.67512790562523</v>
      </c>
      <c r="AN82" s="59">
        <f ca="1">AVERAGE(OFFSET($AM$3,0,0,'Données projet'!$E$10+1,1))-AVERAGE(OFFSET($H$3,0,0,'Données projet'!$E$10+1,1))</f>
        <v>331.52724290297675</v>
      </c>
      <c r="AO82" s="59">
        <f t="shared" si="90"/>
        <v>322.79102610158054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56.68439629415758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56.68439629415758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252.89159999999981</v>
      </c>
      <c r="BF82" s="13">
        <f t="shared" si="91"/>
        <v>61.204718436590262</v>
      </c>
      <c r="BG82" s="20">
        <f t="shared" si="61"/>
        <v>547.05108794372779</v>
      </c>
      <c r="BH82" s="59">
        <f t="shared" si="62"/>
        <v>840.38442127706116</v>
      </c>
      <c r="BI82" s="59">
        <f ca="1">AVERAGE(OFFSET($BH$3,0,0,'Données projet'!$E$11+1,1))-AVERAGE(OFFSET($H$3,0,0,'Données projet'!$E$11+1,1))</f>
        <v>273.84349636755343</v>
      </c>
      <c r="BJ82" s="59">
        <f t="shared" si="92"/>
        <v>268.10688874775451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47.792726287230892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47.792726287230892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909</v>
      </c>
      <c r="L83" s="12">
        <f>VLOOKUP(A83,'Données projet'!$A$35:$I$55,9,0)</f>
        <v>18.600000000000001</v>
      </c>
      <c r="M83" s="12">
        <f t="array" ref="M83">INDEX(L:L,MIN(IF(ISNUMBER(L83:L279),ROW(L83:L279),"")))</f>
        <v>18.600000000000001</v>
      </c>
      <c r="N83" s="13">
        <f>IF('Données projet'!$A$36&gt;35,N82+M83-V82,IF(A83&lt;'Données projet'!$A$36,$K$205^A83,IF(A83='Données projet'!$A$36,'Données projet'!$B$36,N82+M83-V82)))</f>
        <v>909.00000000000011</v>
      </c>
      <c r="O83" s="13">
        <f>N83*VLOOKUP('Données projet'!$B$9,Paramètres!$A$1:$I$89,3,0)*VLOOKUP('Données projet'!$B$9,Paramètres!$A$1:$I$89,5,0)</f>
        <v>449.04600000000011</v>
      </c>
      <c r="P83" s="13">
        <f t="shared" si="87"/>
        <v>101.65207404908085</v>
      </c>
      <c r="Q83" s="20">
        <f t="shared" si="54"/>
        <v>959.13247896881603</v>
      </c>
      <c r="R83" s="59">
        <f t="shared" si="55"/>
        <v>1252.4658123021493</v>
      </c>
      <c r="S83" s="59">
        <f ca="1">AVERAGE(OFFSET($R$3,0,0,'Données projet'!$E$9+1,1))-AVERAGE(OFFSET($H$3,0,0,'Données projet'!$E$9+1,1))</f>
        <v>434.08297999735811</v>
      </c>
      <c r="T83" s="59">
        <f t="shared" si="88"/>
        <v>371.04090283546122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57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159.01607763262251</v>
      </c>
      <c r="AA83" s="21">
        <f>EXP(-LN(2)/25)*AA82+(1-EXP(-LN(2)/25))/(LN(2)/25)*Calculateur!V83*Calculateur!X83*VLOOKUP('Données projet'!$B$9,Paramètres!$A$1:$I$89,3,0)*0.475*44/12</f>
        <v>12.927210561740957</v>
      </c>
      <c r="AB83" s="21">
        <f>EXP(-LN(2)/2)*AB82+(1-EXP(-LN(2)/2))/(LN(2)/2)*V83*Y83*VLOOKUP('Données projet'!$B$9,Paramètres!$A$1:$I$89,3,0)*0.475*44/12</f>
        <v>2.2399126052909709E-8</v>
      </c>
      <c r="AC83" s="22">
        <f t="shared" si="57"/>
        <v>171.9432882167626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381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380.99999999999972</v>
      </c>
      <c r="AJ83" s="13">
        <f>AI83*VLOOKUP('Données projet'!$B$10,Paramètres!$A$1:$I$89,3,0)*VLOOKUP('Données projet'!$B$10,Paramètres!$A$1:$I$89,5,0)</f>
        <v>303.12359999999978</v>
      </c>
      <c r="AK83" s="13">
        <f t="shared" si="89"/>
        <v>71.830894732837621</v>
      </c>
      <c r="AL83" s="20">
        <f t="shared" si="58"/>
        <v>653.0457449930251</v>
      </c>
      <c r="AM83" s="59">
        <f t="shared" si="59"/>
        <v>946.37907832635847</v>
      </c>
      <c r="AN83" s="59">
        <f ca="1">AVERAGE(OFFSET($AM$3,0,0,'Données projet'!$E$10+1,1))-AVERAGE(OFFSET($H$3,0,0,'Données projet'!$E$10+1,1))</f>
        <v>331.52724290297675</v>
      </c>
      <c r="AO83" s="59">
        <f t="shared" si="90"/>
        <v>322.79102610158054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61.632689148856684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61.632689148856684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255.57479999999981</v>
      </c>
      <c r="BF83" s="13">
        <f t="shared" si="91"/>
        <v>61.778163797549141</v>
      </c>
      <c r="BG83" s="20">
        <f t="shared" si="61"/>
        <v>552.72307861406443</v>
      </c>
      <c r="BH83" s="59">
        <f t="shared" si="62"/>
        <v>846.05641194739769</v>
      </c>
      <c r="BI83" s="59">
        <f ca="1">AVERAGE(OFFSET($BH$3,0,0,'Données projet'!$E$11+1,1))-AVERAGE(OFFSET($H$3,0,0,'Données projet'!$E$11+1,1))</f>
        <v>273.84349636755343</v>
      </c>
      <c r="BJ83" s="59">
        <f t="shared" si="92"/>
        <v>268.10688874775451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51.964816341192879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51.964816341192879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852.00000000000011</v>
      </c>
      <c r="O84" s="13">
        <f>N84*VLOOKUP('Données projet'!$B$9,Paramètres!$A$1:$I$89,3,0)*VLOOKUP('Données projet'!$B$9,Paramètres!$A$1:$I$89,5,0)</f>
        <v>420.88800000000009</v>
      </c>
      <c r="P84" s="13">
        <f t="shared" si="87"/>
        <v>95.998759891259041</v>
      </c>
      <c r="Q84" s="20">
        <f t="shared" si="54"/>
        <v>900.24444014394294</v>
      </c>
      <c r="R84" s="59">
        <f t="shared" si="55"/>
        <v>1193.5777734772762</v>
      </c>
      <c r="S84" s="59">
        <f ca="1">AVERAGE(OFFSET($R$3,0,0,'Données projet'!$E$9+1,1))-AVERAGE(OFFSET($H$3,0,0,'Données projet'!$E$9+1,1))</f>
        <v>434.08297999735811</v>
      </c>
      <c r="T84" s="59">
        <f t="shared" si="88"/>
        <v>371.04090283546122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155.89786934047714</v>
      </c>
      <c r="AA84" s="21">
        <f>EXP(-LN(2)/25)*AA83+(1-EXP(-LN(2)/25))/(LN(2)/25)*Calculateur!V84*Calculateur!X84*VLOOKUP('Données projet'!$B$9,Paramètres!$A$1:$I$89,3,0)*0.475*44/12</f>
        <v>12.573715309117691</v>
      </c>
      <c r="AB84" s="21">
        <f>EXP(-LN(2)/2)*AB83+(1-EXP(-LN(2)/2))/(LN(2)/2)*V84*Y84*VLOOKUP('Données projet'!$B$9,Paramètres!$A$1:$I$89,3,0)*0.475*44/12</f>
        <v>1.5838573924664721E-8</v>
      </c>
      <c r="AC84" s="22">
        <f t="shared" si="57"/>
        <v>168.4715846654334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367.99999999999972</v>
      </c>
      <c r="AJ84" s="13">
        <f>AI84*VLOOKUP('Données projet'!$B$10,Paramètres!$A$1:$I$89,3,0)*VLOOKUP('Données projet'!$B$10,Paramètres!$A$1:$I$89,5,0)</f>
        <v>292.78079999999977</v>
      </c>
      <c r="AK84" s="13">
        <f t="shared" si="89"/>
        <v>69.660903052386217</v>
      </c>
      <c r="AL84" s="20">
        <f t="shared" si="58"/>
        <v>631.25263281623893</v>
      </c>
      <c r="AM84" s="59">
        <f t="shared" si="59"/>
        <v>924.58596614957219</v>
      </c>
      <c r="AN84" s="59">
        <f ca="1">AVERAGE(OFFSET($AM$3,0,0,'Données projet'!$E$10+1,1))-AVERAGE(OFFSET($H$3,0,0,'Données projet'!$E$10+1,1))</f>
        <v>331.52724290297675</v>
      </c>
      <c r="AO84" s="59">
        <f t="shared" si="90"/>
        <v>322.79102610158054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60.42410970687606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60.42410970687606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367.99999999999972</v>
      </c>
      <c r="BE84" s="13">
        <f>BD84*VLOOKUP('Données projet'!$B$11,Paramètres!$A$1:$I$89,3,0)*VLOOKUP('Données projet'!$B$11,Paramètres!$A$1:$I$89,5,0)</f>
        <v>246.8543999999998</v>
      </c>
      <c r="BF84" s="13">
        <f t="shared" si="91"/>
        <v>59.911862368716115</v>
      </c>
      <c r="BG84" s="20">
        <f t="shared" si="61"/>
        <v>534.28457362551353</v>
      </c>
      <c r="BH84" s="59">
        <f t="shared" si="62"/>
        <v>827.61790695884679</v>
      </c>
      <c r="BI84" s="59">
        <f ca="1">AVERAGE(OFFSET($BH$3,0,0,'Données projet'!$E$11+1,1))-AVERAGE(OFFSET($H$3,0,0,'Données projet'!$E$11+1,1))</f>
        <v>273.84349636755343</v>
      </c>
      <c r="BJ84" s="59">
        <f t="shared" si="92"/>
        <v>268.10688874775451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50.945817988150395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50.945817988150395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852.00000000000011</v>
      </c>
      <c r="O85" s="13">
        <f>N85*VLOOKUP('Données projet'!$B$9,Paramètres!$A$1:$I$89,3,0)*VLOOKUP('Données projet'!$B$9,Paramètres!$A$1:$I$89,5,0)</f>
        <v>420.88800000000009</v>
      </c>
      <c r="P85" s="13">
        <f t="shared" si="87"/>
        <v>95.998759891259041</v>
      </c>
      <c r="Q85" s="20">
        <f t="shared" si="54"/>
        <v>900.24444014394294</v>
      </c>
      <c r="R85" s="59">
        <f t="shared" si="55"/>
        <v>1193.5777734772762</v>
      </c>
      <c r="S85" s="59">
        <f ca="1">AVERAGE(OFFSET($R$3,0,0,'Données projet'!$E$9+1,1))-AVERAGE(OFFSET($H$3,0,0,'Données projet'!$E$9+1,1))</f>
        <v>434.08297999735811</v>
      </c>
      <c r="T85" s="59">
        <f t="shared" si="88"/>
        <v>371.04090283546122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152.84080721102148</v>
      </c>
      <c r="AA85" s="21">
        <f>EXP(-LN(2)/25)*AA84+(1-EXP(-LN(2)/25))/(LN(2)/25)*Calculateur!V85*Calculateur!X85*VLOOKUP('Données projet'!$B$9,Paramètres!$A$1:$I$89,3,0)*0.475*44/12</f>
        <v>12.229886402766917</v>
      </c>
      <c r="AB85" s="21">
        <f>EXP(-LN(2)/2)*AB84+(1-EXP(-LN(2)/2))/(LN(2)/2)*V85*Y85*VLOOKUP('Données projet'!$B$9,Paramètres!$A$1:$I$89,3,0)*0.475*44/12</f>
        <v>1.1199563026454855E-8</v>
      </c>
      <c r="AC85" s="22">
        <f t="shared" si="57"/>
        <v>165.07069362498797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367.99999999999972</v>
      </c>
      <c r="AJ85" s="13">
        <f>AI85*VLOOKUP('Données projet'!$B$10,Paramètres!$A$1:$I$89,3,0)*VLOOKUP('Données projet'!$B$10,Paramètres!$A$1:$I$89,5,0)</f>
        <v>292.78079999999977</v>
      </c>
      <c r="AK85" s="13">
        <f t="shared" si="89"/>
        <v>69.660903052386217</v>
      </c>
      <c r="AL85" s="20">
        <f t="shared" si="58"/>
        <v>631.25263281623893</v>
      </c>
      <c r="AM85" s="59">
        <f t="shared" si="59"/>
        <v>924.58596614957219</v>
      </c>
      <c r="AN85" s="59">
        <f ca="1">AVERAGE(OFFSET($AM$3,0,0,'Données projet'!$E$10+1,1))-AVERAGE(OFFSET($H$3,0,0,'Données projet'!$E$10+1,1))</f>
        <v>331.52724290297675</v>
      </c>
      <c r="AO85" s="59">
        <f t="shared" si="90"/>
        <v>322.79102610158054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59.239229770592004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59.239229770592004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367.99999999999972</v>
      </c>
      <c r="BE85" s="13">
        <f>BD85*VLOOKUP('Données projet'!$B$11,Paramètres!$A$1:$I$89,3,0)*VLOOKUP('Données projet'!$B$11,Paramètres!$A$1:$I$89,5,0)</f>
        <v>246.8543999999998</v>
      </c>
      <c r="BF85" s="13">
        <f t="shared" si="91"/>
        <v>59.911862368716115</v>
      </c>
      <c r="BG85" s="20">
        <f t="shared" si="61"/>
        <v>534.28457362551353</v>
      </c>
      <c r="BH85" s="59">
        <f t="shared" si="62"/>
        <v>827.61790695884679</v>
      </c>
      <c r="BI85" s="59">
        <f ca="1">AVERAGE(OFFSET($BH$3,0,0,'Données projet'!$E$11+1,1))-AVERAGE(OFFSET($H$3,0,0,'Données projet'!$E$11+1,1))</f>
        <v>273.84349636755343</v>
      </c>
      <c r="BJ85" s="59">
        <f t="shared" si="92"/>
        <v>268.10688874775451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49.946801571283444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49.946801571283444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852.00000000000011</v>
      </c>
      <c r="O86" s="13">
        <f>N86*VLOOKUP('Données projet'!$B$9,Paramètres!$A$1:$I$89,3,0)*VLOOKUP('Données projet'!$B$9,Paramètres!$A$1:$I$89,5,0)</f>
        <v>420.88800000000009</v>
      </c>
      <c r="P86" s="13">
        <f t="shared" si="87"/>
        <v>95.998759891259041</v>
      </c>
      <c r="Q86" s="20">
        <f t="shared" si="54"/>
        <v>900.24444014394294</v>
      </c>
      <c r="R86" s="59">
        <f t="shared" si="55"/>
        <v>1193.5777734772762</v>
      </c>
      <c r="S86" s="59">
        <f ca="1">AVERAGE(OFFSET($R$3,0,0,'Données projet'!$E$9+1,1))-AVERAGE(OFFSET($H$3,0,0,'Données projet'!$E$9+1,1))</f>
        <v>434.08297999735811</v>
      </c>
      <c r="T86" s="59">
        <f t="shared" si="88"/>
        <v>371.04090283546122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149.84369220530067</v>
      </c>
      <c r="AA86" s="21">
        <f>EXP(-LN(2)/25)*AA85+(1-EXP(-LN(2)/25))/(LN(2)/25)*Calculateur!V86*Calculateur!X86*VLOOKUP('Données projet'!$B$9,Paramètres!$A$1:$I$89,3,0)*0.475*44/12</f>
        <v>11.895459515941482</v>
      </c>
      <c r="AB86" s="21">
        <f>EXP(-LN(2)/2)*AB85+(1-EXP(-LN(2)/2))/(LN(2)/2)*V86*Y86*VLOOKUP('Données projet'!$B$9,Paramètres!$A$1:$I$89,3,0)*0.475*44/12</f>
        <v>7.9192869623323606E-9</v>
      </c>
      <c r="AC86" s="22">
        <f t="shared" si="57"/>
        <v>161.73915172916142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367.99999999999972</v>
      </c>
      <c r="AJ86" s="13">
        <f>AI86*VLOOKUP('Données projet'!$B$10,Paramètres!$A$1:$I$89,3,0)*VLOOKUP('Données projet'!$B$10,Paramètres!$A$1:$I$89,5,0)</f>
        <v>292.78079999999977</v>
      </c>
      <c r="AK86" s="13">
        <f t="shared" si="89"/>
        <v>69.660903052386217</v>
      </c>
      <c r="AL86" s="20">
        <f t="shared" si="58"/>
        <v>631.25263281623893</v>
      </c>
      <c r="AM86" s="59">
        <f t="shared" si="59"/>
        <v>924.58596614957219</v>
      </c>
      <c r="AN86" s="59">
        <f ca="1">AVERAGE(OFFSET($AM$3,0,0,'Données projet'!$E$10+1,1))-AVERAGE(OFFSET($H$3,0,0,'Données projet'!$E$10+1,1))</f>
        <v>331.52724290297675</v>
      </c>
      <c r="AO86" s="59">
        <f t="shared" si="90"/>
        <v>322.79102610158054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58.077584607153078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58.077584607153078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367.99999999999972</v>
      </c>
      <c r="BE86" s="13">
        <f>BD86*VLOOKUP('Données projet'!$B$11,Paramètres!$A$1:$I$89,3,0)*VLOOKUP('Données projet'!$B$11,Paramètres!$A$1:$I$89,5,0)</f>
        <v>246.8543999999998</v>
      </c>
      <c r="BF86" s="13">
        <f t="shared" si="91"/>
        <v>59.911862368716115</v>
      </c>
      <c r="BG86" s="20">
        <f t="shared" si="61"/>
        <v>534.28457362551353</v>
      </c>
      <c r="BH86" s="59">
        <f t="shared" si="62"/>
        <v>827.61790695884679</v>
      </c>
      <c r="BI86" s="59">
        <f ca="1">AVERAGE(OFFSET($BH$3,0,0,'Données projet'!$E$11+1,1))-AVERAGE(OFFSET($H$3,0,0,'Données projet'!$E$11+1,1))</f>
        <v>273.84349636755343</v>
      </c>
      <c r="BJ86" s="59">
        <f t="shared" si="92"/>
        <v>268.10688874775451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48.967375257011412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48.967375257011412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852.00000000000011</v>
      </c>
      <c r="O87" s="13">
        <f>N87*VLOOKUP('Données projet'!$B$9,Paramètres!$A$1:$I$89,3,0)*VLOOKUP('Données projet'!$B$9,Paramètres!$A$1:$I$89,5,0)</f>
        <v>420.88800000000009</v>
      </c>
      <c r="P87" s="13">
        <f t="shared" si="87"/>
        <v>95.998759891259041</v>
      </c>
      <c r="Q87" s="20">
        <f t="shared" si="54"/>
        <v>900.24444014394294</v>
      </c>
      <c r="R87" s="59">
        <f t="shared" si="55"/>
        <v>1193.5777734772762</v>
      </c>
      <c r="S87" s="59">
        <f ca="1">AVERAGE(OFFSET($R$3,0,0,'Données projet'!$E$9+1,1))-AVERAGE(OFFSET($H$3,0,0,'Données projet'!$E$9+1,1))</f>
        <v>434.08297999735811</v>
      </c>
      <c r="T87" s="59">
        <f t="shared" si="88"/>
        <v>371.04090283546122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146.90534879678239</v>
      </c>
      <c r="AA87" s="21">
        <f>EXP(-LN(2)/25)*AA86+(1-EXP(-LN(2)/25))/(LN(2)/25)*Calculateur!V87*Calculateur!X87*VLOOKUP('Données projet'!$B$9,Paramètres!$A$1:$I$89,3,0)*0.475*44/12</f>
        <v>11.570177549923034</v>
      </c>
      <c r="AB87" s="21">
        <f>EXP(-LN(2)/2)*AB86+(1-EXP(-LN(2)/2))/(LN(2)/2)*V87*Y87*VLOOKUP('Données projet'!$B$9,Paramètres!$A$1:$I$89,3,0)*0.475*44/12</f>
        <v>5.5997815132274273E-9</v>
      </c>
      <c r="AC87" s="22">
        <f t="shared" si="57"/>
        <v>158.47552635230522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367.99999999999972</v>
      </c>
      <c r="AJ87" s="13">
        <f>AI87*VLOOKUP('Données projet'!$B$10,Paramètres!$A$1:$I$89,3,0)*VLOOKUP('Données projet'!$B$10,Paramètres!$A$1:$I$89,5,0)</f>
        <v>292.78079999999977</v>
      </c>
      <c r="AK87" s="13">
        <f t="shared" si="89"/>
        <v>69.660903052386217</v>
      </c>
      <c r="AL87" s="20">
        <f t="shared" si="58"/>
        <v>631.25263281623893</v>
      </c>
      <c r="AM87" s="59">
        <f t="shared" si="59"/>
        <v>924.58596614957219</v>
      </c>
      <c r="AN87" s="59">
        <f ca="1">AVERAGE(OFFSET($AM$3,0,0,'Données projet'!$E$10+1,1))-AVERAGE(OFFSET($H$3,0,0,'Données projet'!$E$10+1,1))</f>
        <v>331.52724290297675</v>
      </c>
      <c r="AO87" s="59">
        <f t="shared" si="90"/>
        <v>322.79102610158054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56.938718596835606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56.938718596835606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367.99999999999972</v>
      </c>
      <c r="BE87" s="13">
        <f>BD87*VLOOKUP('Données projet'!$B$11,Paramètres!$A$1:$I$89,3,0)*VLOOKUP('Données projet'!$B$11,Paramètres!$A$1:$I$89,5,0)</f>
        <v>246.8543999999998</v>
      </c>
      <c r="BF87" s="13">
        <f t="shared" si="91"/>
        <v>59.911862368716115</v>
      </c>
      <c r="BG87" s="20">
        <f t="shared" si="61"/>
        <v>534.28457362551353</v>
      </c>
      <c r="BH87" s="59">
        <f t="shared" si="62"/>
        <v>827.61790695884679</v>
      </c>
      <c r="BI87" s="59">
        <f ca="1">AVERAGE(OFFSET($BH$3,0,0,'Données projet'!$E$11+1,1))-AVERAGE(OFFSET($H$3,0,0,'Données projet'!$E$11+1,1))</f>
        <v>273.84349636755343</v>
      </c>
      <c r="BJ87" s="59">
        <f t="shared" si="92"/>
        <v>268.10688874775451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48.007154895371187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48.007154895371187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852.00000000000011</v>
      </c>
      <c r="O88" s="13">
        <f>N88*VLOOKUP('Données projet'!$B$9,Paramètres!$A$1:$I$89,3,0)*VLOOKUP('Données projet'!$B$9,Paramètres!$A$1:$I$89,5,0)</f>
        <v>420.88800000000009</v>
      </c>
      <c r="P88" s="13">
        <f t="shared" si="87"/>
        <v>95.998759891259041</v>
      </c>
      <c r="Q88" s="20">
        <f t="shared" si="54"/>
        <v>900.24444014394294</v>
      </c>
      <c r="R88" s="59">
        <f t="shared" si="55"/>
        <v>1193.5777734772762</v>
      </c>
      <c r="S88" s="59">
        <f ca="1">AVERAGE(OFFSET($R$3,0,0,'Données projet'!$E$9+1,1))-AVERAGE(OFFSET($H$3,0,0,'Données projet'!$E$9+1,1))</f>
        <v>434.08297999735811</v>
      </c>
      <c r="T88" s="59">
        <f t="shared" si="88"/>
        <v>371.04090283546122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144.02462451029265</v>
      </c>
      <c r="AA88" s="21">
        <f>EXP(-LN(2)/25)*AA87+(1-EXP(-LN(2)/25))/(LN(2)/25)*Calculateur!V88*Calculateur!X88*VLOOKUP('Données projet'!$B$9,Paramètres!$A$1:$I$89,3,0)*0.475*44/12</f>
        <v>11.253790436371196</v>
      </c>
      <c r="AB88" s="21">
        <f>EXP(-LN(2)/2)*AB87+(1-EXP(-LN(2)/2))/(LN(2)/2)*V88*Y88*VLOOKUP('Données projet'!$B$9,Paramètres!$A$1:$I$89,3,0)*0.475*44/12</f>
        <v>3.9596434811661803E-9</v>
      </c>
      <c r="AC88" s="22">
        <f t="shared" si="57"/>
        <v>155.2784149506235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367.99999999999972</v>
      </c>
      <c r="AJ88" s="13">
        <f>AI88*VLOOKUP('Données projet'!$B$10,Paramètres!$A$1:$I$89,3,0)*VLOOKUP('Données projet'!$B$10,Paramètres!$A$1:$I$89,5,0)</f>
        <v>292.78079999999977</v>
      </c>
      <c r="AK88" s="13">
        <f t="shared" si="89"/>
        <v>69.660903052386217</v>
      </c>
      <c r="AL88" s="20">
        <f t="shared" si="58"/>
        <v>631.25263281623893</v>
      </c>
      <c r="AM88" s="59">
        <f t="shared" si="59"/>
        <v>924.58596614957219</v>
      </c>
      <c r="AN88" s="59">
        <f ca="1">AVERAGE(OFFSET($AM$3,0,0,'Données projet'!$E$10+1,1))-AVERAGE(OFFSET($H$3,0,0,'Données projet'!$E$10+1,1))</f>
        <v>331.52724290297675</v>
      </c>
      <c r="AO88" s="59">
        <f t="shared" si="90"/>
        <v>322.79102610158054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55.822185054340778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55.822185054340778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367.99999999999972</v>
      </c>
      <c r="BE88" s="13">
        <f>BD88*VLOOKUP('Données projet'!$B$11,Paramètres!$A$1:$I$89,3,0)*VLOOKUP('Données projet'!$B$11,Paramètres!$A$1:$I$89,5,0)</f>
        <v>246.8543999999998</v>
      </c>
      <c r="BF88" s="13">
        <f t="shared" si="91"/>
        <v>59.911862368716115</v>
      </c>
      <c r="BG88" s="20">
        <f t="shared" si="61"/>
        <v>534.28457362551353</v>
      </c>
      <c r="BH88" s="59">
        <f t="shared" si="62"/>
        <v>827.61790695884679</v>
      </c>
      <c r="BI88" s="59">
        <f ca="1">AVERAGE(OFFSET($BH$3,0,0,'Données projet'!$E$11+1,1))-AVERAGE(OFFSET($H$3,0,0,'Données projet'!$E$11+1,1))</f>
        <v>273.84349636755343</v>
      </c>
      <c r="BJ88" s="59">
        <f t="shared" si="92"/>
        <v>268.10688874775451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47.065763869346142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47.065763869346142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852.00000000000011</v>
      </c>
      <c r="O89" s="13">
        <f>N89*VLOOKUP('Données projet'!$B$9,Paramètres!$A$1:$I$89,3,0)*VLOOKUP('Données projet'!$B$9,Paramètres!$A$1:$I$89,5,0)</f>
        <v>420.88800000000009</v>
      </c>
      <c r="P89" s="13">
        <f t="shared" si="87"/>
        <v>95.998759891259041</v>
      </c>
      <c r="Q89" s="20">
        <f t="shared" si="54"/>
        <v>900.24444014394294</v>
      </c>
      <c r="R89" s="59">
        <f t="shared" si="55"/>
        <v>1193.5777734772762</v>
      </c>
      <c r="S89" s="59">
        <f ca="1">AVERAGE(OFFSET($R$3,0,0,'Données projet'!$E$9+1,1))-AVERAGE(OFFSET($H$3,0,0,'Données projet'!$E$9+1,1))</f>
        <v>434.08297999735811</v>
      </c>
      <c r="T89" s="59">
        <f t="shared" si="88"/>
        <v>371.04090283546122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141.20038946999267</v>
      </c>
      <c r="AA89" s="21">
        <f>EXP(-LN(2)/25)*AA88+(1-EXP(-LN(2)/25))/(LN(2)/25)*Calculateur!V89*Calculateur!X89*VLOOKUP('Données projet'!$B$9,Paramètres!$A$1:$I$89,3,0)*0.475*44/12</f>
        <v>10.946054945077506</v>
      </c>
      <c r="AB89" s="21">
        <f>EXP(-LN(2)/2)*AB88+(1-EXP(-LN(2)/2))/(LN(2)/2)*V89*Y89*VLOOKUP('Données projet'!$B$9,Paramètres!$A$1:$I$89,3,0)*0.475*44/12</f>
        <v>2.7998907566137137E-9</v>
      </c>
      <c r="AC89" s="22">
        <f t="shared" si="57"/>
        <v>152.14644441787004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367.99999999999972</v>
      </c>
      <c r="AJ89" s="13">
        <f>AI89*VLOOKUP('Données projet'!$B$10,Paramètres!$A$1:$I$89,3,0)*VLOOKUP('Données projet'!$B$10,Paramètres!$A$1:$I$89,5,0)</f>
        <v>292.78079999999977</v>
      </c>
      <c r="AK89" s="13">
        <f t="shared" si="89"/>
        <v>69.660903052386217</v>
      </c>
      <c r="AL89" s="20">
        <f t="shared" si="58"/>
        <v>631.25263281623893</v>
      </c>
      <c r="AM89" s="59">
        <f t="shared" si="59"/>
        <v>924.58596614957219</v>
      </c>
      <c r="AN89" s="59">
        <f ca="1">AVERAGE(OFFSET($AM$3,0,0,'Données projet'!$E$10+1,1))-AVERAGE(OFFSET($H$3,0,0,'Données projet'!$E$10+1,1))</f>
        <v>331.52724290297675</v>
      </c>
      <c r="AO89" s="59">
        <f t="shared" si="90"/>
        <v>322.79102610158054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54.727546053596058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54.727546053596058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367.99999999999972</v>
      </c>
      <c r="BE89" s="13">
        <f>BD89*VLOOKUP('Données projet'!$B$11,Paramètres!$A$1:$I$89,3,0)*VLOOKUP('Données projet'!$B$11,Paramètres!$A$1:$I$89,5,0)</f>
        <v>246.8543999999998</v>
      </c>
      <c r="BF89" s="13">
        <f t="shared" si="91"/>
        <v>59.911862368716115</v>
      </c>
      <c r="BG89" s="20">
        <f t="shared" si="61"/>
        <v>534.28457362551353</v>
      </c>
      <c r="BH89" s="59">
        <f t="shared" si="62"/>
        <v>827.61790695884679</v>
      </c>
      <c r="BI89" s="59">
        <f ca="1">AVERAGE(OFFSET($BH$3,0,0,'Données projet'!$E$11+1,1))-AVERAGE(OFFSET($H$3,0,0,'Données projet'!$E$11+1,1))</f>
        <v>273.84349636755343</v>
      </c>
      <c r="BJ89" s="59">
        <f t="shared" si="92"/>
        <v>268.10688874775451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46.142832947149614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46.142832947149614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852.00000000000011</v>
      </c>
      <c r="O90" s="13">
        <f>N90*VLOOKUP('Données projet'!$B$9,Paramètres!$A$1:$I$89,3,0)*VLOOKUP('Données projet'!$B$9,Paramètres!$A$1:$I$89,5,0)</f>
        <v>420.88800000000009</v>
      </c>
      <c r="P90" s="13">
        <f t="shared" si="87"/>
        <v>95.998759891259041</v>
      </c>
      <c r="Q90" s="20">
        <f t="shared" si="54"/>
        <v>900.24444014394294</v>
      </c>
      <c r="R90" s="59">
        <f t="shared" si="55"/>
        <v>1193.5777734772762</v>
      </c>
      <c r="S90" s="59">
        <f ca="1">AVERAGE(OFFSET($R$3,0,0,'Données projet'!$E$9+1,1))-AVERAGE(OFFSET($H$3,0,0,'Données projet'!$E$9+1,1))</f>
        <v>434.08297999735811</v>
      </c>
      <c r="T90" s="59">
        <f t="shared" si="88"/>
        <v>371.04090283546122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138.43153595621968</v>
      </c>
      <c r="AA90" s="21">
        <f>EXP(-LN(2)/25)*AA89+(1-EXP(-LN(2)/25))/(LN(2)/25)*Calculateur!V90*Calculateur!X90*VLOOKUP('Données projet'!$B$9,Paramètres!$A$1:$I$89,3,0)*0.475*44/12</f>
        <v>10.64673449697635</v>
      </c>
      <c r="AB90" s="21">
        <f>EXP(-LN(2)/2)*AB89+(1-EXP(-LN(2)/2))/(LN(2)/2)*V90*Y90*VLOOKUP('Données projet'!$B$9,Paramètres!$A$1:$I$89,3,0)*0.475*44/12</f>
        <v>1.9798217405830902E-9</v>
      </c>
      <c r="AC90" s="22">
        <f t="shared" si="57"/>
        <v>149.07827045517584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367.99999999999972</v>
      </c>
      <c r="AJ90" s="13">
        <f>AI90*VLOOKUP('Données projet'!$B$10,Paramètres!$A$1:$I$89,3,0)*VLOOKUP('Données projet'!$B$10,Paramètres!$A$1:$I$89,5,0)</f>
        <v>292.78079999999977</v>
      </c>
      <c r="AK90" s="13">
        <f t="shared" si="89"/>
        <v>69.660903052386217</v>
      </c>
      <c r="AL90" s="20">
        <f t="shared" si="58"/>
        <v>631.25263281623893</v>
      </c>
      <c r="AM90" s="59">
        <f t="shared" si="59"/>
        <v>924.58596614957219</v>
      </c>
      <c r="AN90" s="59">
        <f ca="1">AVERAGE(OFFSET($AM$3,0,0,'Données projet'!$E$10+1,1))-AVERAGE(OFFSET($H$3,0,0,'Données projet'!$E$10+1,1))</f>
        <v>331.52724290297675</v>
      </c>
      <c r="AO90" s="59">
        <f t="shared" si="90"/>
        <v>322.79102610158054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53.654372255992079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53.654372255992079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367.99999999999972</v>
      </c>
      <c r="BE90" s="13">
        <f>BD90*VLOOKUP('Données projet'!$B$11,Paramètres!$A$1:$I$89,3,0)*VLOOKUP('Données projet'!$B$11,Paramètres!$A$1:$I$89,5,0)</f>
        <v>246.8543999999998</v>
      </c>
      <c r="BF90" s="13">
        <f t="shared" si="91"/>
        <v>59.911862368716115</v>
      </c>
      <c r="BG90" s="20">
        <f t="shared" si="61"/>
        <v>534.28457362551353</v>
      </c>
      <c r="BH90" s="59">
        <f t="shared" si="62"/>
        <v>827.61790695884679</v>
      </c>
      <c r="BI90" s="59">
        <f ca="1">AVERAGE(OFFSET($BH$3,0,0,'Données projet'!$E$11+1,1))-AVERAGE(OFFSET($H$3,0,0,'Données projet'!$E$11+1,1))</f>
        <v>273.84349636755343</v>
      </c>
      <c r="BJ90" s="59">
        <f t="shared" si="92"/>
        <v>268.10688874775451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45.238000137405088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45.238000137405088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852.00000000000011</v>
      </c>
      <c r="O91" s="13">
        <f>N91*VLOOKUP('Données projet'!$B$9,Paramètres!$A$1:$I$89,3,0)*VLOOKUP('Données projet'!$B$9,Paramètres!$A$1:$I$89,5,0)</f>
        <v>420.88800000000009</v>
      </c>
      <c r="P91" s="13">
        <f t="shared" si="87"/>
        <v>95.998759891259041</v>
      </c>
      <c r="Q91" s="20">
        <f t="shared" si="54"/>
        <v>900.24444014394294</v>
      </c>
      <c r="R91" s="59">
        <f t="shared" si="55"/>
        <v>1193.5777734772762</v>
      </c>
      <c r="S91" s="59">
        <f ca="1">AVERAGE(OFFSET($R$3,0,0,'Données projet'!$E$9+1,1))-AVERAGE(OFFSET($H$3,0,0,'Données projet'!$E$9+1,1))</f>
        <v>434.08297999735811</v>
      </c>
      <c r="T91" s="59">
        <f t="shared" si="88"/>
        <v>371.04090283546122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135.71697797101788</v>
      </c>
      <c r="AA91" s="21">
        <f>EXP(-LN(2)/25)*AA90+(1-EXP(-LN(2)/25))/(LN(2)/25)*Calculateur!V91*Calculateur!X91*VLOOKUP('Données projet'!$B$9,Paramètres!$A$1:$I$89,3,0)*0.475*44/12</f>
        <v>10.355598982269099</v>
      </c>
      <c r="AB91" s="21">
        <f>EXP(-LN(2)/2)*AB90+(1-EXP(-LN(2)/2))/(LN(2)/2)*V91*Y91*VLOOKUP('Données projet'!$B$9,Paramètres!$A$1:$I$89,3,0)*0.475*44/12</f>
        <v>1.3999453783068568E-9</v>
      </c>
      <c r="AC91" s="22">
        <f t="shared" si="57"/>
        <v>146.07257695468692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367.99999999999972</v>
      </c>
      <c r="AJ91" s="13">
        <f>AI91*VLOOKUP('Données projet'!$B$10,Paramètres!$A$1:$I$89,3,0)*VLOOKUP('Données projet'!$B$10,Paramètres!$A$1:$I$89,5,0)</f>
        <v>292.78079999999977</v>
      </c>
      <c r="AK91" s="13">
        <f t="shared" si="89"/>
        <v>69.660903052386217</v>
      </c>
      <c r="AL91" s="20">
        <f t="shared" si="58"/>
        <v>631.25263281623893</v>
      </c>
      <c r="AM91" s="59">
        <f t="shared" si="59"/>
        <v>924.58596614957219</v>
      </c>
      <c r="AN91" s="59">
        <f ca="1">AVERAGE(OFFSET($AM$3,0,0,'Données projet'!$E$10+1,1))-AVERAGE(OFFSET($H$3,0,0,'Données projet'!$E$10+1,1))</f>
        <v>331.52724290297675</v>
      </c>
      <c r="AO91" s="59">
        <f t="shared" si="90"/>
        <v>322.79102610158054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52.60224274198773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52.60224274198773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367.99999999999972</v>
      </c>
      <c r="BE91" s="13">
        <f>BD91*VLOOKUP('Données projet'!$B$11,Paramètres!$A$1:$I$89,3,0)*VLOOKUP('Données projet'!$B$11,Paramètres!$A$1:$I$89,5,0)</f>
        <v>246.8543999999998</v>
      </c>
      <c r="BF91" s="13">
        <f t="shared" si="91"/>
        <v>59.911862368716115</v>
      </c>
      <c r="BG91" s="20">
        <f t="shared" si="61"/>
        <v>534.28457362551353</v>
      </c>
      <c r="BH91" s="59">
        <f t="shared" si="62"/>
        <v>827.61790695884679</v>
      </c>
      <c r="BI91" s="59">
        <f ca="1">AVERAGE(OFFSET($BH$3,0,0,'Données projet'!$E$11+1,1))-AVERAGE(OFFSET($H$3,0,0,'Données projet'!$E$11+1,1))</f>
        <v>273.84349636755343</v>
      </c>
      <c r="BJ91" s="59">
        <f t="shared" si="92"/>
        <v>268.10688874775451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44.35091054716613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44.35091054716613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852.00000000000011</v>
      </c>
      <c r="O92" s="13">
        <f>N92*VLOOKUP('Données projet'!$B$9,Paramètres!$A$1:$I$89,3,0)*VLOOKUP('Données projet'!$B$9,Paramètres!$A$1:$I$89,5,0)</f>
        <v>420.88800000000009</v>
      </c>
      <c r="P92" s="13">
        <f t="shared" si="87"/>
        <v>95.998759891259041</v>
      </c>
      <c r="Q92" s="20">
        <f t="shared" si="54"/>
        <v>900.24444014394294</v>
      </c>
      <c r="R92" s="59">
        <f t="shared" si="55"/>
        <v>1193.5777734772762</v>
      </c>
      <c r="S92" s="59">
        <f ca="1">AVERAGE(OFFSET($R$3,0,0,'Données projet'!$E$9+1,1))-AVERAGE(OFFSET($H$3,0,0,'Données projet'!$E$9+1,1))</f>
        <v>434.08297999735811</v>
      </c>
      <c r="T92" s="59">
        <f t="shared" si="88"/>
        <v>371.04090283546122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133.05565081218901</v>
      </c>
      <c r="AA92" s="21">
        <f>EXP(-LN(2)/25)*AA91+(1-EXP(-LN(2)/25))/(LN(2)/25)*Calculateur!V92*Calculateur!X92*VLOOKUP('Données projet'!$B$9,Paramètres!$A$1:$I$89,3,0)*0.475*44/12</f>
        <v>10.072424583521668</v>
      </c>
      <c r="AB92" s="21">
        <f>EXP(-LN(2)/2)*AB91+(1-EXP(-LN(2)/2))/(LN(2)/2)*V92*Y92*VLOOKUP('Données projet'!$B$9,Paramètres!$A$1:$I$89,3,0)*0.475*44/12</f>
        <v>9.8991087029154508E-10</v>
      </c>
      <c r="AC92" s="22">
        <f t="shared" si="57"/>
        <v>143.12807539670058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367.99999999999972</v>
      </c>
      <c r="AJ92" s="13">
        <f>AI92*VLOOKUP('Données projet'!$B$10,Paramètres!$A$1:$I$89,3,0)*VLOOKUP('Données projet'!$B$10,Paramètres!$A$1:$I$89,5,0)</f>
        <v>292.78079999999977</v>
      </c>
      <c r="AK92" s="13">
        <f t="shared" si="89"/>
        <v>69.660903052386217</v>
      </c>
      <c r="AL92" s="20">
        <f t="shared" si="58"/>
        <v>631.25263281623893</v>
      </c>
      <c r="AM92" s="59">
        <f t="shared" si="59"/>
        <v>924.58596614957219</v>
      </c>
      <c r="AN92" s="59">
        <f ca="1">AVERAGE(OFFSET($AM$3,0,0,'Données projet'!$E$10+1,1))-AVERAGE(OFFSET($H$3,0,0,'Données projet'!$E$10+1,1))</f>
        <v>331.52724290297675</v>
      </c>
      <c r="AO92" s="59">
        <f t="shared" si="90"/>
        <v>322.79102610158054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51.570744846017369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51.570744846017369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367.99999999999972</v>
      </c>
      <c r="BE92" s="13">
        <f>BD92*VLOOKUP('Données projet'!$B$11,Paramètres!$A$1:$I$89,3,0)*VLOOKUP('Données projet'!$B$11,Paramètres!$A$1:$I$89,5,0)</f>
        <v>246.8543999999998</v>
      </c>
      <c r="BF92" s="13">
        <f t="shared" si="91"/>
        <v>59.911862368716115</v>
      </c>
      <c r="BG92" s="20">
        <f t="shared" si="61"/>
        <v>534.28457362551353</v>
      </c>
      <c r="BH92" s="59">
        <f t="shared" si="62"/>
        <v>827.61790695884679</v>
      </c>
      <c r="BI92" s="59">
        <f ca="1">AVERAGE(OFFSET($BH$3,0,0,'Données projet'!$E$11+1,1))-AVERAGE(OFFSET($H$3,0,0,'Données projet'!$E$11+1,1))</f>
        <v>273.84349636755343</v>
      </c>
      <c r="BJ92" s="59">
        <f t="shared" si="92"/>
        <v>268.10688874775451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43.481216242720535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43.481216242720535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852.00000000000011</v>
      </c>
      <c r="O93" s="13">
        <f>N93*VLOOKUP('Données projet'!$B$9,Paramètres!$A$1:$I$89,3,0)*VLOOKUP('Données projet'!$B$9,Paramètres!$A$1:$I$89,5,0)</f>
        <v>420.88800000000009</v>
      </c>
      <c r="P93" s="13">
        <f t="shared" si="87"/>
        <v>95.998759891259041</v>
      </c>
      <c r="Q93" s="20">
        <f t="shared" si="54"/>
        <v>900.24444014394294</v>
      </c>
      <c r="R93" s="59">
        <f t="shared" si="55"/>
        <v>1193.5777734772762</v>
      </c>
      <c r="S93" s="59">
        <f ca="1">AVERAGE(OFFSET($R$3,0,0,'Données projet'!$E$9+1,1))-AVERAGE(OFFSET($H$3,0,0,'Données projet'!$E$9+1,1))</f>
        <v>434.08297999735811</v>
      </c>
      <c r="T93" s="59">
        <f t="shared" si="88"/>
        <v>371.04090283546122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130.4465106556955</v>
      </c>
      <c r="AA93" s="21">
        <f>EXP(-LN(2)/25)*AA92+(1-EXP(-LN(2)/25))/(LN(2)/25)*Calculateur!V93*Calculateur!X93*VLOOKUP('Données projet'!$B$9,Paramètres!$A$1:$I$89,3,0)*0.475*44/12</f>
        <v>9.7969936035994802</v>
      </c>
      <c r="AB93" s="21">
        <f>EXP(-LN(2)/2)*AB92+(1-EXP(-LN(2)/2))/(LN(2)/2)*V93*Y93*VLOOKUP('Données projet'!$B$9,Paramètres!$A$1:$I$89,3,0)*0.475*44/12</f>
        <v>6.9997268915342842E-10</v>
      </c>
      <c r="AC93" s="22">
        <f t="shared" si="57"/>
        <v>140.24350425999495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367.99999999999972</v>
      </c>
      <c r="AJ93" s="13">
        <f>AI93*VLOOKUP('Données projet'!$B$10,Paramètres!$A$1:$I$89,3,0)*VLOOKUP('Données projet'!$B$10,Paramètres!$A$1:$I$89,5,0)</f>
        <v>292.78079999999977</v>
      </c>
      <c r="AK93" s="13">
        <f t="shared" si="89"/>
        <v>69.660903052386217</v>
      </c>
      <c r="AL93" s="20">
        <f t="shared" si="58"/>
        <v>631.25263281623893</v>
      </c>
      <c r="AM93" s="59">
        <f t="shared" si="59"/>
        <v>924.58596614957219</v>
      </c>
      <c r="AN93" s="59">
        <f ca="1">AVERAGE(OFFSET($AM$3,0,0,'Données projet'!$E$10+1,1))-AVERAGE(OFFSET($H$3,0,0,'Données projet'!$E$10+1,1))</f>
        <v>331.52724290297675</v>
      </c>
      <c r="AO93" s="59">
        <f t="shared" si="90"/>
        <v>322.79102610158054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50.559473994635397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50.559473994635397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367.99999999999972</v>
      </c>
      <c r="BE93" s="13">
        <f>BD93*VLOOKUP('Données projet'!$B$11,Paramètres!$A$1:$I$89,3,0)*VLOOKUP('Données projet'!$B$11,Paramètres!$A$1:$I$89,5,0)</f>
        <v>246.8543999999998</v>
      </c>
      <c r="BF93" s="13">
        <f t="shared" si="91"/>
        <v>59.911862368716115</v>
      </c>
      <c r="BG93" s="20">
        <f t="shared" si="61"/>
        <v>534.28457362551353</v>
      </c>
      <c r="BH93" s="59">
        <f t="shared" si="62"/>
        <v>827.61790695884679</v>
      </c>
      <c r="BI93" s="59">
        <f ca="1">AVERAGE(OFFSET($BH$3,0,0,'Données projet'!$E$11+1,1))-AVERAGE(OFFSET($H$3,0,0,'Données projet'!$E$11+1,1))</f>
        <v>273.84349636755343</v>
      </c>
      <c r="BJ93" s="59">
        <f t="shared" si="92"/>
        <v>268.10688874775451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42.62857611312397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42.62857611312397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852.00000000000011</v>
      </c>
      <c r="O94" s="13">
        <f>N94*VLOOKUP('Données projet'!$B$9,Paramètres!$A$1:$I$89,3,0)*VLOOKUP('Données projet'!$B$9,Paramètres!$A$1:$I$89,5,0)</f>
        <v>420.88800000000009</v>
      </c>
      <c r="P94" s="13">
        <f t="shared" si="87"/>
        <v>95.998759891259041</v>
      </c>
      <c r="Q94" s="20">
        <f t="shared" si="54"/>
        <v>900.24444014394294</v>
      </c>
      <c r="R94" s="59">
        <f t="shared" si="55"/>
        <v>1193.5777734772762</v>
      </c>
      <c r="S94" s="59">
        <f ca="1">AVERAGE(OFFSET($R$3,0,0,'Données projet'!$E$9+1,1))-AVERAGE(OFFSET($H$3,0,0,'Données projet'!$E$9+1,1))</f>
        <v>434.08297999735811</v>
      </c>
      <c r="T94" s="59">
        <f t="shared" si="88"/>
        <v>371.04090283546122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127.88853414625247</v>
      </c>
      <c r="AA94" s="21">
        <f>EXP(-LN(2)/25)*AA93+(1-EXP(-LN(2)/25))/(LN(2)/25)*Calculateur!V94*Calculateur!X94*VLOOKUP('Données projet'!$B$9,Paramètres!$A$1:$I$89,3,0)*0.475*44/12</f>
        <v>9.5290942983075499</v>
      </c>
      <c r="AB94" s="21">
        <f>EXP(-LN(2)/2)*AB93+(1-EXP(-LN(2)/2))/(LN(2)/2)*V94*Y94*VLOOKUP('Données projet'!$B$9,Paramètres!$A$1:$I$89,3,0)*0.475*44/12</f>
        <v>4.9495543514577254E-10</v>
      </c>
      <c r="AC94" s="22">
        <f t="shared" si="57"/>
        <v>137.41762844505499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367.99999999999972</v>
      </c>
      <c r="AJ94" s="13">
        <f>AI94*VLOOKUP('Données projet'!$B$10,Paramètres!$A$1:$I$89,3,0)*VLOOKUP('Données projet'!$B$10,Paramètres!$A$1:$I$89,5,0)</f>
        <v>292.78079999999977</v>
      </c>
      <c r="AK94" s="13">
        <f t="shared" si="89"/>
        <v>69.660903052386217</v>
      </c>
      <c r="AL94" s="20">
        <f t="shared" si="58"/>
        <v>631.25263281623893</v>
      </c>
      <c r="AM94" s="59">
        <f t="shared" si="59"/>
        <v>924.58596614957219</v>
      </c>
      <c r="AN94" s="59">
        <f ca="1">AVERAGE(OFFSET($AM$3,0,0,'Données projet'!$E$10+1,1))-AVERAGE(OFFSET($H$3,0,0,'Données projet'!$E$10+1,1))</f>
        <v>331.52724290297675</v>
      </c>
      <c r="AO94" s="59">
        <f t="shared" si="90"/>
        <v>322.79102610158054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49.568033547834709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49.568033547834709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367.99999999999972</v>
      </c>
      <c r="BE94" s="13">
        <f>BD94*VLOOKUP('Données projet'!$B$11,Paramètres!$A$1:$I$89,3,0)*VLOOKUP('Données projet'!$B$11,Paramètres!$A$1:$I$89,5,0)</f>
        <v>246.8543999999998</v>
      </c>
      <c r="BF94" s="13">
        <f t="shared" si="91"/>
        <v>59.911862368716115</v>
      </c>
      <c r="BG94" s="20">
        <f t="shared" si="61"/>
        <v>534.28457362551353</v>
      </c>
      <c r="BH94" s="59">
        <f t="shared" si="62"/>
        <v>827.61790695884679</v>
      </c>
      <c r="BI94" s="59">
        <f ca="1">AVERAGE(OFFSET($BH$3,0,0,'Données projet'!$E$11+1,1))-AVERAGE(OFFSET($H$3,0,0,'Données projet'!$E$11+1,1))</f>
        <v>273.84349636755343</v>
      </c>
      <c r="BJ94" s="59">
        <f t="shared" si="92"/>
        <v>268.10688874775451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41.792655736409664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41.792655736409664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852.00000000000011</v>
      </c>
      <c r="O95" s="13">
        <f>N95*VLOOKUP('Données projet'!$B$9,Paramètres!$A$1:$I$89,3,0)*VLOOKUP('Données projet'!$B$9,Paramètres!$A$1:$I$89,5,0)</f>
        <v>420.88800000000009</v>
      </c>
      <c r="P95" s="13">
        <f t="shared" si="87"/>
        <v>95.998759891259041</v>
      </c>
      <c r="Q95" s="20">
        <f t="shared" si="54"/>
        <v>900.24444014394294</v>
      </c>
      <c r="R95" s="59">
        <f t="shared" si="55"/>
        <v>1193.5777734772762</v>
      </c>
      <c r="S95" s="59">
        <f ca="1">AVERAGE(OFFSET($R$3,0,0,'Données projet'!$E$9+1,1))-AVERAGE(OFFSET($H$3,0,0,'Données projet'!$E$9+1,1))</f>
        <v>434.08297999735811</v>
      </c>
      <c r="T95" s="59">
        <f t="shared" si="88"/>
        <v>371.04090283546122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125.380717995948</v>
      </c>
      <c r="AA95" s="21">
        <f>EXP(-LN(2)/25)*AA94+(1-EXP(-LN(2)/25))/(LN(2)/25)*Calculateur!V95*Calculateur!X95*VLOOKUP('Données projet'!$B$9,Paramètres!$A$1:$I$89,3,0)*0.475*44/12</f>
        <v>9.2685207136070407</v>
      </c>
      <c r="AB95" s="21">
        <f>EXP(-LN(2)/2)*AB94+(1-EXP(-LN(2)/2))/(LN(2)/2)*V95*Y95*VLOOKUP('Données projet'!$B$9,Paramètres!$A$1:$I$89,3,0)*0.475*44/12</f>
        <v>3.4998634457671421E-10</v>
      </c>
      <c r="AC95" s="22">
        <f t="shared" si="57"/>
        <v>134.64923870990503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367.99999999999972</v>
      </c>
      <c r="AJ95" s="13">
        <f>AI95*VLOOKUP('Données projet'!$B$10,Paramètres!$A$1:$I$89,3,0)*VLOOKUP('Données projet'!$B$10,Paramètres!$A$1:$I$89,5,0)</f>
        <v>292.78079999999977</v>
      </c>
      <c r="AK95" s="13">
        <f t="shared" si="89"/>
        <v>69.660903052386217</v>
      </c>
      <c r="AL95" s="20">
        <f t="shared" si="58"/>
        <v>631.25263281623893</v>
      </c>
      <c r="AM95" s="59">
        <f t="shared" si="59"/>
        <v>924.58596614957219</v>
      </c>
      <c r="AN95" s="59">
        <f ca="1">AVERAGE(OFFSET($AM$3,0,0,'Données projet'!$E$10+1,1))-AVERAGE(OFFSET($H$3,0,0,'Données projet'!$E$10+1,1))</f>
        <v>331.52724290297675</v>
      </c>
      <c r="AO95" s="59">
        <f t="shared" si="90"/>
        <v>322.79102610158054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48.59603464347682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48.59603464347682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367.99999999999972</v>
      </c>
      <c r="BE95" s="13">
        <f>BD95*VLOOKUP('Données projet'!$B$11,Paramètres!$A$1:$I$89,3,0)*VLOOKUP('Données projet'!$B$11,Paramètres!$A$1:$I$89,5,0)</f>
        <v>246.8543999999998</v>
      </c>
      <c r="BF95" s="13">
        <f t="shared" si="91"/>
        <v>59.911862368716115</v>
      </c>
      <c r="BG95" s="20">
        <f t="shared" si="61"/>
        <v>534.28457362551353</v>
      </c>
      <c r="BH95" s="59">
        <f t="shared" si="62"/>
        <v>827.61790695884679</v>
      </c>
      <c r="BI95" s="59">
        <f ca="1">AVERAGE(OFFSET($BH$3,0,0,'Données projet'!$E$11+1,1))-AVERAGE(OFFSET($H$3,0,0,'Données projet'!$E$11+1,1))</f>
        <v>273.84349636755343</v>
      </c>
      <c r="BJ95" s="59">
        <f t="shared" si="92"/>
        <v>268.10688874775451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40.97312724842164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40.97312724842164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852.00000000000011</v>
      </c>
      <c r="O96" s="13">
        <f>N96*VLOOKUP('Données projet'!$B$9,Paramètres!$A$1:$I$89,3,0)*VLOOKUP('Données projet'!$B$9,Paramètres!$A$1:$I$89,5,0)</f>
        <v>420.88800000000009</v>
      </c>
      <c r="P96" s="13">
        <f t="shared" si="87"/>
        <v>95.998759891259041</v>
      </c>
      <c r="Q96" s="20">
        <f t="shared" si="54"/>
        <v>900.24444014394294</v>
      </c>
      <c r="R96" s="59">
        <f t="shared" si="55"/>
        <v>1193.5777734772762</v>
      </c>
      <c r="S96" s="59">
        <f ca="1">AVERAGE(OFFSET($R$3,0,0,'Données projet'!$E$9+1,1))-AVERAGE(OFFSET($H$3,0,0,'Données projet'!$E$9+1,1))</f>
        <v>434.08297999735811</v>
      </c>
      <c r="T96" s="59">
        <f t="shared" si="88"/>
        <v>371.04090283546122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122.92207859073419</v>
      </c>
      <c r="AA96" s="21">
        <f>EXP(-LN(2)/25)*AA95+(1-EXP(-LN(2)/25))/(LN(2)/25)*Calculateur!V96*Calculateur!X96*VLOOKUP('Données projet'!$B$9,Paramètres!$A$1:$I$89,3,0)*0.475*44/12</f>
        <v>9.0150725272831345</v>
      </c>
      <c r="AB96" s="21">
        <f>EXP(-LN(2)/2)*AB95+(1-EXP(-LN(2)/2))/(LN(2)/2)*V96*Y96*VLOOKUP('Données projet'!$B$9,Paramètres!$A$1:$I$89,3,0)*0.475*44/12</f>
        <v>2.4747771757288627E-10</v>
      </c>
      <c r="AC96" s="22">
        <f t="shared" si="57"/>
        <v>131.93715111826478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367.99999999999972</v>
      </c>
      <c r="AJ96" s="13">
        <f>AI96*VLOOKUP('Données projet'!$B$10,Paramètres!$A$1:$I$89,3,0)*VLOOKUP('Données projet'!$B$10,Paramètres!$A$1:$I$89,5,0)</f>
        <v>292.78079999999977</v>
      </c>
      <c r="AK96" s="13">
        <f t="shared" si="89"/>
        <v>69.660903052386217</v>
      </c>
      <c r="AL96" s="20">
        <f t="shared" si="58"/>
        <v>631.25263281623893</v>
      </c>
      <c r="AM96" s="59">
        <f t="shared" si="59"/>
        <v>924.58596614957219</v>
      </c>
      <c r="AN96" s="59">
        <f ca="1">AVERAGE(OFFSET($AM$3,0,0,'Données projet'!$E$10+1,1))-AVERAGE(OFFSET($H$3,0,0,'Données projet'!$E$10+1,1))</f>
        <v>331.52724290297675</v>
      </c>
      <c r="AO96" s="59">
        <f t="shared" si="90"/>
        <v>322.79102610158054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47.643096044772598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47.643096044772598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367.99999999999972</v>
      </c>
      <c r="BE96" s="13">
        <f>BD96*VLOOKUP('Données projet'!$B$11,Paramètres!$A$1:$I$89,3,0)*VLOOKUP('Données projet'!$B$11,Paramètres!$A$1:$I$89,5,0)</f>
        <v>246.8543999999998</v>
      </c>
      <c r="BF96" s="13">
        <f t="shared" si="91"/>
        <v>59.911862368716115</v>
      </c>
      <c r="BG96" s="20">
        <f t="shared" si="61"/>
        <v>534.28457362551353</v>
      </c>
      <c r="BH96" s="59">
        <f t="shared" si="62"/>
        <v>827.61790695884679</v>
      </c>
      <c r="BI96" s="59">
        <f ca="1">AVERAGE(OFFSET($BH$3,0,0,'Données projet'!$E$11+1,1))-AVERAGE(OFFSET($H$3,0,0,'Données projet'!$E$11+1,1))</f>
        <v>273.84349636755343</v>
      </c>
      <c r="BJ96" s="59">
        <f t="shared" si="92"/>
        <v>268.10688874775451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40.169669214220043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40.169669214220043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852.00000000000011</v>
      </c>
      <c r="O97" s="13">
        <f>N97*VLOOKUP('Données projet'!$B$9,Paramètres!$A$1:$I$89,3,0)*VLOOKUP('Données projet'!$B$9,Paramètres!$A$1:$I$89,5,0)</f>
        <v>420.88800000000009</v>
      </c>
      <c r="P97" s="13">
        <f t="shared" si="87"/>
        <v>95.998759891259041</v>
      </c>
      <c r="Q97" s="20">
        <f t="shared" si="54"/>
        <v>900.24444014394294</v>
      </c>
      <c r="R97" s="59">
        <f t="shared" si="55"/>
        <v>1193.5777734772762</v>
      </c>
      <c r="S97" s="59">
        <f ca="1">AVERAGE(OFFSET($R$3,0,0,'Données projet'!$E$9+1,1))-AVERAGE(OFFSET($H$3,0,0,'Données projet'!$E$9+1,1))</f>
        <v>434.08297999735811</v>
      </c>
      <c r="T97" s="59">
        <f t="shared" si="88"/>
        <v>371.04090283546122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120.51165160463466</v>
      </c>
      <c r="AA97" s="21">
        <f>EXP(-LN(2)/25)*AA96+(1-EXP(-LN(2)/25))/(LN(2)/25)*Calculateur!V97*Calculateur!X97*VLOOKUP('Données projet'!$B$9,Paramètres!$A$1:$I$89,3,0)*0.475*44/12</f>
        <v>8.7685548949425165</v>
      </c>
      <c r="AB97" s="21">
        <f>EXP(-LN(2)/2)*AB96+(1-EXP(-LN(2)/2))/(LN(2)/2)*V97*Y97*VLOOKUP('Données projet'!$B$9,Paramètres!$A$1:$I$89,3,0)*0.475*44/12</f>
        <v>1.749931722883571E-10</v>
      </c>
      <c r="AC97" s="22">
        <f t="shared" si="57"/>
        <v>129.28020649975218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367.99999999999972</v>
      </c>
      <c r="AJ97" s="13">
        <f>AI97*VLOOKUP('Données projet'!$B$10,Paramètres!$A$1:$I$89,3,0)*VLOOKUP('Données projet'!$B$10,Paramètres!$A$1:$I$89,5,0)</f>
        <v>292.78079999999977</v>
      </c>
      <c r="AK97" s="13">
        <f t="shared" si="89"/>
        <v>69.660903052386217</v>
      </c>
      <c r="AL97" s="20">
        <f t="shared" si="58"/>
        <v>631.25263281623893</v>
      </c>
      <c r="AM97" s="59">
        <f t="shared" si="59"/>
        <v>924.58596614957219</v>
      </c>
      <c r="AN97" s="59">
        <f ca="1">AVERAGE(OFFSET($AM$3,0,0,'Données projet'!$E$10+1,1))-AVERAGE(OFFSET($H$3,0,0,'Données projet'!$E$10+1,1))</f>
        <v>331.52724290297675</v>
      </c>
      <c r="AO97" s="59">
        <f t="shared" si="90"/>
        <v>322.79102610158054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46.708843990753813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46.708843990753813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367.99999999999972</v>
      </c>
      <c r="BE97" s="13">
        <f>BD97*VLOOKUP('Données projet'!$B$11,Paramètres!$A$1:$I$89,3,0)*VLOOKUP('Données projet'!$B$11,Paramètres!$A$1:$I$89,5,0)</f>
        <v>246.8543999999998</v>
      </c>
      <c r="BF97" s="13">
        <f t="shared" si="91"/>
        <v>59.911862368716115</v>
      </c>
      <c r="BG97" s="20">
        <f t="shared" si="61"/>
        <v>534.28457362551353</v>
      </c>
      <c r="BH97" s="59">
        <f t="shared" si="62"/>
        <v>827.61790695884679</v>
      </c>
      <c r="BI97" s="59">
        <f ca="1">AVERAGE(OFFSET($BH$3,0,0,'Données projet'!$E$11+1,1))-AVERAGE(OFFSET($H$3,0,0,'Données projet'!$E$11+1,1))</f>
        <v>273.84349636755343</v>
      </c>
      <c r="BJ97" s="59">
        <f t="shared" si="92"/>
        <v>268.10688874775451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39.381966502008126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39.381966502008126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852.00000000000011</v>
      </c>
      <c r="O98" s="13">
        <f>N98*VLOOKUP('Données projet'!$B$9,Paramètres!$A$1:$I$89,3,0)*VLOOKUP('Données projet'!$B$9,Paramètres!$A$1:$I$89,5,0)</f>
        <v>420.88800000000009</v>
      </c>
      <c r="P98" s="13">
        <f t="shared" si="87"/>
        <v>95.998759891259041</v>
      </c>
      <c r="Q98" s="20">
        <f t="shared" si="54"/>
        <v>900.24444014394294</v>
      </c>
      <c r="R98" s="59">
        <f t="shared" si="55"/>
        <v>1193.5777734772762</v>
      </c>
      <c r="S98" s="59">
        <f ca="1">AVERAGE(OFFSET($R$3,0,0,'Données projet'!$E$9+1,1))-AVERAGE(OFFSET($H$3,0,0,'Données projet'!$E$9+1,1))</f>
        <v>434.08297999735811</v>
      </c>
      <c r="T98" s="59">
        <f t="shared" si="88"/>
        <v>371.04090283546122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118.14849162151725</v>
      </c>
      <c r="AA98" s="21">
        <f>EXP(-LN(2)/25)*AA97+(1-EXP(-LN(2)/25))/(LN(2)/25)*Calculateur!V98*Calculateur!X98*VLOOKUP('Données projet'!$B$9,Paramètres!$A$1:$I$89,3,0)*0.475*44/12</f>
        <v>8.5287783002220525</v>
      </c>
      <c r="AB98" s="21">
        <f>EXP(-LN(2)/2)*AB97+(1-EXP(-LN(2)/2))/(LN(2)/2)*V98*Y98*VLOOKUP('Données projet'!$B$9,Paramètres!$A$1:$I$89,3,0)*0.475*44/12</f>
        <v>1.2373885878644313E-10</v>
      </c>
      <c r="AC98" s="22">
        <f t="shared" si="57"/>
        <v>126.67726992186304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367.99999999999972</v>
      </c>
      <c r="AJ98" s="13">
        <f>AI98*VLOOKUP('Données projet'!$B$10,Paramètres!$A$1:$I$89,3,0)*VLOOKUP('Données projet'!$B$10,Paramètres!$A$1:$I$89,5,0)</f>
        <v>292.78079999999977</v>
      </c>
      <c r="AK98" s="13">
        <f t="shared" si="89"/>
        <v>69.660903052386217</v>
      </c>
      <c r="AL98" s="20">
        <f t="shared" si="58"/>
        <v>631.25263281623893</v>
      </c>
      <c r="AM98" s="59">
        <f t="shared" si="59"/>
        <v>924.58596614957219</v>
      </c>
      <c r="AN98" s="59">
        <f ca="1">AVERAGE(OFFSET($AM$3,0,0,'Données projet'!$E$10+1,1))-AVERAGE(OFFSET($H$3,0,0,'Données projet'!$E$10+1,1))</f>
        <v>331.52724290297675</v>
      </c>
      <c r="AO98" s="59">
        <f t="shared" si="90"/>
        <v>322.79102610158054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45.79291204967685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45.79291204967685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367.99999999999972</v>
      </c>
      <c r="BE98" s="13">
        <f>BD98*VLOOKUP('Données projet'!$B$11,Paramètres!$A$1:$I$89,3,0)*VLOOKUP('Données projet'!$B$11,Paramètres!$A$1:$I$89,5,0)</f>
        <v>246.8543999999998</v>
      </c>
      <c r="BF98" s="13">
        <f t="shared" si="91"/>
        <v>59.911862368716115</v>
      </c>
      <c r="BG98" s="20">
        <f t="shared" si="61"/>
        <v>534.28457362551353</v>
      </c>
      <c r="BH98" s="59">
        <f t="shared" si="62"/>
        <v>827.61790695884679</v>
      </c>
      <c r="BI98" s="59">
        <f ca="1">AVERAGE(OFFSET($BH$3,0,0,'Données projet'!$E$11+1,1))-AVERAGE(OFFSET($H$3,0,0,'Données projet'!$E$11+1,1))</f>
        <v>273.84349636755343</v>
      </c>
      <c r="BJ98" s="59">
        <f t="shared" si="92"/>
        <v>268.10688874775451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38.609710159531474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38.609710159531474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852.00000000000011</v>
      </c>
      <c r="O99" s="13">
        <f>N99*VLOOKUP('Données projet'!$B$9,Paramètres!$A$1:$I$89,3,0)*VLOOKUP('Données projet'!$B$9,Paramètres!$A$1:$I$89,5,0)</f>
        <v>420.88800000000009</v>
      </c>
      <c r="P99" s="13">
        <f t="shared" si="87"/>
        <v>95.998759891259041</v>
      </c>
      <c r="Q99" s="20">
        <f t="shared" ref="Q99:Q130" si="107">(O99+P99)*0.475*44/12</f>
        <v>900.24444014394294</v>
      </c>
      <c r="R99" s="59">
        <f t="shared" si="55"/>
        <v>1193.5777734772762</v>
      </c>
      <c r="S99" s="59">
        <f ca="1">AVERAGE(OFFSET($R$3,0,0,'Données projet'!$E$9+1,1))-AVERAGE(OFFSET($H$3,0,0,'Données projet'!$E$9+1,1))</f>
        <v>434.08297999735811</v>
      </c>
      <c r="T99" s="59">
        <f t="shared" si="88"/>
        <v>371.04090283546122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115.83167176428351</v>
      </c>
      <c r="AA99" s="21">
        <f>EXP(-LN(2)/25)*AA98+(1-EXP(-LN(2)/25))/(LN(2)/25)*Calculateur!V99*Calculateur!X99*VLOOKUP('Données projet'!$B$9,Paramètres!$A$1:$I$89,3,0)*0.475*44/12</f>
        <v>8.2955584090935233</v>
      </c>
      <c r="AB99" s="21">
        <f>EXP(-LN(2)/2)*AB98+(1-EXP(-LN(2)/2))/(LN(2)/2)*V99*Y99*VLOOKUP('Données projet'!$B$9,Paramètres!$A$1:$I$89,3,0)*0.475*44/12</f>
        <v>8.7496586144178552E-11</v>
      </c>
      <c r="AC99" s="22">
        <f t="shared" si="57"/>
        <v>124.12723017346453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367.99999999999972</v>
      </c>
      <c r="AJ99" s="13">
        <f>AI99*VLOOKUP('Données projet'!$B$10,Paramètres!$A$1:$I$89,3,0)*VLOOKUP('Données projet'!$B$10,Paramètres!$A$1:$I$89,5,0)</f>
        <v>292.78079999999977</v>
      </c>
      <c r="AK99" s="13">
        <f t="shared" si="89"/>
        <v>69.660903052386217</v>
      </c>
      <c r="AL99" s="20">
        <f t="shared" si="58"/>
        <v>631.25263281623893</v>
      </c>
      <c r="AM99" s="59">
        <f t="shared" si="59"/>
        <v>924.58596614957219</v>
      </c>
      <c r="AN99" s="59">
        <f ca="1">AVERAGE(OFFSET($AM$3,0,0,'Données projet'!$E$10+1,1))-AVERAGE(OFFSET($H$3,0,0,'Données projet'!$E$10+1,1))</f>
        <v>331.52724290297675</v>
      </c>
      <c r="AO99" s="59">
        <f t="shared" si="90"/>
        <v>322.79102610158054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44.89494097530109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44.89494097530109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367.99999999999972</v>
      </c>
      <c r="BE99" s="13">
        <f>BD99*VLOOKUP('Données projet'!$B$11,Paramètres!$A$1:$I$89,3,0)*VLOOKUP('Données projet'!$B$11,Paramètres!$A$1:$I$89,5,0)</f>
        <v>246.8543999999998</v>
      </c>
      <c r="BF99" s="13">
        <f t="shared" si="91"/>
        <v>59.911862368716115</v>
      </c>
      <c r="BG99" s="20">
        <f t="shared" si="61"/>
        <v>534.28457362551353</v>
      </c>
      <c r="BH99" s="59">
        <f t="shared" si="62"/>
        <v>827.61790695884679</v>
      </c>
      <c r="BI99" s="59">
        <f ca="1">AVERAGE(OFFSET($BH$3,0,0,'Données projet'!$E$11+1,1))-AVERAGE(OFFSET($H$3,0,0,'Données projet'!$E$11+1,1))</f>
        <v>273.84349636755343</v>
      </c>
      <c r="BJ99" s="59">
        <f t="shared" si="92"/>
        <v>268.10688874775451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37.852597292900931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37.852597292900931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852.00000000000011</v>
      </c>
      <c r="O100" s="13">
        <f>N100*VLOOKUP('Données projet'!$B$9,Paramètres!$A$1:$I$89,3,0)*VLOOKUP('Données projet'!$B$9,Paramètres!$A$1:$I$89,5,0)</f>
        <v>420.88800000000009</v>
      </c>
      <c r="P100" s="13">
        <f t="shared" si="87"/>
        <v>95.998759891259041</v>
      </c>
      <c r="Q100" s="20">
        <f t="shared" si="107"/>
        <v>900.24444014394294</v>
      </c>
      <c r="R100" s="59">
        <f t="shared" si="55"/>
        <v>1193.5777734772762</v>
      </c>
      <c r="S100" s="59">
        <f ca="1">AVERAGE(OFFSET($R$3,0,0,'Données projet'!$E$9+1,1))-AVERAGE(OFFSET($H$3,0,0,'Données projet'!$E$9+1,1))</f>
        <v>434.08297999735811</v>
      </c>
      <c r="T100" s="59">
        <f t="shared" si="88"/>
        <v>371.04090283546122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113.56028333132954</v>
      </c>
      <c r="AA100" s="21">
        <f>EXP(-LN(2)/25)*AA99+(1-EXP(-LN(2)/25))/(LN(2)/25)*Calculateur!V100*Calculateur!X100*VLOOKUP('Données projet'!$B$9,Paramètres!$A$1:$I$89,3,0)*0.475*44/12</f>
        <v>8.0687159281524039</v>
      </c>
      <c r="AB100" s="21">
        <f>EXP(-LN(2)/2)*AB99+(1-EXP(-LN(2)/2))/(LN(2)/2)*V100*Y100*VLOOKUP('Données projet'!$B$9,Paramètres!$A$1:$I$89,3,0)*0.475*44/12</f>
        <v>6.1869429393221567E-11</v>
      </c>
      <c r="AC100" s="22">
        <f t="shared" si="57"/>
        <v>121.62899925954382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367.99999999999972</v>
      </c>
      <c r="AJ100" s="13">
        <f>AI100*VLOOKUP('Données projet'!$B$10,Paramètres!$A$1:$I$89,3,0)*VLOOKUP('Données projet'!$B$10,Paramètres!$A$1:$I$89,5,0)</f>
        <v>292.78079999999977</v>
      </c>
      <c r="AK100" s="13">
        <f t="shared" si="89"/>
        <v>69.660903052386217</v>
      </c>
      <c r="AL100" s="20">
        <f t="shared" si="58"/>
        <v>631.25263281623893</v>
      </c>
      <c r="AM100" s="59">
        <f t="shared" si="59"/>
        <v>924.58596614957219</v>
      </c>
      <c r="AN100" s="59">
        <f ca="1">AVERAGE(OFFSET($AM$3,0,0,'Données projet'!$E$10+1,1))-AVERAGE(OFFSET($H$3,0,0,'Données projet'!$E$10+1,1))</f>
        <v>331.52724290297675</v>
      </c>
      <c r="AO100" s="59">
        <f t="shared" si="90"/>
        <v>322.79102610158054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44.014578565985566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44.014578565985566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367.99999999999972</v>
      </c>
      <c r="BE100" s="13">
        <f>BD100*VLOOKUP('Données projet'!$B$11,Paramètres!$A$1:$I$89,3,0)*VLOOKUP('Données projet'!$B$11,Paramètres!$A$1:$I$89,5,0)</f>
        <v>246.8543999999998</v>
      </c>
      <c r="BF100" s="13">
        <f t="shared" si="91"/>
        <v>59.911862368716115</v>
      </c>
      <c r="BG100" s="20">
        <f t="shared" si="61"/>
        <v>534.28457362551353</v>
      </c>
      <c r="BH100" s="59">
        <f t="shared" si="62"/>
        <v>827.61790695884679</v>
      </c>
      <c r="BI100" s="59">
        <f ca="1">AVERAGE(OFFSET($BH$3,0,0,'Données projet'!$E$11+1,1))-AVERAGE(OFFSET($H$3,0,0,'Données projet'!$E$11+1,1))</f>
        <v>273.84349636755343</v>
      </c>
      <c r="BJ100" s="59">
        <f t="shared" si="92"/>
        <v>268.10688874775451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37.110330947791759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37.110330947791759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852.00000000000011</v>
      </c>
      <c r="O101" s="13">
        <f>N101*VLOOKUP('Données projet'!$B$9,Paramètres!$A$1:$I$89,3,0)*VLOOKUP('Données projet'!$B$9,Paramètres!$A$1:$I$89,5,0)</f>
        <v>420.88800000000009</v>
      </c>
      <c r="P101" s="13">
        <f t="shared" si="87"/>
        <v>95.998759891259041</v>
      </c>
      <c r="Q101" s="20">
        <f t="shared" si="107"/>
        <v>900.24444014394294</v>
      </c>
      <c r="R101" s="59">
        <f t="shared" si="55"/>
        <v>1193.5777734772762</v>
      </c>
      <c r="S101" s="59">
        <f ca="1">AVERAGE(OFFSET($R$3,0,0,'Données projet'!$E$9+1,1))-AVERAGE(OFFSET($H$3,0,0,'Données projet'!$E$9+1,1))</f>
        <v>434.08297999735811</v>
      </c>
      <c r="T101" s="59">
        <f t="shared" si="88"/>
        <v>371.04090283546122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111.33343544013566</v>
      </c>
      <c r="AA101" s="21">
        <f>EXP(-LN(2)/25)*AA100+(1-EXP(-LN(2)/25))/(LN(2)/25)*Calculateur!V101*Calculateur!X101*VLOOKUP('Données projet'!$B$9,Paramètres!$A$1:$I$89,3,0)*0.475*44/12</f>
        <v>7.8480764667817473</v>
      </c>
      <c r="AB101" s="21">
        <f>EXP(-LN(2)/2)*AB100+(1-EXP(-LN(2)/2))/(LN(2)/2)*V101*Y101*VLOOKUP('Données projet'!$B$9,Paramètres!$A$1:$I$89,3,0)*0.475*44/12</f>
        <v>4.3748293072089276E-11</v>
      </c>
      <c r="AC101" s="22">
        <f t="shared" si="57"/>
        <v>119.18151190696116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367.99999999999972</v>
      </c>
      <c r="AJ101" s="13">
        <f>AI101*VLOOKUP('Données projet'!$B$10,Paramètres!$A$1:$I$89,3,0)*VLOOKUP('Données projet'!$B$10,Paramètres!$A$1:$I$89,5,0)</f>
        <v>292.78079999999977</v>
      </c>
      <c r="AK101" s="13">
        <f t="shared" si="89"/>
        <v>69.660903052386217</v>
      </c>
      <c r="AL101" s="20">
        <f t="shared" si="58"/>
        <v>631.25263281623893</v>
      </c>
      <c r="AM101" s="59">
        <f t="shared" si="59"/>
        <v>924.58596614957219</v>
      </c>
      <c r="AN101" s="59">
        <f ca="1">AVERAGE(OFFSET($AM$3,0,0,'Données projet'!$E$10+1,1))-AVERAGE(OFFSET($H$3,0,0,'Données projet'!$E$10+1,1))</f>
        <v>331.52724290297675</v>
      </c>
      <c r="AO101" s="59">
        <f t="shared" si="90"/>
        <v>322.79102610158054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43.15147952654867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43.15147952654867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367.99999999999972</v>
      </c>
      <c r="BE101" s="13">
        <f>BD101*VLOOKUP('Données projet'!$B$11,Paramètres!$A$1:$I$89,3,0)*VLOOKUP('Données projet'!$B$11,Paramètres!$A$1:$I$89,5,0)</f>
        <v>246.8543999999998</v>
      </c>
      <c r="BF101" s="13">
        <f t="shared" si="91"/>
        <v>59.911862368716115</v>
      </c>
      <c r="BG101" s="20">
        <f t="shared" si="61"/>
        <v>534.28457362551353</v>
      </c>
      <c r="BH101" s="59">
        <f t="shared" si="62"/>
        <v>827.61790695884679</v>
      </c>
      <c r="BI101" s="59">
        <f ca="1">AVERAGE(OFFSET($BH$3,0,0,'Données projet'!$E$11+1,1))-AVERAGE(OFFSET($H$3,0,0,'Données projet'!$E$11+1,1))</f>
        <v>273.84349636755343</v>
      </c>
      <c r="BJ101" s="59">
        <f t="shared" si="92"/>
        <v>268.10688874775451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36.382619992972415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36.382619992972415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852.00000000000011</v>
      </c>
      <c r="O102" s="13">
        <f>N102*VLOOKUP('Données projet'!$B$9,Paramètres!$A$1:$I$89,3,0)*VLOOKUP('Données projet'!$B$9,Paramètres!$A$1:$I$89,5,0)</f>
        <v>420.88800000000009</v>
      </c>
      <c r="P102" s="13">
        <f t="shared" si="87"/>
        <v>95.998759891259041</v>
      </c>
      <c r="Q102" s="20">
        <f t="shared" si="107"/>
        <v>900.24444014394294</v>
      </c>
      <c r="R102" s="59">
        <f t="shared" si="55"/>
        <v>1193.5777734772762</v>
      </c>
      <c r="S102" s="59">
        <f ca="1">AVERAGE(OFFSET($R$3,0,0,'Données projet'!$E$9+1,1))-AVERAGE(OFFSET($H$3,0,0,'Données projet'!$E$9+1,1))</f>
        <v>434.08297999735811</v>
      </c>
      <c r="T102" s="59">
        <f t="shared" si="88"/>
        <v>371.04090283546122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109.15025467784498</v>
      </c>
      <c r="AA102" s="21">
        <f>EXP(-LN(2)/25)*AA101+(1-EXP(-LN(2)/25))/(LN(2)/25)*Calculateur!V102*Calculateur!X102*VLOOKUP('Données projet'!$B$9,Paramètres!$A$1:$I$89,3,0)*0.475*44/12</f>
        <v>7.6334704030851963</v>
      </c>
      <c r="AB102" s="21">
        <f>EXP(-LN(2)/2)*AB101+(1-EXP(-LN(2)/2))/(LN(2)/2)*V102*Y102*VLOOKUP('Données projet'!$B$9,Paramètres!$A$1:$I$89,3,0)*0.475*44/12</f>
        <v>3.0934714696610784E-11</v>
      </c>
      <c r="AC102" s="22">
        <f t="shared" si="57"/>
        <v>116.78372508096112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367.99999999999972</v>
      </c>
      <c r="AJ102" s="13">
        <f>AI102*VLOOKUP('Données projet'!$B$10,Paramètres!$A$1:$I$89,3,0)*VLOOKUP('Données projet'!$B$10,Paramètres!$A$1:$I$89,5,0)</f>
        <v>292.78079999999977</v>
      </c>
      <c r="AK102" s="13">
        <f t="shared" si="89"/>
        <v>69.660903052386217</v>
      </c>
      <c r="AL102" s="20">
        <f t="shared" si="58"/>
        <v>631.25263281623893</v>
      </c>
      <c r="AM102" s="59">
        <f t="shared" si="59"/>
        <v>924.58596614957219</v>
      </c>
      <c r="AN102" s="59">
        <f ca="1">AVERAGE(OFFSET($AM$3,0,0,'Données projet'!$E$10+1,1))-AVERAGE(OFFSET($H$3,0,0,'Données projet'!$E$10+1,1))</f>
        <v>331.52724290297675</v>
      </c>
      <c r="AO102" s="59">
        <f t="shared" si="90"/>
        <v>322.79102610158054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42.305305332836696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42.305305332836696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367.99999999999972</v>
      </c>
      <c r="BE102" s="13">
        <f>BD102*VLOOKUP('Données projet'!$B$11,Paramètres!$A$1:$I$89,3,0)*VLOOKUP('Données projet'!$B$11,Paramètres!$A$1:$I$89,5,0)</f>
        <v>246.8543999999998</v>
      </c>
      <c r="BF102" s="13">
        <f t="shared" si="91"/>
        <v>59.911862368716115</v>
      </c>
      <c r="BG102" s="20">
        <f t="shared" si="61"/>
        <v>534.28457362551353</v>
      </c>
      <c r="BH102" s="59">
        <f t="shared" si="62"/>
        <v>827.61790695884679</v>
      </c>
      <c r="BI102" s="59">
        <f ca="1">AVERAGE(OFFSET($BH$3,0,0,'Données projet'!$E$11+1,1))-AVERAGE(OFFSET($H$3,0,0,'Données projet'!$E$11+1,1))</f>
        <v>273.84349636755343</v>
      </c>
      <c r="BJ102" s="59">
        <f t="shared" si="92"/>
        <v>268.10688874775451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35.669179006117226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35.669179006117226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852.00000000000011</v>
      </c>
      <c r="O103" s="13">
        <f>N103*VLOOKUP('Données projet'!$B$9,Paramètres!$A$1:$I$89,3,0)*VLOOKUP('Données projet'!$B$9,Paramètres!$A$1:$I$89,5,0)</f>
        <v>420.88800000000009</v>
      </c>
      <c r="P103" s="13">
        <f t="shared" si="87"/>
        <v>95.998759891259041</v>
      </c>
      <c r="Q103" s="20">
        <f t="shared" si="107"/>
        <v>900.24444014394294</v>
      </c>
      <c r="R103" s="59">
        <f t="shared" si="55"/>
        <v>1193.5777734772762</v>
      </c>
      <c r="S103" s="59">
        <f ca="1">AVERAGE(OFFSET($R$3,0,0,'Données projet'!$E$9+1,1))-AVERAGE(OFFSET($H$3,0,0,'Données projet'!$E$9+1,1))</f>
        <v>434.08297999735811</v>
      </c>
      <c r="T103" s="59">
        <f t="shared" si="88"/>
        <v>371.04090283546122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107.00988475869406</v>
      </c>
      <c r="AA103" s="21">
        <f>EXP(-LN(2)/25)*AA102+(1-EXP(-LN(2)/25))/(LN(2)/25)*Calculateur!V103*Calculateur!X103*VLOOKUP('Données projet'!$B$9,Paramètres!$A$1:$I$89,3,0)*0.475*44/12</f>
        <v>7.4247327534860696</v>
      </c>
      <c r="AB103" s="21">
        <f>EXP(-LN(2)/2)*AB102+(1-EXP(-LN(2)/2))/(LN(2)/2)*V103*Y103*VLOOKUP('Données projet'!$B$9,Paramètres!$A$1:$I$89,3,0)*0.475*44/12</f>
        <v>2.1874146536044638E-11</v>
      </c>
      <c r="AC103" s="22">
        <f t="shared" si="57"/>
        <v>114.434617512202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367.99999999999972</v>
      </c>
      <c r="AJ103" s="13">
        <f>AI103*VLOOKUP('Données projet'!$B$10,Paramètres!$A$1:$I$89,3,0)*VLOOKUP('Données projet'!$B$10,Paramètres!$A$1:$I$89,5,0)</f>
        <v>292.78079999999977</v>
      </c>
      <c r="AK103" s="13">
        <f t="shared" si="89"/>
        <v>69.660903052386217</v>
      </c>
      <c r="AL103" s="20">
        <f t="shared" si="58"/>
        <v>631.25263281623893</v>
      </c>
      <c r="AM103" s="59">
        <f t="shared" si="59"/>
        <v>924.58596614957219</v>
      </c>
      <c r="AN103" s="59">
        <f ca="1">AVERAGE(OFFSET($AM$3,0,0,'Données projet'!$E$10+1,1))-AVERAGE(OFFSET($H$3,0,0,'Données projet'!$E$10+1,1))</f>
        <v>331.52724290297675</v>
      </c>
      <c r="AO103" s="59">
        <f t="shared" si="90"/>
        <v>322.79102610158054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41.47572409894812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41.47572409894812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367.99999999999972</v>
      </c>
      <c r="BE103" s="13">
        <f>BD103*VLOOKUP('Données projet'!$B$11,Paramètres!$A$1:$I$89,3,0)*VLOOKUP('Données projet'!$B$11,Paramètres!$A$1:$I$89,5,0)</f>
        <v>246.8543999999998</v>
      </c>
      <c r="BF103" s="13">
        <f t="shared" si="91"/>
        <v>59.911862368716115</v>
      </c>
      <c r="BG103" s="20">
        <f t="shared" si="61"/>
        <v>534.28457362551353</v>
      </c>
      <c r="BH103" s="59">
        <f t="shared" si="62"/>
        <v>827.61790695884679</v>
      </c>
      <c r="BI103" s="59">
        <f ca="1">AVERAGE(OFFSET($BH$3,0,0,'Données projet'!$E$11+1,1))-AVERAGE(OFFSET($H$3,0,0,'Données projet'!$E$11+1,1))</f>
        <v>273.84349636755343</v>
      </c>
      <c r="BJ103" s="59">
        <f t="shared" si="92"/>
        <v>268.10688874775451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34.969728161858228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34.969728161858228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852.00000000000011</v>
      </c>
      <c r="O104" s="13">
        <f>N104*VLOOKUP('Données projet'!$B$9,Paramètres!$A$1:$I$89,3,0)*VLOOKUP('Données projet'!$B$9,Paramètres!$A$1:$I$89,5,0)</f>
        <v>420.88800000000009</v>
      </c>
      <c r="P104" s="13">
        <f t="shared" si="87"/>
        <v>95.998759891259041</v>
      </c>
      <c r="Q104" s="20">
        <f t="shared" si="107"/>
        <v>900.24444014394294</v>
      </c>
      <c r="R104" s="59">
        <f t="shared" si="55"/>
        <v>1193.5777734772762</v>
      </c>
      <c r="S104" s="59">
        <f ca="1">AVERAGE(OFFSET($R$3,0,0,'Données projet'!$E$9+1,1))-AVERAGE(OFFSET($H$3,0,0,'Données projet'!$E$9+1,1))</f>
        <v>434.08297999735811</v>
      </c>
      <c r="T104" s="59">
        <f t="shared" si="88"/>
        <v>371.04090283546122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104.91148618816094</v>
      </c>
      <c r="AA104" s="21">
        <f>EXP(-LN(2)/25)*AA103+(1-EXP(-LN(2)/25))/(LN(2)/25)*Calculateur!V104*Calculateur!X104*VLOOKUP('Données projet'!$B$9,Paramètres!$A$1:$I$89,3,0)*0.475*44/12</f>
        <v>7.2217030458922666</v>
      </c>
      <c r="AB104" s="21">
        <f>EXP(-LN(2)/2)*AB103+(1-EXP(-LN(2)/2))/(LN(2)/2)*V104*Y104*VLOOKUP('Données projet'!$B$9,Paramètres!$A$1:$I$89,3,0)*0.475*44/12</f>
        <v>1.5467357348305392E-11</v>
      </c>
      <c r="AC104" s="22">
        <f t="shared" si="57"/>
        <v>112.13318923406867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367.99999999999972</v>
      </c>
      <c r="AJ104" s="13">
        <f>AI104*VLOOKUP('Données projet'!$B$10,Paramètres!$A$1:$I$89,3,0)*VLOOKUP('Données projet'!$B$10,Paramètres!$A$1:$I$89,5,0)</f>
        <v>292.78079999999977</v>
      </c>
      <c r="AK104" s="13">
        <f t="shared" si="89"/>
        <v>69.660903052386217</v>
      </c>
      <c r="AL104" s="20">
        <f t="shared" si="58"/>
        <v>631.25263281623893</v>
      </c>
      <c r="AM104" s="59">
        <f t="shared" si="59"/>
        <v>924.58596614957219</v>
      </c>
      <c r="AN104" s="59">
        <f ca="1">AVERAGE(OFFSET($AM$3,0,0,'Données projet'!$E$10+1,1))-AVERAGE(OFFSET($H$3,0,0,'Données projet'!$E$10+1,1))</f>
        <v>331.52724290297675</v>
      </c>
      <c r="AO104" s="59">
        <f t="shared" si="90"/>
        <v>322.79102610158054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40.662410447061511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40.662410447061511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367.99999999999972</v>
      </c>
      <c r="BE104" s="13">
        <f>BD104*VLOOKUP('Données projet'!$B$11,Paramètres!$A$1:$I$89,3,0)*VLOOKUP('Données projet'!$B$11,Paramètres!$A$1:$I$89,5,0)</f>
        <v>246.8543999999998</v>
      </c>
      <c r="BF104" s="13">
        <f t="shared" si="91"/>
        <v>59.911862368716115</v>
      </c>
      <c r="BG104" s="20">
        <f t="shared" si="61"/>
        <v>534.28457362551353</v>
      </c>
      <c r="BH104" s="59">
        <f t="shared" si="62"/>
        <v>827.61790695884679</v>
      </c>
      <c r="BI104" s="59">
        <f ca="1">AVERAGE(OFFSET($BH$3,0,0,'Données projet'!$E$11+1,1))-AVERAGE(OFFSET($H$3,0,0,'Données projet'!$E$11+1,1))</f>
        <v>273.84349636755343</v>
      </c>
      <c r="BJ104" s="59">
        <f t="shared" si="92"/>
        <v>268.10688874775451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34.283993122032264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34.283993122032264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852.00000000000011</v>
      </c>
      <c r="O105" s="13">
        <f>N105*VLOOKUP('Données projet'!$B$9,Paramètres!$A$1:$I$89,3,0)*VLOOKUP('Données projet'!$B$9,Paramètres!$A$1:$I$89,5,0)</f>
        <v>420.88800000000009</v>
      </c>
      <c r="P105" s="13">
        <f t="shared" si="87"/>
        <v>95.998759891259041</v>
      </c>
      <c r="Q105" s="20">
        <f t="shared" si="107"/>
        <v>900.24444014394294</v>
      </c>
      <c r="R105" s="59">
        <f t="shared" si="55"/>
        <v>1193.5777734772762</v>
      </c>
      <c r="S105" s="59">
        <f ca="1">AVERAGE(OFFSET($R$3,0,0,'Données projet'!$E$9+1,1))-AVERAGE(OFFSET($H$3,0,0,'Données projet'!$E$9+1,1))</f>
        <v>434.08297999735811</v>
      </c>
      <c r="T105" s="59">
        <f t="shared" si="88"/>
        <v>371.04090283546122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102.85423593369921</v>
      </c>
      <c r="AA105" s="21">
        <f>EXP(-LN(2)/25)*AA104+(1-EXP(-LN(2)/25))/(LN(2)/25)*Calculateur!V105*Calculateur!X105*VLOOKUP('Données projet'!$B$9,Paramètres!$A$1:$I$89,3,0)*0.475*44/12</f>
        <v>7.0242251963294846</v>
      </c>
      <c r="AB105" s="21">
        <f>EXP(-LN(2)/2)*AB104+(1-EXP(-LN(2)/2))/(LN(2)/2)*V105*Y105*VLOOKUP('Données projet'!$B$9,Paramètres!$A$1:$I$89,3,0)*0.475*44/12</f>
        <v>1.0937073268022319E-11</v>
      </c>
      <c r="AC105" s="22">
        <f t="shared" si="57"/>
        <v>109.87846113003964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367.99999999999972</v>
      </c>
      <c r="AJ105" s="13">
        <f>AI105*VLOOKUP('Données projet'!$B$10,Paramètres!$A$1:$I$89,3,0)*VLOOKUP('Données projet'!$B$10,Paramètres!$A$1:$I$89,5,0)</f>
        <v>292.78079999999977</v>
      </c>
      <c r="AK105" s="13">
        <f t="shared" si="89"/>
        <v>69.660903052386217</v>
      </c>
      <c r="AL105" s="20">
        <f t="shared" si="58"/>
        <v>631.25263281623893</v>
      </c>
      <c r="AM105" s="59">
        <f t="shared" si="59"/>
        <v>924.58596614957219</v>
      </c>
      <c r="AN105" s="59">
        <f ca="1">AVERAGE(OFFSET($AM$3,0,0,'Données projet'!$E$10+1,1))-AVERAGE(OFFSET($H$3,0,0,'Données projet'!$E$10+1,1))</f>
        <v>331.52724290297675</v>
      </c>
      <c r="AO105" s="59">
        <f t="shared" si="90"/>
        <v>322.79102610158054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39.865045379816053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39.865045379816053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367.99999999999972</v>
      </c>
      <c r="BE105" s="13">
        <f>BD105*VLOOKUP('Données projet'!$B$11,Paramètres!$A$1:$I$89,3,0)*VLOOKUP('Données projet'!$B$11,Paramètres!$A$1:$I$89,5,0)</f>
        <v>246.8543999999998</v>
      </c>
      <c r="BF105" s="13">
        <f t="shared" si="91"/>
        <v>59.911862368716115</v>
      </c>
      <c r="BG105" s="20">
        <f t="shared" si="61"/>
        <v>534.28457362551353</v>
      </c>
      <c r="BH105" s="59">
        <f t="shared" si="62"/>
        <v>827.61790695884679</v>
      </c>
      <c r="BI105" s="59">
        <f ca="1">AVERAGE(OFFSET($BH$3,0,0,'Données projet'!$E$11+1,1))-AVERAGE(OFFSET($H$3,0,0,'Données projet'!$E$11+1,1))</f>
        <v>273.84349636755343</v>
      </c>
      <c r="BJ105" s="59">
        <f t="shared" si="92"/>
        <v>268.10688874775451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33.611704928080208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33.611704928080208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852.00000000000011</v>
      </c>
      <c r="O106" s="13">
        <f>N106*VLOOKUP('Données projet'!$B$9,Paramètres!$A$1:$I$89,3,0)*VLOOKUP('Données projet'!$B$9,Paramètres!$A$1:$I$89,5,0)</f>
        <v>420.88800000000009</v>
      </c>
      <c r="P106" s="13">
        <f t="shared" si="87"/>
        <v>95.998759891259041</v>
      </c>
      <c r="Q106" s="20">
        <f t="shared" si="107"/>
        <v>900.24444014394294</v>
      </c>
      <c r="R106" s="59">
        <f t="shared" si="55"/>
        <v>1193.5777734772762</v>
      </c>
      <c r="S106" s="59">
        <f ca="1">AVERAGE(OFFSET($R$3,0,0,'Données projet'!$E$9+1,1))-AVERAGE(OFFSET($H$3,0,0,'Données projet'!$E$9+1,1))</f>
        <v>434.08297999735811</v>
      </c>
      <c r="T106" s="59">
        <f t="shared" si="88"/>
        <v>371.04090283546122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100.83732710192874</v>
      </c>
      <c r="AA106" s="21">
        <f>EXP(-LN(2)/25)*AA105+(1-EXP(-LN(2)/25))/(LN(2)/25)*Calculateur!V106*Calculateur!X106*VLOOKUP('Données projet'!$B$9,Paramètres!$A$1:$I$89,3,0)*0.475*44/12</f>
        <v>6.8321473889479059</v>
      </c>
      <c r="AB106" s="21">
        <f>EXP(-LN(2)/2)*AB105+(1-EXP(-LN(2)/2))/(LN(2)/2)*V106*Y106*VLOOKUP('Données projet'!$B$9,Paramètres!$A$1:$I$89,3,0)*0.475*44/12</f>
        <v>7.7336786741526959E-12</v>
      </c>
      <c r="AC106" s="22">
        <f t="shared" si="57"/>
        <v>107.66947449088437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367.99999999999972</v>
      </c>
      <c r="AJ106" s="13">
        <f>AI106*VLOOKUP('Données projet'!$B$10,Paramètres!$A$1:$I$89,3,0)*VLOOKUP('Données projet'!$B$10,Paramètres!$A$1:$I$89,5,0)</f>
        <v>292.78079999999977</v>
      </c>
      <c r="AK106" s="13">
        <f t="shared" si="89"/>
        <v>69.660903052386217</v>
      </c>
      <c r="AL106" s="20">
        <f t="shared" si="58"/>
        <v>631.25263281623893</v>
      </c>
      <c r="AM106" s="59">
        <f t="shared" si="59"/>
        <v>924.58596614957219</v>
      </c>
      <c r="AN106" s="59">
        <f ca="1">AVERAGE(OFFSET($AM$3,0,0,'Données projet'!$E$10+1,1))-AVERAGE(OFFSET($H$3,0,0,'Données projet'!$E$10+1,1))</f>
        <v>331.52724290297675</v>
      </c>
      <c r="AO106" s="59">
        <f t="shared" si="90"/>
        <v>322.79102610158054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39.083316155194609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39.083316155194609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367.99999999999972</v>
      </c>
      <c r="BE106" s="13">
        <f>BD106*VLOOKUP('Données projet'!$B$11,Paramètres!$A$1:$I$89,3,0)*VLOOKUP('Données projet'!$B$11,Paramètres!$A$1:$I$89,5,0)</f>
        <v>246.8543999999998</v>
      </c>
      <c r="BF106" s="13">
        <f t="shared" si="91"/>
        <v>59.911862368716115</v>
      </c>
      <c r="BG106" s="20">
        <f t="shared" si="61"/>
        <v>534.28457362551353</v>
      </c>
      <c r="BH106" s="59">
        <f t="shared" si="62"/>
        <v>827.61790695884679</v>
      </c>
      <c r="BI106" s="59">
        <f ca="1">AVERAGE(OFFSET($BH$3,0,0,'Données projet'!$E$11+1,1))-AVERAGE(OFFSET($H$3,0,0,'Données projet'!$E$11+1,1))</f>
        <v>273.84349636755343</v>
      </c>
      <c r="BJ106" s="59">
        <f t="shared" si="92"/>
        <v>268.10688874775451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32.952599895556247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32.952599895556247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852.00000000000011</v>
      </c>
      <c r="O107" s="13">
        <f>N107*VLOOKUP('Données projet'!$B$9,Paramètres!$A$1:$I$89,3,0)*VLOOKUP('Données projet'!$B$9,Paramètres!$A$1:$I$89,5,0)</f>
        <v>420.88800000000009</v>
      </c>
      <c r="P107" s="13">
        <f t="shared" si="87"/>
        <v>95.998759891259041</v>
      </c>
      <c r="Q107" s="20">
        <f t="shared" si="107"/>
        <v>900.24444014394294</v>
      </c>
      <c r="R107" s="59">
        <f t="shared" si="55"/>
        <v>1193.5777734772762</v>
      </c>
      <c r="S107" s="59">
        <f ca="1">AVERAGE(OFFSET($R$3,0,0,'Données projet'!$E$9+1,1))-AVERAGE(OFFSET($H$3,0,0,'Données projet'!$E$9+1,1))</f>
        <v>434.08297999735811</v>
      </c>
      <c r="T107" s="59">
        <f t="shared" si="88"/>
        <v>371.04090283546122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98.859968622156359</v>
      </c>
      <c r="AA107" s="21">
        <f>EXP(-LN(2)/25)*AA106+(1-EXP(-LN(2)/25))/(LN(2)/25)*Calculateur!V107*Calculateur!X107*VLOOKUP('Données projet'!$B$9,Paramètres!$A$1:$I$89,3,0)*0.475*44/12</f>
        <v>6.6453219593101096</v>
      </c>
      <c r="AB107" s="21">
        <f>EXP(-LN(2)/2)*AB106+(1-EXP(-LN(2)/2))/(LN(2)/2)*V107*Y107*VLOOKUP('Données projet'!$B$9,Paramètres!$A$1:$I$89,3,0)*0.475*44/12</f>
        <v>5.4685366340111595E-12</v>
      </c>
      <c r="AC107" s="22">
        <f t="shared" si="57"/>
        <v>105.50529058147194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367.99999999999972</v>
      </c>
      <c r="AJ107" s="13">
        <f>AI107*VLOOKUP('Données projet'!$B$10,Paramètres!$A$1:$I$89,3,0)*VLOOKUP('Données projet'!$B$10,Paramètres!$A$1:$I$89,5,0)</f>
        <v>292.78079999999977</v>
      </c>
      <c r="AK107" s="13">
        <f t="shared" si="89"/>
        <v>69.660903052386217</v>
      </c>
      <c r="AL107" s="20">
        <f t="shared" si="58"/>
        <v>631.25263281623893</v>
      </c>
      <c r="AM107" s="59">
        <f t="shared" si="59"/>
        <v>924.58596614957219</v>
      </c>
      <c r="AN107" s="59">
        <f ca="1">AVERAGE(OFFSET($AM$3,0,0,'Données projet'!$E$10+1,1))-AVERAGE(OFFSET($H$3,0,0,'Données projet'!$E$10+1,1))</f>
        <v>331.52724290297675</v>
      </c>
      <c r="AO107" s="59">
        <f t="shared" si="90"/>
        <v>322.79102610158054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38.316916163860242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38.316916163860242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367.99999999999972</v>
      </c>
      <c r="BE107" s="13">
        <f>BD107*VLOOKUP('Données projet'!$B$11,Paramètres!$A$1:$I$89,3,0)*VLOOKUP('Données projet'!$B$11,Paramètres!$A$1:$I$89,5,0)</f>
        <v>246.8543999999998</v>
      </c>
      <c r="BF107" s="13">
        <f t="shared" si="91"/>
        <v>59.911862368716115</v>
      </c>
      <c r="BG107" s="20">
        <f t="shared" si="61"/>
        <v>534.28457362551353</v>
      </c>
      <c r="BH107" s="59">
        <f t="shared" si="62"/>
        <v>827.61790695884679</v>
      </c>
      <c r="BI107" s="59">
        <f ca="1">AVERAGE(OFFSET($BH$3,0,0,'Données projet'!$E$11+1,1))-AVERAGE(OFFSET($H$3,0,0,'Données projet'!$E$11+1,1))</f>
        <v>273.84349636755343</v>
      </c>
      <c r="BJ107" s="59">
        <f t="shared" si="92"/>
        <v>268.10688874775451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32.306419510705702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32.306419510705702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852.00000000000011</v>
      </c>
      <c r="O108" s="13">
        <f>N108*VLOOKUP('Données projet'!$B$9,Paramètres!$A$1:$I$89,3,0)*VLOOKUP('Données projet'!$B$9,Paramètres!$A$1:$I$89,5,0)</f>
        <v>420.88800000000009</v>
      </c>
      <c r="P108" s="13">
        <f t="shared" si="87"/>
        <v>95.998759891259041</v>
      </c>
      <c r="Q108" s="20">
        <f t="shared" si="107"/>
        <v>900.24444014394294</v>
      </c>
      <c r="R108" s="59">
        <f t="shared" si="55"/>
        <v>1193.5777734772762</v>
      </c>
      <c r="S108" s="59">
        <f ca="1">AVERAGE(OFFSET($R$3,0,0,'Données projet'!$E$9+1,1))-AVERAGE(OFFSET($H$3,0,0,'Données projet'!$E$9+1,1))</f>
        <v>434.08297999735811</v>
      </c>
      <c r="T108" s="59">
        <f t="shared" si="88"/>
        <v>371.04090283546122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96.92138493610274</v>
      </c>
      <c r="AA108" s="21">
        <f>EXP(-LN(2)/25)*AA107+(1-EXP(-LN(2)/25))/(LN(2)/25)*Calculateur!V108*Calculateur!X108*VLOOKUP('Données projet'!$B$9,Paramètres!$A$1:$I$89,3,0)*0.475*44/12</f>
        <v>6.4636052808704809</v>
      </c>
      <c r="AB108" s="21">
        <f>EXP(-LN(2)/2)*AB107+(1-EXP(-LN(2)/2))/(LN(2)/2)*V108*Y108*VLOOKUP('Données projet'!$B$9,Paramètres!$A$1:$I$89,3,0)*0.475*44/12</f>
        <v>3.8668393370763479E-12</v>
      </c>
      <c r="AC108" s="22">
        <f t="shared" si="57"/>
        <v>103.38499021697709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367.99999999999972</v>
      </c>
      <c r="AJ108" s="13">
        <f>AI108*VLOOKUP('Données projet'!$B$10,Paramètres!$A$1:$I$89,3,0)*VLOOKUP('Données projet'!$B$10,Paramètres!$A$1:$I$89,5,0)</f>
        <v>292.78079999999977</v>
      </c>
      <c r="AK108" s="13">
        <f t="shared" si="89"/>
        <v>69.660903052386217</v>
      </c>
      <c r="AL108" s="20">
        <f t="shared" si="58"/>
        <v>631.25263281623893</v>
      </c>
      <c r="AM108" s="59">
        <f t="shared" si="59"/>
        <v>924.58596614957219</v>
      </c>
      <c r="AN108" s="59">
        <f ca="1">AVERAGE(OFFSET($AM$3,0,0,'Données projet'!$E$10+1,1))-AVERAGE(OFFSET($H$3,0,0,'Données projet'!$E$10+1,1))</f>
        <v>331.52724290297675</v>
      </c>
      <c r="AO108" s="59">
        <f t="shared" si="90"/>
        <v>322.79102610158054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37.565544808898103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37.565544808898103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367.99999999999972</v>
      </c>
      <c r="BE108" s="13">
        <f>BD108*VLOOKUP('Données projet'!$B$11,Paramètres!$A$1:$I$89,3,0)*VLOOKUP('Données projet'!$B$11,Paramètres!$A$1:$I$89,5,0)</f>
        <v>246.8543999999998</v>
      </c>
      <c r="BF108" s="13">
        <f t="shared" si="91"/>
        <v>59.911862368716115</v>
      </c>
      <c r="BG108" s="20">
        <f t="shared" si="61"/>
        <v>534.28457362551353</v>
      </c>
      <c r="BH108" s="59">
        <f t="shared" si="62"/>
        <v>827.61790695884679</v>
      </c>
      <c r="BI108" s="59">
        <f ca="1">AVERAGE(OFFSET($BH$3,0,0,'Données projet'!$E$11+1,1))-AVERAGE(OFFSET($H$3,0,0,'Données projet'!$E$11+1,1))</f>
        <v>273.84349636755343</v>
      </c>
      <c r="BJ108" s="59">
        <f t="shared" si="92"/>
        <v>268.10688874775451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31.672910329070959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31.672910329070959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852.00000000000011</v>
      </c>
      <c r="O109" s="13">
        <f>N109*VLOOKUP('Données projet'!$B$9,Paramètres!$A$1:$I$89,3,0)*VLOOKUP('Données projet'!$B$9,Paramètres!$A$1:$I$89,5,0)</f>
        <v>420.88800000000009</v>
      </c>
      <c r="P109" s="13">
        <f t="shared" si="87"/>
        <v>95.998759891259041</v>
      </c>
      <c r="Q109" s="20">
        <f t="shared" si="107"/>
        <v>900.24444014394294</v>
      </c>
      <c r="R109" s="59">
        <f t="shared" si="55"/>
        <v>1193.5777734772762</v>
      </c>
      <c r="S109" s="59">
        <f ca="1">AVERAGE(OFFSET($R$3,0,0,'Données projet'!$E$9+1,1))-AVERAGE(OFFSET($H$3,0,0,'Données projet'!$E$9+1,1))</f>
        <v>434.08297999735811</v>
      </c>
      <c r="T109" s="59">
        <f t="shared" si="88"/>
        <v>371.04090283546122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95.020815693713331</v>
      </c>
      <c r="AA109" s="21">
        <f>EXP(-LN(2)/25)*AA108+(1-EXP(-LN(2)/25))/(LN(2)/25)*Calculateur!V109*Calculateur!X109*VLOOKUP('Données projet'!$B$9,Paramètres!$A$1:$I$89,3,0)*0.475*44/12</f>
        <v>6.2868576545588484</v>
      </c>
      <c r="AB109" s="21">
        <f>EXP(-LN(2)/2)*AB108+(1-EXP(-LN(2)/2))/(LN(2)/2)*V109*Y109*VLOOKUP('Données projet'!$B$9,Paramètres!$A$1:$I$89,3,0)*0.475*44/12</f>
        <v>2.7342683170055797E-12</v>
      </c>
      <c r="AC109" s="22">
        <f t="shared" si="57"/>
        <v>101.3076733482749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367.99999999999972</v>
      </c>
      <c r="AJ109" s="13">
        <f>AI109*VLOOKUP('Données projet'!$B$10,Paramètres!$A$1:$I$89,3,0)*VLOOKUP('Données projet'!$B$10,Paramètres!$A$1:$I$89,5,0)</f>
        <v>292.78079999999977</v>
      </c>
      <c r="AK109" s="13">
        <f t="shared" si="89"/>
        <v>69.660903052386217</v>
      </c>
      <c r="AL109" s="20">
        <f t="shared" si="58"/>
        <v>631.25263281623893</v>
      </c>
      <c r="AM109" s="59">
        <f t="shared" si="59"/>
        <v>924.58596614957219</v>
      </c>
      <c r="AN109" s="59">
        <f ca="1">AVERAGE(OFFSET($AM$3,0,0,'Données projet'!$E$10+1,1))-AVERAGE(OFFSET($H$3,0,0,'Données projet'!$E$10+1,1))</f>
        <v>331.52724290297675</v>
      </c>
      <c r="AO109" s="59">
        <f t="shared" si="90"/>
        <v>322.79102610158054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36.8289073879155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36.8289073879155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367.99999999999972</v>
      </c>
      <c r="BE109" s="13">
        <f>BD109*VLOOKUP('Données projet'!$B$11,Paramètres!$A$1:$I$89,3,0)*VLOOKUP('Données projet'!$B$11,Paramètres!$A$1:$I$89,5,0)</f>
        <v>246.8543999999998</v>
      </c>
      <c r="BF109" s="13">
        <f t="shared" si="91"/>
        <v>59.911862368716115</v>
      </c>
      <c r="BG109" s="20">
        <f t="shared" si="61"/>
        <v>534.28457362551353</v>
      </c>
      <c r="BH109" s="59">
        <f t="shared" si="62"/>
        <v>827.61790695884679</v>
      </c>
      <c r="BI109" s="59">
        <f ca="1">AVERAGE(OFFSET($BH$3,0,0,'Données projet'!$E$11+1,1))-AVERAGE(OFFSET($H$3,0,0,'Données projet'!$E$11+1,1))</f>
        <v>273.84349636755343</v>
      </c>
      <c r="BJ109" s="59">
        <f t="shared" si="92"/>
        <v>268.10688874775451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31.051823876085628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31.051823876085628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852.00000000000011</v>
      </c>
      <c r="O110" s="13">
        <f>N110*VLOOKUP('Données projet'!$B$9,Paramètres!$A$1:$I$89,3,0)*VLOOKUP('Données projet'!$B$9,Paramètres!$A$1:$I$89,5,0)</f>
        <v>420.88800000000009</v>
      </c>
      <c r="P110" s="13">
        <f t="shared" si="87"/>
        <v>95.998759891259041</v>
      </c>
      <c r="Q110" s="20">
        <f t="shared" si="107"/>
        <v>900.24444014394294</v>
      </c>
      <c r="R110" s="59">
        <f t="shared" si="55"/>
        <v>1193.5777734772762</v>
      </c>
      <c r="S110" s="59">
        <f ca="1">AVERAGE(OFFSET($R$3,0,0,'Données projet'!$E$9+1,1))-AVERAGE(OFFSET($H$3,0,0,'Données projet'!$E$9+1,1))</f>
        <v>434.08297999735811</v>
      </c>
      <c r="T110" s="59">
        <f t="shared" si="88"/>
        <v>371.04090283546122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93.157515454934412</v>
      </c>
      <c r="AA110" s="21">
        <f>EXP(-LN(2)/25)*AA109+(1-EXP(-LN(2)/25))/(LN(2)/25)*Calculateur!V110*Calculateur!X110*VLOOKUP('Données projet'!$B$9,Paramètres!$A$1:$I$89,3,0)*0.475*44/12</f>
        <v>6.1149432013834613</v>
      </c>
      <c r="AB110" s="21">
        <f>EXP(-LN(2)/2)*AB109+(1-EXP(-LN(2)/2))/(LN(2)/2)*V110*Y110*VLOOKUP('Données projet'!$B$9,Paramètres!$A$1:$I$89,3,0)*0.475*44/12</f>
        <v>1.933419668538174E-12</v>
      </c>
      <c r="AC110" s="22">
        <f t="shared" si="57"/>
        <v>99.272458656319799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367.99999999999972</v>
      </c>
      <c r="AJ110" s="13">
        <f>AI110*VLOOKUP('Données projet'!$B$10,Paramètres!$A$1:$I$89,3,0)*VLOOKUP('Données projet'!$B$10,Paramètres!$A$1:$I$89,5,0)</f>
        <v>292.78079999999977</v>
      </c>
      <c r="AK110" s="13">
        <f t="shared" si="89"/>
        <v>69.660903052386217</v>
      </c>
      <c r="AL110" s="20">
        <f t="shared" si="58"/>
        <v>631.25263281623893</v>
      </c>
      <c r="AM110" s="59">
        <f t="shared" si="59"/>
        <v>924.58596614957219</v>
      </c>
      <c r="AN110" s="59">
        <f ca="1">AVERAGE(OFFSET($AM$3,0,0,'Données projet'!$E$10+1,1))-AVERAGE(OFFSET($H$3,0,0,'Données projet'!$E$10+1,1))</f>
        <v>331.52724290297675</v>
      </c>
      <c r="AO110" s="59">
        <f t="shared" si="90"/>
        <v>322.79102610158054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36.106714977453905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36.106714977453905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367.99999999999972</v>
      </c>
      <c r="BE110" s="13">
        <f>BD110*VLOOKUP('Données projet'!$B$11,Paramètres!$A$1:$I$89,3,0)*VLOOKUP('Données projet'!$B$11,Paramètres!$A$1:$I$89,5,0)</f>
        <v>246.8543999999998</v>
      </c>
      <c r="BF110" s="13">
        <f t="shared" si="91"/>
        <v>59.911862368716115</v>
      </c>
      <c r="BG110" s="20">
        <f t="shared" si="61"/>
        <v>534.28457362551353</v>
      </c>
      <c r="BH110" s="59">
        <f t="shared" si="62"/>
        <v>827.61790695884679</v>
      </c>
      <c r="BI110" s="59">
        <f ca="1">AVERAGE(OFFSET($BH$3,0,0,'Données projet'!$E$11+1,1))-AVERAGE(OFFSET($H$3,0,0,'Données projet'!$E$11+1,1))</f>
        <v>273.84349636755343</v>
      </c>
      <c r="BJ110" s="59">
        <f t="shared" si="92"/>
        <v>268.10688874775451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30.442916549618008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30.442916549618008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852.00000000000011</v>
      </c>
      <c r="O111" s="13">
        <f>N111*VLOOKUP('Données projet'!$B$9,Paramètres!$A$1:$I$89,3,0)*VLOOKUP('Données projet'!$B$9,Paramètres!$A$1:$I$89,5,0)</f>
        <v>420.88800000000009</v>
      </c>
      <c r="P111" s="13">
        <f t="shared" si="87"/>
        <v>95.998759891259041</v>
      </c>
      <c r="Q111" s="20">
        <f t="shared" si="107"/>
        <v>900.24444014394294</v>
      </c>
      <c r="R111" s="59">
        <f t="shared" si="55"/>
        <v>1193.5777734772762</v>
      </c>
      <c r="S111" s="59">
        <f ca="1">AVERAGE(OFFSET($R$3,0,0,'Données projet'!$E$9+1,1))-AVERAGE(OFFSET($H$3,0,0,'Données projet'!$E$9+1,1))</f>
        <v>434.08297999735811</v>
      </c>
      <c r="T111" s="59">
        <f t="shared" si="88"/>
        <v>371.04090283546122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91.33075339733702</v>
      </c>
      <c r="AA111" s="21">
        <f>EXP(-LN(2)/25)*AA110+(1-EXP(-LN(2)/25))/(LN(2)/25)*Calculateur!V111*Calculateur!X111*VLOOKUP('Données projet'!$B$9,Paramètres!$A$1:$I$89,3,0)*0.475*44/12</f>
        <v>5.9477297579707438</v>
      </c>
      <c r="AB111" s="21">
        <f>EXP(-LN(2)/2)*AB110+(1-EXP(-LN(2)/2))/(LN(2)/2)*V111*Y111*VLOOKUP('Données projet'!$B$9,Paramètres!$A$1:$I$89,3,0)*0.475*44/12</f>
        <v>1.3671341585027899E-12</v>
      </c>
      <c r="AC111" s="22">
        <f t="shared" si="57"/>
        <v>97.278483155309132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367.99999999999972</v>
      </c>
      <c r="AJ111" s="13">
        <f>AI111*VLOOKUP('Données projet'!$B$10,Paramètres!$A$1:$I$89,3,0)*VLOOKUP('Données projet'!$B$10,Paramètres!$A$1:$I$89,5,0)</f>
        <v>292.78079999999977</v>
      </c>
      <c r="AK111" s="13">
        <f t="shared" si="89"/>
        <v>69.660903052386217</v>
      </c>
      <c r="AL111" s="20">
        <f t="shared" si="58"/>
        <v>631.25263281623893</v>
      </c>
      <c r="AM111" s="59">
        <f t="shared" si="59"/>
        <v>924.58596614957219</v>
      </c>
      <c r="AN111" s="59">
        <f ca="1">AVERAGE(OFFSET($AM$3,0,0,'Données projet'!$E$10+1,1))-AVERAGE(OFFSET($H$3,0,0,'Données projet'!$E$10+1,1))</f>
        <v>331.52724290297675</v>
      </c>
      <c r="AO111" s="59">
        <f t="shared" si="90"/>
        <v>322.79102610158054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35.398684319667588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35.398684319667588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367.99999999999972</v>
      </c>
      <c r="BE111" s="13">
        <f>BD111*VLOOKUP('Données projet'!$B$11,Paramètres!$A$1:$I$89,3,0)*VLOOKUP('Données projet'!$B$11,Paramètres!$A$1:$I$89,5,0)</f>
        <v>246.8543999999998</v>
      </c>
      <c r="BF111" s="13">
        <f t="shared" si="91"/>
        <v>59.911862368716115</v>
      </c>
      <c r="BG111" s="20">
        <f t="shared" si="61"/>
        <v>534.28457362551353</v>
      </c>
      <c r="BH111" s="59">
        <f t="shared" si="62"/>
        <v>827.61790695884679</v>
      </c>
      <c r="BI111" s="59">
        <f ca="1">AVERAGE(OFFSET($BH$3,0,0,'Données projet'!$E$11+1,1))-AVERAGE(OFFSET($H$3,0,0,'Données projet'!$E$11+1,1))</f>
        <v>273.84349636755343</v>
      </c>
      <c r="BJ111" s="59">
        <f t="shared" si="92"/>
        <v>268.10688874775451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29.845949524425624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29.845949524425624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852.00000000000011</v>
      </c>
      <c r="O112" s="13">
        <f>N112*VLOOKUP('Données projet'!$B$9,Paramètres!$A$1:$I$89,3,0)*VLOOKUP('Données projet'!$B$9,Paramètres!$A$1:$I$89,5,0)</f>
        <v>420.88800000000009</v>
      </c>
      <c r="P112" s="13">
        <f t="shared" si="87"/>
        <v>95.998759891259041</v>
      </c>
      <c r="Q112" s="20">
        <f t="shared" si="107"/>
        <v>900.24444014394294</v>
      </c>
      <c r="R112" s="59">
        <f t="shared" si="55"/>
        <v>1193.5777734772762</v>
      </c>
      <c r="S112" s="59">
        <f ca="1">AVERAGE(OFFSET($R$3,0,0,'Données projet'!$E$9+1,1))-AVERAGE(OFFSET($H$3,0,0,'Données projet'!$E$9+1,1))</f>
        <v>434.08297999735811</v>
      </c>
      <c r="T112" s="59">
        <f t="shared" si="88"/>
        <v>371.04090283546122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89.539813029474274</v>
      </c>
      <c r="AA112" s="21">
        <f>EXP(-LN(2)/25)*AA111+(1-EXP(-LN(2)/25))/(LN(2)/25)*Calculateur!V112*Calculateur!X112*VLOOKUP('Données projet'!$B$9,Paramètres!$A$1:$I$89,3,0)*0.475*44/12</f>
        <v>5.7850887749615199</v>
      </c>
      <c r="AB112" s="21">
        <f>EXP(-LN(2)/2)*AB111+(1-EXP(-LN(2)/2))/(LN(2)/2)*V112*Y112*VLOOKUP('Données projet'!$B$9,Paramètres!$A$1:$I$89,3,0)*0.475*44/12</f>
        <v>9.6670983426908699E-13</v>
      </c>
      <c r="AC112" s="22">
        <f t="shared" si="57"/>
        <v>95.324901804436763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367.99999999999972</v>
      </c>
      <c r="AJ112" s="13">
        <f>AI112*VLOOKUP('Données projet'!$B$10,Paramètres!$A$1:$I$89,3,0)*VLOOKUP('Données projet'!$B$10,Paramètres!$A$1:$I$89,5,0)</f>
        <v>292.78079999999977</v>
      </c>
      <c r="AK112" s="13">
        <f t="shared" si="89"/>
        <v>69.660903052386217</v>
      </c>
      <c r="AL112" s="20">
        <f t="shared" si="58"/>
        <v>631.25263281623893</v>
      </c>
      <c r="AM112" s="59">
        <f t="shared" si="59"/>
        <v>924.58596614957219</v>
      </c>
      <c r="AN112" s="59">
        <f ca="1">AVERAGE(OFFSET($AM$3,0,0,'Données projet'!$E$10+1,1))-AVERAGE(OFFSET($H$3,0,0,'Données projet'!$E$10+1,1))</f>
        <v>331.52724290297675</v>
      </c>
      <c r="AO112" s="59">
        <f t="shared" si="90"/>
        <v>322.79102610158054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34.704537711224404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34.704537711224404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367.99999999999972</v>
      </c>
      <c r="BE112" s="13">
        <f>BD112*VLOOKUP('Données projet'!$B$11,Paramètres!$A$1:$I$89,3,0)*VLOOKUP('Données projet'!$B$11,Paramètres!$A$1:$I$89,5,0)</f>
        <v>246.8543999999998</v>
      </c>
      <c r="BF112" s="13">
        <f t="shared" si="91"/>
        <v>59.911862368716115</v>
      </c>
      <c r="BG112" s="20">
        <f t="shared" si="61"/>
        <v>534.28457362551353</v>
      </c>
      <c r="BH112" s="59">
        <f t="shared" si="62"/>
        <v>827.61790695884679</v>
      </c>
      <c r="BI112" s="59">
        <f ca="1">AVERAGE(OFFSET($BH$3,0,0,'Données projet'!$E$11+1,1))-AVERAGE(OFFSET($H$3,0,0,'Données projet'!$E$11+1,1))</f>
        <v>273.84349636755343</v>
      </c>
      <c r="BJ112" s="59">
        <f t="shared" si="92"/>
        <v>268.10688874775451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29.260688658483328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29.260688658483328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852.00000000000011</v>
      </c>
      <c r="O113" s="13">
        <f>N113*VLOOKUP('Données projet'!$B$9,Paramètres!$A$1:$I$89,3,0)*VLOOKUP('Données projet'!$B$9,Paramètres!$A$1:$I$89,5,0)</f>
        <v>420.88800000000009</v>
      </c>
      <c r="P113" s="13">
        <f t="shared" si="87"/>
        <v>95.998759891259041</v>
      </c>
      <c r="Q113" s="20">
        <f t="shared" si="107"/>
        <v>900.24444014394294</v>
      </c>
      <c r="R113" s="59">
        <f t="shared" si="55"/>
        <v>1193.5777734772762</v>
      </c>
      <c r="S113" s="59">
        <f ca="1">AVERAGE(OFFSET($R$3,0,0,'Données projet'!$E$9+1,1))-AVERAGE(OFFSET($H$3,0,0,'Données projet'!$E$9+1,1))</f>
        <v>434.08297999735811</v>
      </c>
      <c r="T113" s="59">
        <f t="shared" si="88"/>
        <v>371.04090283546122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87.783991909859552</v>
      </c>
      <c r="AA113" s="21">
        <f>EXP(-LN(2)/25)*AA112+(1-EXP(-LN(2)/25))/(LN(2)/25)*Calculateur!V113*Calculateur!X113*VLOOKUP('Données projet'!$B$9,Paramètres!$A$1:$I$89,3,0)*0.475*44/12</f>
        <v>5.6268952181856005</v>
      </c>
      <c r="AB113" s="21">
        <f>EXP(-LN(2)/2)*AB112+(1-EXP(-LN(2)/2))/(LN(2)/2)*V113*Y113*VLOOKUP('Données projet'!$B$9,Paramètres!$A$1:$I$89,3,0)*0.475*44/12</f>
        <v>6.8356707925139494E-13</v>
      </c>
      <c r="AC113" s="22">
        <f t="shared" si="57"/>
        <v>93.410887128045829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367.99999999999972</v>
      </c>
      <c r="AJ113" s="13">
        <f>AI113*VLOOKUP('Données projet'!$B$10,Paramètres!$A$1:$I$89,3,0)*VLOOKUP('Données projet'!$B$10,Paramètres!$A$1:$I$89,5,0)</f>
        <v>292.78079999999977</v>
      </c>
      <c r="AK113" s="13">
        <f t="shared" si="89"/>
        <v>69.660903052386217</v>
      </c>
      <c r="AL113" s="20">
        <f t="shared" si="58"/>
        <v>631.25263281623893</v>
      </c>
      <c r="AM113" s="59">
        <f t="shared" si="59"/>
        <v>924.58596614957219</v>
      </c>
      <c r="AN113" s="59">
        <f ca="1">AVERAGE(OFFSET($AM$3,0,0,'Données projet'!$E$10+1,1))-AVERAGE(OFFSET($H$3,0,0,'Données projet'!$E$10+1,1))</f>
        <v>331.52724290297675</v>
      </c>
      <c r="AO113" s="59">
        <f t="shared" si="90"/>
        <v>322.79102610158054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34.024002894385163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34.024002894385163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367.99999999999972</v>
      </c>
      <c r="BE113" s="13">
        <f>BD113*VLOOKUP('Données projet'!$B$11,Paramètres!$A$1:$I$89,3,0)*VLOOKUP('Données projet'!$B$11,Paramètres!$A$1:$I$89,5,0)</f>
        <v>246.8543999999998</v>
      </c>
      <c r="BF113" s="13">
        <f t="shared" si="91"/>
        <v>59.911862368716115</v>
      </c>
      <c r="BG113" s="20">
        <f t="shared" si="61"/>
        <v>534.28457362551353</v>
      </c>
      <c r="BH113" s="59">
        <f t="shared" si="62"/>
        <v>827.61790695884679</v>
      </c>
      <c r="BI113" s="59">
        <f ca="1">AVERAGE(OFFSET($BH$3,0,0,'Données projet'!$E$11+1,1))-AVERAGE(OFFSET($H$3,0,0,'Données projet'!$E$11+1,1))</f>
        <v>273.84349636755343</v>
      </c>
      <c r="BJ113" s="59">
        <f t="shared" si="92"/>
        <v>268.10688874775451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28.686904401148283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28.686904401148283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852.00000000000011</v>
      </c>
      <c r="O114" s="13">
        <f>N114*VLOOKUP('Données projet'!$B$9,Paramètres!$A$1:$I$89,3,0)*VLOOKUP('Données projet'!$B$9,Paramètres!$A$1:$I$89,5,0)</f>
        <v>420.88800000000009</v>
      </c>
      <c r="P114" s="13">
        <f t="shared" si="87"/>
        <v>95.998759891259041</v>
      </c>
      <c r="Q114" s="20">
        <f t="shared" si="107"/>
        <v>900.24444014394294</v>
      </c>
      <c r="R114" s="59">
        <f t="shared" si="55"/>
        <v>1193.5777734772762</v>
      </c>
      <c r="S114" s="59">
        <f ca="1">AVERAGE(OFFSET($R$3,0,0,'Données projet'!$E$9+1,1))-AVERAGE(OFFSET($H$3,0,0,'Données projet'!$E$9+1,1))</f>
        <v>434.08297999735811</v>
      </c>
      <c r="T114" s="59">
        <f t="shared" si="88"/>
        <v>371.04090283546122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86.062601371455344</v>
      </c>
      <c r="AA114" s="21">
        <f>EXP(-LN(2)/25)*AA113+(1-EXP(-LN(2)/25))/(LN(2)/25)*Calculateur!V114*Calculateur!X114*VLOOKUP('Données projet'!$B$9,Paramètres!$A$1:$I$89,3,0)*0.475*44/12</f>
        <v>5.4730274725387558</v>
      </c>
      <c r="AB114" s="21">
        <f>EXP(-LN(2)/2)*AB113+(1-EXP(-LN(2)/2))/(LN(2)/2)*V114*Y114*VLOOKUP('Données projet'!$B$9,Paramètres!$A$1:$I$89,3,0)*0.475*44/12</f>
        <v>4.8335491713454349E-13</v>
      </c>
      <c r="AC114" s="22">
        <f t="shared" si="57"/>
        <v>91.535628843994587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367.99999999999972</v>
      </c>
      <c r="AJ114" s="13">
        <f>AI114*VLOOKUP('Données projet'!$B$10,Paramètres!$A$1:$I$89,3,0)*VLOOKUP('Données projet'!$B$10,Paramètres!$A$1:$I$89,5,0)</f>
        <v>292.78079999999977</v>
      </c>
      <c r="AK114" s="13">
        <f t="shared" si="89"/>
        <v>69.660903052386217</v>
      </c>
      <c r="AL114" s="20">
        <f t="shared" si="58"/>
        <v>631.25263281623893</v>
      </c>
      <c r="AM114" s="59">
        <f t="shared" si="59"/>
        <v>924.58596614957219</v>
      </c>
      <c r="AN114" s="59">
        <f ca="1">AVERAGE(OFFSET($AM$3,0,0,'Données projet'!$E$10+1,1))-AVERAGE(OFFSET($H$3,0,0,'Données projet'!$E$10+1,1))</f>
        <v>331.52724290297675</v>
      </c>
      <c r="AO114" s="59">
        <f t="shared" si="90"/>
        <v>322.79102610158054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33.356812950218888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33.356812950218888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367.99999999999972</v>
      </c>
      <c r="BE114" s="13">
        <f>BD114*VLOOKUP('Données projet'!$B$11,Paramètres!$A$1:$I$89,3,0)*VLOOKUP('Données projet'!$B$11,Paramètres!$A$1:$I$89,5,0)</f>
        <v>246.8543999999998</v>
      </c>
      <c r="BF114" s="13">
        <f t="shared" si="91"/>
        <v>59.911862368716115</v>
      </c>
      <c r="BG114" s="20">
        <f t="shared" si="61"/>
        <v>534.28457362551353</v>
      </c>
      <c r="BH114" s="59">
        <f t="shared" si="62"/>
        <v>827.61790695884679</v>
      </c>
      <c r="BI114" s="59">
        <f ca="1">AVERAGE(OFFSET($BH$3,0,0,'Données projet'!$E$11+1,1))-AVERAGE(OFFSET($H$3,0,0,'Données projet'!$E$11+1,1))</f>
        <v>273.84349636755343</v>
      </c>
      <c r="BJ114" s="59">
        <f t="shared" si="92"/>
        <v>268.10688874775451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28.124371703125735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28.124371703125735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852.00000000000011</v>
      </c>
      <c r="O115" s="13">
        <f>N115*VLOOKUP('Données projet'!$B$9,Paramètres!$A$1:$I$89,3,0)*VLOOKUP('Données projet'!$B$9,Paramètres!$A$1:$I$89,5,0)</f>
        <v>420.88800000000009</v>
      </c>
      <c r="P115" s="13">
        <f t="shared" si="87"/>
        <v>95.998759891259041</v>
      </c>
      <c r="Q115" s="20">
        <f t="shared" si="107"/>
        <v>900.24444014394294</v>
      </c>
      <c r="R115" s="59">
        <f t="shared" si="55"/>
        <v>1193.5777734772762</v>
      </c>
      <c r="S115" s="59">
        <f ca="1">AVERAGE(OFFSET($R$3,0,0,'Données projet'!$E$9+1,1))-AVERAGE(OFFSET($H$3,0,0,'Données projet'!$E$9+1,1))</f>
        <v>434.08297999735811</v>
      </c>
      <c r="T115" s="59">
        <f t="shared" si="88"/>
        <v>371.04090283546122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84.374966251564686</v>
      </c>
      <c r="AA115" s="21">
        <f>EXP(-LN(2)/25)*AA114+(1-EXP(-LN(2)/25))/(LN(2)/25)*Calculateur!V115*Calculateur!X115*VLOOKUP('Données projet'!$B$9,Paramètres!$A$1:$I$89,3,0)*0.475*44/12</f>
        <v>5.3233672484881778</v>
      </c>
      <c r="AB115" s="21">
        <f>EXP(-LN(2)/2)*AB114+(1-EXP(-LN(2)/2))/(LN(2)/2)*V115*Y115*VLOOKUP('Données projet'!$B$9,Paramètres!$A$1:$I$89,3,0)*0.475*44/12</f>
        <v>3.4178353962569747E-13</v>
      </c>
      <c r="AC115" s="22">
        <f t="shared" si="57"/>
        <v>89.698333500053209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367.99999999999972</v>
      </c>
      <c r="AJ115" s="13">
        <f>AI115*VLOOKUP('Données projet'!$B$10,Paramètres!$A$1:$I$89,3,0)*VLOOKUP('Données projet'!$B$10,Paramètres!$A$1:$I$89,5,0)</f>
        <v>292.78079999999977</v>
      </c>
      <c r="AK115" s="13">
        <f t="shared" si="89"/>
        <v>69.660903052386217</v>
      </c>
      <c r="AL115" s="20">
        <f t="shared" si="58"/>
        <v>631.25263281623893</v>
      </c>
      <c r="AM115" s="59">
        <f t="shared" si="59"/>
        <v>924.58596614957219</v>
      </c>
      <c r="AN115" s="59">
        <f ca="1">AVERAGE(OFFSET($AM$3,0,0,'Données projet'!$E$10+1,1))-AVERAGE(OFFSET($H$3,0,0,'Données projet'!$E$10+1,1))</f>
        <v>331.52724290297675</v>
      </c>
      <c r="AO115" s="59">
        <f t="shared" si="90"/>
        <v>322.79102610158054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32.702706193912029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32.702706193912029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367.99999999999972</v>
      </c>
      <c r="BE115" s="13">
        <f>BD115*VLOOKUP('Données projet'!$B$11,Paramètres!$A$1:$I$89,3,0)*VLOOKUP('Données projet'!$B$11,Paramètres!$A$1:$I$89,5,0)</f>
        <v>246.8543999999998</v>
      </c>
      <c r="BF115" s="13">
        <f t="shared" si="91"/>
        <v>59.911862368716115</v>
      </c>
      <c r="BG115" s="20">
        <f t="shared" si="61"/>
        <v>534.28457362551353</v>
      </c>
      <c r="BH115" s="59">
        <f t="shared" si="62"/>
        <v>827.61790695884679</v>
      </c>
      <c r="BI115" s="59">
        <f ca="1">AVERAGE(OFFSET($BH$3,0,0,'Données projet'!$E$11+1,1))-AVERAGE(OFFSET($H$3,0,0,'Données projet'!$E$11+1,1))</f>
        <v>273.84349636755343</v>
      </c>
      <c r="BJ115" s="59">
        <f t="shared" si="92"/>
        <v>268.10688874775451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27.572869928200344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27.572869928200344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852.00000000000011</v>
      </c>
      <c r="O116" s="13">
        <f>N116*VLOOKUP('Données projet'!$B$9,Paramètres!$A$1:$I$89,3,0)*VLOOKUP('Données projet'!$B$9,Paramètres!$A$1:$I$89,5,0)</f>
        <v>420.88800000000009</v>
      </c>
      <c r="P116" s="13">
        <f t="shared" si="87"/>
        <v>95.998759891259041</v>
      </c>
      <c r="Q116" s="20">
        <f t="shared" si="107"/>
        <v>900.24444014394294</v>
      </c>
      <c r="R116" s="59">
        <f t="shared" si="55"/>
        <v>1193.5777734772762</v>
      </c>
      <c r="S116" s="59">
        <f ca="1">AVERAGE(OFFSET($R$3,0,0,'Données projet'!$E$9+1,1))-AVERAGE(OFFSET($H$3,0,0,'Données projet'!$E$9+1,1))</f>
        <v>434.08297999735811</v>
      </c>
      <c r="T116" s="59">
        <f t="shared" si="88"/>
        <v>371.04090283546122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82.720424627019298</v>
      </c>
      <c r="AA116" s="21">
        <f>EXP(-LN(2)/25)*AA115+(1-EXP(-LN(2)/25))/(LN(2)/25)*Calculateur!V116*Calculateur!X116*VLOOKUP('Données projet'!$B$9,Paramètres!$A$1:$I$89,3,0)*0.475*44/12</f>
        <v>5.177799491134552</v>
      </c>
      <c r="AB116" s="21">
        <f>EXP(-LN(2)/2)*AB115+(1-EXP(-LN(2)/2))/(LN(2)/2)*V116*Y116*VLOOKUP('Données projet'!$B$9,Paramètres!$A$1:$I$89,3,0)*0.475*44/12</f>
        <v>2.4167745856727175E-13</v>
      </c>
      <c r="AC116" s="22">
        <f t="shared" si="57"/>
        <v>87.89822411815409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367.99999999999972</v>
      </c>
      <c r="AJ116" s="13">
        <f>AI116*VLOOKUP('Données projet'!$B$10,Paramètres!$A$1:$I$89,3,0)*VLOOKUP('Données projet'!$B$10,Paramètres!$A$1:$I$89,5,0)</f>
        <v>292.78079999999977</v>
      </c>
      <c r="AK116" s="13">
        <f t="shared" si="89"/>
        <v>69.660903052386217</v>
      </c>
      <c r="AL116" s="20">
        <f t="shared" si="58"/>
        <v>631.25263281623893</v>
      </c>
      <c r="AM116" s="59">
        <f t="shared" si="59"/>
        <v>924.58596614957219</v>
      </c>
      <c r="AN116" s="59">
        <f ca="1">AVERAGE(OFFSET($AM$3,0,0,'Données projet'!$E$10+1,1))-AVERAGE(OFFSET($H$3,0,0,'Données projet'!$E$10+1,1))</f>
        <v>331.52724290297675</v>
      </c>
      <c r="AO116" s="59">
        <f t="shared" si="90"/>
        <v>322.79102610158054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32.061426072130622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32.061426072130622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367.99999999999972</v>
      </c>
      <c r="BE116" s="13">
        <f>BD116*VLOOKUP('Données projet'!$B$11,Paramètres!$A$1:$I$89,3,0)*VLOOKUP('Données projet'!$B$11,Paramètres!$A$1:$I$89,5,0)</f>
        <v>246.8543999999998</v>
      </c>
      <c r="BF116" s="13">
        <f t="shared" si="91"/>
        <v>59.911862368716115</v>
      </c>
      <c r="BG116" s="20">
        <f t="shared" si="61"/>
        <v>534.28457362551353</v>
      </c>
      <c r="BH116" s="59">
        <f t="shared" si="62"/>
        <v>827.61790695884679</v>
      </c>
      <c r="BI116" s="59">
        <f ca="1">AVERAGE(OFFSET($BH$3,0,0,'Données projet'!$E$11+1,1))-AVERAGE(OFFSET($H$3,0,0,'Données projet'!$E$11+1,1))</f>
        <v>273.84349636755343</v>
      </c>
      <c r="BJ116" s="59">
        <f t="shared" si="92"/>
        <v>268.10688874775451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27.032182766698373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27.032182766698373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852.00000000000011</v>
      </c>
      <c r="O117" s="13">
        <f>N117*VLOOKUP('Données projet'!$B$9,Paramètres!$A$1:$I$89,3,0)*VLOOKUP('Données projet'!$B$9,Paramètres!$A$1:$I$89,5,0)</f>
        <v>420.88800000000009</v>
      </c>
      <c r="P117" s="13">
        <f t="shared" si="87"/>
        <v>95.998759891259041</v>
      </c>
      <c r="Q117" s="20">
        <f t="shared" si="107"/>
        <v>900.24444014394294</v>
      </c>
      <c r="R117" s="59">
        <f t="shared" si="55"/>
        <v>1193.5777734772762</v>
      </c>
      <c r="S117" s="59">
        <f ca="1">AVERAGE(OFFSET($R$3,0,0,'Données projet'!$E$9+1,1))-AVERAGE(OFFSET($H$3,0,0,'Données projet'!$E$9+1,1))</f>
        <v>434.08297999735811</v>
      </c>
      <c r="T117" s="59">
        <f t="shared" si="88"/>
        <v>371.04090283546122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81.098327554560512</v>
      </c>
      <c r="AA117" s="21">
        <f>EXP(-LN(2)/25)*AA116+(1-EXP(-LN(2)/25))/(LN(2)/25)*Calculateur!V117*Calculateur!X117*VLOOKUP('Données projet'!$B$9,Paramètres!$A$1:$I$89,3,0)*0.475*44/12</f>
        <v>5.0362122917608367</v>
      </c>
      <c r="AB117" s="21">
        <f>EXP(-LN(2)/2)*AB116+(1-EXP(-LN(2)/2))/(LN(2)/2)*V117*Y117*VLOOKUP('Données projet'!$B$9,Paramètres!$A$1:$I$89,3,0)*0.475*44/12</f>
        <v>1.7089176981284873E-13</v>
      </c>
      <c r="AC117" s="22">
        <f t="shared" si="57"/>
        <v>86.134539846321516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367.99999999999972</v>
      </c>
      <c r="AJ117" s="13">
        <f>AI117*VLOOKUP('Données projet'!$B$10,Paramètres!$A$1:$I$89,3,0)*VLOOKUP('Données projet'!$B$10,Paramètres!$A$1:$I$89,5,0)</f>
        <v>292.78079999999977</v>
      </c>
      <c r="AK117" s="13">
        <f t="shared" si="89"/>
        <v>69.660903052386217</v>
      </c>
      <c r="AL117" s="20">
        <f t="shared" si="58"/>
        <v>631.25263281623893</v>
      </c>
      <c r="AM117" s="59">
        <f t="shared" si="59"/>
        <v>924.58596614957219</v>
      </c>
      <c r="AN117" s="59">
        <f ca="1">AVERAGE(OFFSET($AM$3,0,0,'Données projet'!$E$10+1,1))-AVERAGE(OFFSET($H$3,0,0,'Données projet'!$E$10+1,1))</f>
        <v>331.52724290297675</v>
      </c>
      <c r="AO117" s="59">
        <f t="shared" si="90"/>
        <v>322.79102610158054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31.432721062395096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31.432721062395096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367.99999999999972</v>
      </c>
      <c r="BE117" s="13">
        <f>BD117*VLOOKUP('Données projet'!$B$11,Paramètres!$A$1:$I$89,3,0)*VLOOKUP('Données projet'!$B$11,Paramètres!$A$1:$I$89,5,0)</f>
        <v>246.8543999999998</v>
      </c>
      <c r="BF117" s="13">
        <f t="shared" si="91"/>
        <v>59.911862368716115</v>
      </c>
      <c r="BG117" s="20">
        <f t="shared" si="61"/>
        <v>534.28457362551353</v>
      </c>
      <c r="BH117" s="59">
        <f t="shared" si="62"/>
        <v>827.61790695884679</v>
      </c>
      <c r="BI117" s="59">
        <f ca="1">AVERAGE(OFFSET($BH$3,0,0,'Données projet'!$E$11+1,1))-AVERAGE(OFFSET($H$3,0,0,'Données projet'!$E$11+1,1))</f>
        <v>273.84349636755343</v>
      </c>
      <c r="BJ117" s="59">
        <f t="shared" si="92"/>
        <v>268.10688874775451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26.502098150646852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26.502098150646852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852.00000000000011</v>
      </c>
      <c r="O118" s="13">
        <f>N118*VLOOKUP('Données projet'!$B$9,Paramètres!$A$1:$I$89,3,0)*VLOOKUP('Données projet'!$B$9,Paramètres!$A$1:$I$89,5,0)</f>
        <v>420.88800000000009</v>
      </c>
      <c r="P118" s="13">
        <f t="shared" si="87"/>
        <v>95.998759891259041</v>
      </c>
      <c r="Q118" s="20">
        <f t="shared" si="107"/>
        <v>900.24444014394294</v>
      </c>
      <c r="R118" s="59">
        <f t="shared" si="55"/>
        <v>1193.5777734772762</v>
      </c>
      <c r="S118" s="59">
        <f ca="1">AVERAGE(OFFSET($R$3,0,0,'Données projet'!$E$9+1,1))-AVERAGE(OFFSET($H$3,0,0,'Données projet'!$E$9+1,1))</f>
        <v>434.08297999735811</v>
      </c>
      <c r="T118" s="59">
        <f t="shared" si="88"/>
        <v>371.04090283546122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79.508038816311114</v>
      </c>
      <c r="AA118" s="21">
        <f>EXP(-LN(2)/25)*AA117+(1-EXP(-LN(2)/25))/(LN(2)/25)*Calculateur!V118*Calculateur!X118*VLOOKUP('Données projet'!$B$9,Paramètres!$A$1:$I$89,3,0)*0.475*44/12</f>
        <v>4.8984968017997428</v>
      </c>
      <c r="AB118" s="21">
        <f>EXP(-LN(2)/2)*AB117+(1-EXP(-LN(2)/2))/(LN(2)/2)*V118*Y118*VLOOKUP('Données projet'!$B$9,Paramètres!$A$1:$I$89,3,0)*0.475*44/12</f>
        <v>1.2083872928363587E-13</v>
      </c>
      <c r="AC118" s="22">
        <f t="shared" si="57"/>
        <v>84.406535618110979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367.99999999999972</v>
      </c>
      <c r="AJ118" s="13">
        <f>AI118*VLOOKUP('Données projet'!$B$10,Paramètres!$A$1:$I$89,3,0)*VLOOKUP('Données projet'!$B$10,Paramètres!$A$1:$I$89,5,0)</f>
        <v>292.78079999999977</v>
      </c>
      <c r="AK118" s="13">
        <f t="shared" si="89"/>
        <v>69.660903052386217</v>
      </c>
      <c r="AL118" s="20">
        <f t="shared" si="58"/>
        <v>631.25263281623893</v>
      </c>
      <c r="AM118" s="59">
        <f t="shared" si="59"/>
        <v>924.58596614957219</v>
      </c>
      <c r="AN118" s="59">
        <f ca="1">AVERAGE(OFFSET($AM$3,0,0,'Données projet'!$E$10+1,1))-AVERAGE(OFFSET($H$3,0,0,'Données projet'!$E$10+1,1))</f>
        <v>331.52724290297675</v>
      </c>
      <c r="AO118" s="59">
        <f t="shared" si="90"/>
        <v>322.79102610158054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30.816344574428292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30.816344574428292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367.99999999999972</v>
      </c>
      <c r="BE118" s="13">
        <f>BD118*VLOOKUP('Données projet'!$B$11,Paramètres!$A$1:$I$89,3,0)*VLOOKUP('Données projet'!$B$11,Paramètres!$A$1:$I$89,5,0)</f>
        <v>246.8543999999998</v>
      </c>
      <c r="BF118" s="13">
        <f t="shared" si="91"/>
        <v>59.911862368716115</v>
      </c>
      <c r="BG118" s="20">
        <f t="shared" si="61"/>
        <v>534.28457362551353</v>
      </c>
      <c r="BH118" s="59">
        <f t="shared" si="62"/>
        <v>827.61790695884679</v>
      </c>
      <c r="BI118" s="59">
        <f ca="1">AVERAGE(OFFSET($BH$3,0,0,'Données projet'!$E$11+1,1))-AVERAGE(OFFSET($H$3,0,0,'Données projet'!$E$11+1,1))</f>
        <v>273.84349636755343</v>
      </c>
      <c r="BJ118" s="59">
        <f t="shared" si="92"/>
        <v>268.10688874775451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25.982408170596408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25.982408170596408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852.00000000000011</v>
      </c>
      <c r="O119" s="13">
        <f>N119*VLOOKUP('Données projet'!$B$9,Paramètres!$A$1:$I$89,3,0)*VLOOKUP('Données projet'!$B$9,Paramètres!$A$1:$I$89,5,0)</f>
        <v>420.88800000000009</v>
      </c>
      <c r="P119" s="13">
        <f t="shared" si="87"/>
        <v>95.998759891259041</v>
      </c>
      <c r="Q119" s="20">
        <f t="shared" si="107"/>
        <v>900.24444014394294</v>
      </c>
      <c r="R119" s="59">
        <f t="shared" si="55"/>
        <v>1193.5777734772762</v>
      </c>
      <c r="S119" s="59">
        <f ca="1">AVERAGE(OFFSET($R$3,0,0,'Données projet'!$E$9+1,1))-AVERAGE(OFFSET($H$3,0,0,'Données projet'!$E$9+1,1))</f>
        <v>434.08297999735811</v>
      </c>
      <c r="T119" s="59">
        <f t="shared" si="88"/>
        <v>371.04090283546122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77.94893467023843</v>
      </c>
      <c r="AA119" s="21">
        <f>EXP(-LN(2)/25)*AA118+(1-EXP(-LN(2)/25))/(LN(2)/25)*Calculateur!V119*Calculateur!X119*VLOOKUP('Données projet'!$B$9,Paramètres!$A$1:$I$89,3,0)*0.475*44/12</f>
        <v>4.7645471491537776</v>
      </c>
      <c r="AB119" s="21">
        <f>EXP(-LN(2)/2)*AB118+(1-EXP(-LN(2)/2))/(LN(2)/2)*V119*Y119*VLOOKUP('Données projet'!$B$9,Paramètres!$A$1:$I$89,3,0)*0.475*44/12</f>
        <v>8.5445884906424367E-14</v>
      </c>
      <c r="AC119" s="22">
        <f t="shared" si="57"/>
        <v>82.713481819392285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367.99999999999972</v>
      </c>
      <c r="AJ119" s="13">
        <f>AI119*VLOOKUP('Données projet'!$B$10,Paramètres!$A$1:$I$89,3,0)*VLOOKUP('Données projet'!$B$10,Paramètres!$A$1:$I$89,5,0)</f>
        <v>292.78079999999977</v>
      </c>
      <c r="AK119" s="13">
        <f t="shared" si="89"/>
        <v>69.660903052386217</v>
      </c>
      <c r="AL119" s="20">
        <f t="shared" si="58"/>
        <v>631.25263281623893</v>
      </c>
      <c r="AM119" s="59">
        <f t="shared" si="59"/>
        <v>924.58596614957219</v>
      </c>
      <c r="AN119" s="59">
        <f ca="1">AVERAGE(OFFSET($AM$3,0,0,'Données projet'!$E$10+1,1))-AVERAGE(OFFSET($H$3,0,0,'Données projet'!$E$10+1,1))</f>
        <v>331.52724290297675</v>
      </c>
      <c r="AO119" s="59">
        <f t="shared" si="90"/>
        <v>322.79102610158054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30.212054853437984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30.212054853437984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367.99999999999972</v>
      </c>
      <c r="BE119" s="13">
        <f>BD119*VLOOKUP('Données projet'!$B$11,Paramètres!$A$1:$I$89,3,0)*VLOOKUP('Données projet'!$B$11,Paramètres!$A$1:$I$89,5,0)</f>
        <v>246.8543999999998</v>
      </c>
      <c r="BF119" s="13">
        <f t="shared" si="91"/>
        <v>59.911862368716115</v>
      </c>
      <c r="BG119" s="20">
        <f t="shared" si="61"/>
        <v>534.28457362551353</v>
      </c>
      <c r="BH119" s="59">
        <f t="shared" si="62"/>
        <v>827.61790695884679</v>
      </c>
      <c r="BI119" s="59">
        <f ca="1">AVERAGE(OFFSET($BH$3,0,0,'Données projet'!$E$11+1,1))-AVERAGE(OFFSET($H$3,0,0,'Données projet'!$E$11+1,1))</f>
        <v>273.84349636755343</v>
      </c>
      <c r="BJ119" s="59">
        <f t="shared" si="92"/>
        <v>268.10688874775451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25.472908994075166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25.472908994075166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852.00000000000011</v>
      </c>
      <c r="O120" s="13">
        <f>N120*VLOOKUP('Données projet'!$B$9,Paramètres!$A$1:$I$89,3,0)*VLOOKUP('Données projet'!$B$9,Paramètres!$A$1:$I$89,5,0)</f>
        <v>420.88800000000009</v>
      </c>
      <c r="P120" s="13">
        <f t="shared" si="87"/>
        <v>95.998759891259041</v>
      </c>
      <c r="Q120" s="20">
        <f t="shared" si="107"/>
        <v>900.24444014394294</v>
      </c>
      <c r="R120" s="59">
        <f t="shared" si="55"/>
        <v>1193.5777734772762</v>
      </c>
      <c r="S120" s="59">
        <f ca="1">AVERAGE(OFFSET($R$3,0,0,'Données projet'!$E$9+1,1))-AVERAGE(OFFSET($H$3,0,0,'Données projet'!$E$9+1,1))</f>
        <v>434.08297999735811</v>
      </c>
      <c r="T120" s="59">
        <f t="shared" si="88"/>
        <v>371.04090283546122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76.420403605510614</v>
      </c>
      <c r="AA120" s="21">
        <f>EXP(-LN(2)/25)*AA119+(1-EXP(-LN(2)/25))/(LN(2)/25)*Calculateur!V120*Calculateur!X120*VLOOKUP('Données projet'!$B$9,Paramètres!$A$1:$I$89,3,0)*0.475*44/12</f>
        <v>4.6342603568035221</v>
      </c>
      <c r="AB120" s="21">
        <f>EXP(-LN(2)/2)*AB119+(1-EXP(-LN(2)/2))/(LN(2)/2)*V120*Y120*VLOOKUP('Données projet'!$B$9,Paramètres!$A$1:$I$89,3,0)*0.475*44/12</f>
        <v>6.0419364641817937E-14</v>
      </c>
      <c r="AC120" s="22">
        <f t="shared" si="57"/>
        <v>81.054663962314194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367.99999999999972</v>
      </c>
      <c r="AJ120" s="13">
        <f>AI120*VLOOKUP('Données projet'!$B$10,Paramètres!$A$1:$I$89,3,0)*VLOOKUP('Données projet'!$B$10,Paramètres!$A$1:$I$89,5,0)</f>
        <v>292.78079999999977</v>
      </c>
      <c r="AK120" s="13">
        <f t="shared" si="89"/>
        <v>69.660903052386217</v>
      </c>
      <c r="AL120" s="20">
        <f t="shared" si="58"/>
        <v>631.25263281623893</v>
      </c>
      <c r="AM120" s="59">
        <f t="shared" si="59"/>
        <v>924.58596614957219</v>
      </c>
      <c r="AN120" s="59">
        <f ca="1">AVERAGE(OFFSET($AM$3,0,0,'Données projet'!$E$10+1,1))-AVERAGE(OFFSET($H$3,0,0,'Données projet'!$E$10+1,1))</f>
        <v>331.52724290297675</v>
      </c>
      <c r="AO120" s="59">
        <f t="shared" si="90"/>
        <v>322.79102610158054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29.619614885295956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29.619614885295956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367.99999999999972</v>
      </c>
      <c r="BE120" s="13">
        <f>BD120*VLOOKUP('Données projet'!$B$11,Paramètres!$A$1:$I$89,3,0)*VLOOKUP('Données projet'!$B$11,Paramètres!$A$1:$I$89,5,0)</f>
        <v>246.8543999999998</v>
      </c>
      <c r="BF120" s="13">
        <f t="shared" si="91"/>
        <v>59.911862368716115</v>
      </c>
      <c r="BG120" s="20">
        <f t="shared" si="61"/>
        <v>534.28457362551353</v>
      </c>
      <c r="BH120" s="59">
        <f t="shared" si="62"/>
        <v>827.61790695884679</v>
      </c>
      <c r="BI120" s="59">
        <f ca="1">AVERAGE(OFFSET($BH$3,0,0,'Données projet'!$E$11+1,1))-AVERAGE(OFFSET($H$3,0,0,'Données projet'!$E$11+1,1))</f>
        <v>273.84349636755343</v>
      </c>
      <c r="BJ120" s="59">
        <f t="shared" si="92"/>
        <v>268.10688874775451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24.973400785641694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24.973400785641694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852.00000000000011</v>
      </c>
      <c r="O121" s="13">
        <f>N121*VLOOKUP('Données projet'!$B$9,Paramètres!$A$1:$I$89,3,0)*VLOOKUP('Données projet'!$B$9,Paramètres!$A$1:$I$89,5,0)</f>
        <v>420.88800000000009</v>
      </c>
      <c r="P121" s="13">
        <f t="shared" si="87"/>
        <v>95.998759891259041</v>
      </c>
      <c r="Q121" s="20">
        <f t="shared" si="107"/>
        <v>900.24444014394294</v>
      </c>
      <c r="R121" s="59">
        <f t="shared" si="55"/>
        <v>1193.5777734772762</v>
      </c>
      <c r="S121" s="59">
        <f ca="1">AVERAGE(OFFSET($R$3,0,0,'Données projet'!$E$9+1,1))-AVERAGE(OFFSET($H$3,0,0,'Données projet'!$E$9+1,1))</f>
        <v>434.08297999735811</v>
      </c>
      <c r="T121" s="59">
        <f t="shared" si="88"/>
        <v>371.04090283546122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74.921846102650207</v>
      </c>
      <c r="AA121" s="21">
        <f>EXP(-LN(2)/25)*AA120+(1-EXP(-LN(2)/25))/(LN(2)/25)*Calculateur!V121*Calculateur!X121*VLOOKUP('Données projet'!$B$9,Paramètres!$A$1:$I$89,3,0)*0.475*44/12</f>
        <v>4.507536263641569</v>
      </c>
      <c r="AB121" s="21">
        <f>EXP(-LN(2)/2)*AB120+(1-EXP(-LN(2)/2))/(LN(2)/2)*V121*Y121*VLOOKUP('Données projet'!$B$9,Paramètres!$A$1:$I$89,3,0)*0.475*44/12</f>
        <v>4.2722942453212184E-14</v>
      </c>
      <c r="AC121" s="22">
        <f t="shared" si="57"/>
        <v>79.429382366291819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367.99999999999972</v>
      </c>
      <c r="AJ121" s="13">
        <f>AI121*VLOOKUP('Données projet'!$B$10,Paramètres!$A$1:$I$89,3,0)*VLOOKUP('Données projet'!$B$10,Paramètres!$A$1:$I$89,5,0)</f>
        <v>292.78079999999977</v>
      </c>
      <c r="AK121" s="13">
        <f t="shared" si="89"/>
        <v>69.660903052386217</v>
      </c>
      <c r="AL121" s="20">
        <f t="shared" si="58"/>
        <v>631.25263281623893</v>
      </c>
      <c r="AM121" s="59">
        <f t="shared" si="59"/>
        <v>924.58596614957219</v>
      </c>
      <c r="AN121" s="59">
        <f ca="1">AVERAGE(OFFSET($AM$3,0,0,'Données projet'!$E$10+1,1))-AVERAGE(OFFSET($H$3,0,0,'Données projet'!$E$10+1,1))</f>
        <v>331.52724290297675</v>
      </c>
      <c r="AO121" s="59">
        <f t="shared" si="90"/>
        <v>322.79102610158054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29.038792303576496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29.038792303576496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367.99999999999972</v>
      </c>
      <c r="BE121" s="13">
        <f>BD121*VLOOKUP('Données projet'!$B$11,Paramètres!$A$1:$I$89,3,0)*VLOOKUP('Données projet'!$B$11,Paramètres!$A$1:$I$89,5,0)</f>
        <v>246.8543999999998</v>
      </c>
      <c r="BF121" s="13">
        <f t="shared" si="91"/>
        <v>59.911862368716115</v>
      </c>
      <c r="BG121" s="20">
        <f t="shared" si="61"/>
        <v>534.28457362551353</v>
      </c>
      <c r="BH121" s="59">
        <f t="shared" si="62"/>
        <v>827.61790695884679</v>
      </c>
      <c r="BI121" s="59">
        <f ca="1">AVERAGE(OFFSET($BH$3,0,0,'Données projet'!$E$11+1,1))-AVERAGE(OFFSET($H$3,0,0,'Données projet'!$E$11+1,1))</f>
        <v>273.84349636755343</v>
      </c>
      <c r="BJ121" s="59">
        <f t="shared" si="92"/>
        <v>268.10688874775451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24.483687628505677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24.483687628505677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852.00000000000011</v>
      </c>
      <c r="O122" s="13">
        <f>N122*VLOOKUP('Données projet'!$B$9,Paramètres!$A$1:$I$89,3,0)*VLOOKUP('Données projet'!$B$9,Paramètres!$A$1:$I$89,5,0)</f>
        <v>420.88800000000009</v>
      </c>
      <c r="P122" s="13">
        <f t="shared" si="87"/>
        <v>95.998759891259041</v>
      </c>
      <c r="Q122" s="20">
        <f t="shared" si="107"/>
        <v>900.24444014394294</v>
      </c>
      <c r="R122" s="59">
        <f t="shared" si="55"/>
        <v>1193.5777734772762</v>
      </c>
      <c r="S122" s="59">
        <f ca="1">AVERAGE(OFFSET($R$3,0,0,'Données projet'!$E$9+1,1))-AVERAGE(OFFSET($H$3,0,0,'Données projet'!$E$9+1,1))</f>
        <v>434.08297999735811</v>
      </c>
      <c r="T122" s="59">
        <f t="shared" si="88"/>
        <v>371.04090283546122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73.452674398391068</v>
      </c>
      <c r="AA122" s="21">
        <f>EXP(-LN(2)/25)*AA121+(1-EXP(-LN(2)/25))/(LN(2)/25)*Calculateur!V122*Calculateur!X122*VLOOKUP('Données projet'!$B$9,Paramètres!$A$1:$I$89,3,0)*0.475*44/12</f>
        <v>4.38427744747126</v>
      </c>
      <c r="AB122" s="21">
        <f>EXP(-LN(2)/2)*AB121+(1-EXP(-LN(2)/2))/(LN(2)/2)*V122*Y122*VLOOKUP('Données projet'!$B$9,Paramètres!$A$1:$I$89,3,0)*0.475*44/12</f>
        <v>3.0209682320908968E-14</v>
      </c>
      <c r="AC122" s="22">
        <f t="shared" si="57"/>
        <v>77.836951845862359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367.99999999999972</v>
      </c>
      <c r="AJ122" s="13">
        <f>AI122*VLOOKUP('Données projet'!$B$10,Paramètres!$A$1:$I$89,3,0)*VLOOKUP('Données projet'!$B$10,Paramètres!$A$1:$I$89,5,0)</f>
        <v>292.78079999999977</v>
      </c>
      <c r="AK122" s="13">
        <f t="shared" si="89"/>
        <v>69.660903052386217</v>
      </c>
      <c r="AL122" s="20">
        <f t="shared" si="58"/>
        <v>631.25263281623893</v>
      </c>
      <c r="AM122" s="59">
        <f t="shared" si="59"/>
        <v>924.58596614957219</v>
      </c>
      <c r="AN122" s="59">
        <f ca="1">AVERAGE(OFFSET($AM$3,0,0,'Données projet'!$E$10+1,1))-AVERAGE(OFFSET($H$3,0,0,'Données projet'!$E$10+1,1))</f>
        <v>331.52724290297675</v>
      </c>
      <c r="AO122" s="59">
        <f t="shared" si="90"/>
        <v>322.79102610158054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28.469359298417761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28.469359298417761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367.99999999999972</v>
      </c>
      <c r="BE122" s="13">
        <f>BD122*VLOOKUP('Données projet'!$B$11,Paramètres!$A$1:$I$89,3,0)*VLOOKUP('Données projet'!$B$11,Paramètres!$A$1:$I$89,5,0)</f>
        <v>246.8543999999998</v>
      </c>
      <c r="BF122" s="13">
        <f t="shared" si="91"/>
        <v>59.911862368716115</v>
      </c>
      <c r="BG122" s="20">
        <f t="shared" si="61"/>
        <v>534.28457362551353</v>
      </c>
      <c r="BH122" s="59">
        <f t="shared" si="62"/>
        <v>827.61790695884679</v>
      </c>
      <c r="BI122" s="59">
        <f ca="1">AVERAGE(OFFSET($BH$3,0,0,'Données projet'!$E$11+1,1))-AVERAGE(OFFSET($H$3,0,0,'Données projet'!$E$11+1,1))</f>
        <v>273.84349636755343</v>
      </c>
      <c r="BJ122" s="59">
        <f t="shared" si="92"/>
        <v>268.10688874775451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24.003577447685565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24.003577447685565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852.00000000000011</v>
      </c>
      <c r="O123" s="13">
        <f>N123*VLOOKUP('Données projet'!$B$9,Paramètres!$A$1:$I$89,3,0)*VLOOKUP('Données projet'!$B$9,Paramètres!$A$1:$I$89,5,0)</f>
        <v>420.88800000000009</v>
      </c>
      <c r="P123" s="13">
        <f t="shared" si="87"/>
        <v>95.998759891259041</v>
      </c>
      <c r="Q123" s="20">
        <f t="shared" si="107"/>
        <v>900.24444014394294</v>
      </c>
      <c r="R123" s="59">
        <f t="shared" si="55"/>
        <v>1193.5777734772762</v>
      </c>
      <c r="S123" s="59">
        <f ca="1">AVERAGE(OFFSET($R$3,0,0,'Données projet'!$E$9+1,1))-AVERAGE(OFFSET($H$3,0,0,'Données projet'!$E$9+1,1))</f>
        <v>434.08297999735811</v>
      </c>
      <c r="T123" s="59">
        <f t="shared" si="88"/>
        <v>371.04090283546122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72.012312255146199</v>
      </c>
      <c r="AA123" s="21">
        <f>EXP(-LN(2)/25)*AA122+(1-EXP(-LN(2)/25))/(LN(2)/25)*Calculateur!V123*Calculateur!X123*VLOOKUP('Données projet'!$B$9,Paramètres!$A$1:$I$89,3,0)*0.475*44/12</f>
        <v>4.264389150111028</v>
      </c>
      <c r="AB123" s="21">
        <f>EXP(-LN(2)/2)*AB122+(1-EXP(-LN(2)/2))/(LN(2)/2)*V123*Y123*VLOOKUP('Données projet'!$B$9,Paramètres!$A$1:$I$89,3,0)*0.475*44/12</f>
        <v>2.1361471226606092E-14</v>
      </c>
      <c r="AC123" s="22">
        <f t="shared" si="57"/>
        <v>76.276701405257256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367.99999999999972</v>
      </c>
      <c r="AJ123" s="13">
        <f>AI123*VLOOKUP('Données projet'!$B$10,Paramètres!$A$1:$I$89,3,0)*VLOOKUP('Données projet'!$B$10,Paramètres!$A$1:$I$89,5,0)</f>
        <v>292.78079999999977</v>
      </c>
      <c r="AK123" s="13">
        <f t="shared" si="89"/>
        <v>69.660903052386217</v>
      </c>
      <c r="AL123" s="20">
        <f t="shared" si="58"/>
        <v>631.25263281623893</v>
      </c>
      <c r="AM123" s="59">
        <f t="shared" si="59"/>
        <v>924.58596614957219</v>
      </c>
      <c r="AN123" s="59">
        <f ca="1">AVERAGE(OFFSET($AM$3,0,0,'Données projet'!$E$10+1,1))-AVERAGE(OFFSET($H$3,0,0,'Données projet'!$E$10+1,1))</f>
        <v>331.52724290297675</v>
      </c>
      <c r="AO123" s="59">
        <f t="shared" si="90"/>
        <v>322.79102610158054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27.91109252717035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27.91109252717035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367.99999999999972</v>
      </c>
      <c r="BE123" s="13">
        <f>BD123*VLOOKUP('Données projet'!$B$11,Paramètres!$A$1:$I$89,3,0)*VLOOKUP('Données projet'!$B$11,Paramètres!$A$1:$I$89,5,0)</f>
        <v>246.8543999999998</v>
      </c>
      <c r="BF123" s="13">
        <f t="shared" si="91"/>
        <v>59.911862368716115</v>
      </c>
      <c r="BG123" s="20">
        <f t="shared" si="61"/>
        <v>534.28457362551353</v>
      </c>
      <c r="BH123" s="59">
        <f t="shared" si="62"/>
        <v>827.61790695884679</v>
      </c>
      <c r="BI123" s="59">
        <f ca="1">AVERAGE(OFFSET($BH$3,0,0,'Données projet'!$E$11+1,1))-AVERAGE(OFFSET($H$3,0,0,'Données projet'!$E$11+1,1))</f>
        <v>273.84349636755343</v>
      </c>
      <c r="BJ123" s="59">
        <f t="shared" si="92"/>
        <v>268.10688874775451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23.532881934673043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23.532881934673043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852.00000000000011</v>
      </c>
      <c r="O124" s="13">
        <f>N124*VLOOKUP('Données projet'!$B$9,Paramètres!$A$1:$I$89,3,0)*VLOOKUP('Données projet'!$B$9,Paramètres!$A$1:$I$89,5,0)</f>
        <v>420.88800000000009</v>
      </c>
      <c r="P124" s="13">
        <f t="shared" si="87"/>
        <v>95.998759891259041</v>
      </c>
      <c r="Q124" s="20">
        <f t="shared" si="107"/>
        <v>900.24444014394294</v>
      </c>
      <c r="R124" s="59">
        <f t="shared" si="55"/>
        <v>1193.5777734772762</v>
      </c>
      <c r="S124" s="59">
        <f ca="1">AVERAGE(OFFSET($R$3,0,0,'Données projet'!$E$9+1,1))-AVERAGE(OFFSET($H$3,0,0,'Données projet'!$E$9+1,1))</f>
        <v>434.08297999735811</v>
      </c>
      <c r="T124" s="59">
        <f t="shared" si="88"/>
        <v>371.04090283546122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70.600194734996208</v>
      </c>
      <c r="AA124" s="21">
        <f>EXP(-LN(2)/25)*AA123+(1-EXP(-LN(2)/25))/(LN(2)/25)*Calculateur!V124*Calculateur!X124*VLOOKUP('Données projet'!$B$9,Paramètres!$A$1:$I$89,3,0)*0.475*44/12</f>
        <v>4.1477792045467625</v>
      </c>
      <c r="AB124" s="21">
        <f>EXP(-LN(2)/2)*AB123+(1-EXP(-LN(2)/2))/(LN(2)/2)*V124*Y124*VLOOKUP('Données projet'!$B$9,Paramètres!$A$1:$I$89,3,0)*0.475*44/12</f>
        <v>1.5104841160454484E-14</v>
      </c>
      <c r="AC124" s="22">
        <f t="shared" si="57"/>
        <v>74.747973939542987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367.99999999999972</v>
      </c>
      <c r="AJ124" s="13">
        <f>AI124*VLOOKUP('Données projet'!$B$10,Paramètres!$A$1:$I$89,3,0)*VLOOKUP('Données projet'!$B$10,Paramètres!$A$1:$I$89,5,0)</f>
        <v>292.78079999999977</v>
      </c>
      <c r="AK124" s="13">
        <f t="shared" si="89"/>
        <v>69.660903052386217</v>
      </c>
      <c r="AL124" s="20">
        <f t="shared" si="58"/>
        <v>631.25263281623893</v>
      </c>
      <c r="AM124" s="59">
        <f t="shared" si="59"/>
        <v>924.58596614957219</v>
      </c>
      <c r="AN124" s="59">
        <f ca="1">AVERAGE(OFFSET($AM$3,0,0,'Données projet'!$E$10+1,1))-AVERAGE(OFFSET($H$3,0,0,'Données projet'!$E$10+1,1))</f>
        <v>331.52724290297675</v>
      </c>
      <c r="AO124" s="59">
        <f t="shared" si="90"/>
        <v>322.79102610158054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27.363773026797993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27.363773026797993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367.99999999999972</v>
      </c>
      <c r="BE124" s="13">
        <f>BD124*VLOOKUP('Données projet'!$B$11,Paramètres!$A$1:$I$89,3,0)*VLOOKUP('Données projet'!$B$11,Paramètres!$A$1:$I$89,5,0)</f>
        <v>246.8543999999998</v>
      </c>
      <c r="BF124" s="13">
        <f t="shared" si="91"/>
        <v>59.911862368716115</v>
      </c>
      <c r="BG124" s="20">
        <f t="shared" si="61"/>
        <v>534.28457362551353</v>
      </c>
      <c r="BH124" s="59">
        <f t="shared" si="62"/>
        <v>827.61790695884679</v>
      </c>
      <c r="BI124" s="59">
        <f ca="1">AVERAGE(OFFSET($BH$3,0,0,'Données projet'!$E$11+1,1))-AVERAGE(OFFSET($H$3,0,0,'Données projet'!$E$11+1,1))</f>
        <v>273.84349636755343</v>
      </c>
      <c r="BJ124" s="59">
        <f t="shared" si="92"/>
        <v>268.10688874775451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23.071416473574779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23.071416473574779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852.00000000000011</v>
      </c>
      <c r="O125" s="13">
        <f>N125*VLOOKUP('Données projet'!$B$9,Paramètres!$A$1:$I$89,3,0)*VLOOKUP('Données projet'!$B$9,Paramètres!$A$1:$I$89,5,0)</f>
        <v>420.88800000000009</v>
      </c>
      <c r="P125" s="13">
        <f t="shared" si="87"/>
        <v>95.998759891259041</v>
      </c>
      <c r="Q125" s="20">
        <f t="shared" si="107"/>
        <v>900.24444014394294</v>
      </c>
      <c r="R125" s="59">
        <f t="shared" si="55"/>
        <v>1193.5777734772762</v>
      </c>
      <c r="S125" s="59">
        <f ca="1">AVERAGE(OFFSET($R$3,0,0,'Données projet'!$E$9+1,1))-AVERAGE(OFFSET($H$3,0,0,'Données projet'!$E$9+1,1))</f>
        <v>434.08297999735811</v>
      </c>
      <c r="T125" s="59">
        <f t="shared" si="88"/>
        <v>371.04090283546122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69.21576797810971</v>
      </c>
      <c r="AA125" s="21">
        <f>EXP(-LN(2)/25)*AA124+(1-EXP(-LN(2)/25))/(LN(2)/25)*Calculateur!V125*Calculateur!X125*VLOOKUP('Données projet'!$B$9,Paramètres!$A$1:$I$89,3,0)*0.475*44/12</f>
        <v>4.0343579640762028</v>
      </c>
      <c r="AB125" s="21">
        <f>EXP(-LN(2)/2)*AB124+(1-EXP(-LN(2)/2))/(LN(2)/2)*V125*Y125*VLOOKUP('Données projet'!$B$9,Paramètres!$A$1:$I$89,3,0)*0.475*44/12</f>
        <v>1.0680735613303046E-14</v>
      </c>
      <c r="AC125" s="22">
        <f t="shared" si="57"/>
        <v>73.250125942185932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367.99999999999972</v>
      </c>
      <c r="AJ125" s="13">
        <f>AI125*VLOOKUP('Données projet'!$B$10,Paramètres!$A$1:$I$89,3,0)*VLOOKUP('Données projet'!$B$10,Paramètres!$A$1:$I$89,5,0)</f>
        <v>292.78079999999977</v>
      </c>
      <c r="AK125" s="13">
        <f t="shared" si="89"/>
        <v>69.660903052386217</v>
      </c>
      <c r="AL125" s="20">
        <f t="shared" si="58"/>
        <v>631.25263281623893</v>
      </c>
      <c r="AM125" s="59">
        <f t="shared" si="59"/>
        <v>924.58596614957219</v>
      </c>
      <c r="AN125" s="59">
        <f ca="1">AVERAGE(OFFSET($AM$3,0,0,'Données projet'!$E$10+1,1))-AVERAGE(OFFSET($H$3,0,0,'Données projet'!$E$10+1,1))</f>
        <v>331.52724290297675</v>
      </c>
      <c r="AO125" s="59">
        <f t="shared" si="90"/>
        <v>322.79102610158054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26.827186127996004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26.827186127996004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367.99999999999972</v>
      </c>
      <c r="BE125" s="13">
        <f>BD125*VLOOKUP('Données projet'!$B$11,Paramètres!$A$1:$I$89,3,0)*VLOOKUP('Données projet'!$B$11,Paramètres!$A$1:$I$89,5,0)</f>
        <v>246.8543999999998</v>
      </c>
      <c r="BF125" s="13">
        <f t="shared" si="91"/>
        <v>59.911862368716115</v>
      </c>
      <c r="BG125" s="20">
        <f t="shared" si="61"/>
        <v>534.28457362551353</v>
      </c>
      <c r="BH125" s="59">
        <f t="shared" si="62"/>
        <v>827.61790695884679</v>
      </c>
      <c r="BI125" s="59">
        <f ca="1">AVERAGE(OFFSET($BH$3,0,0,'Données projet'!$E$11+1,1))-AVERAGE(OFFSET($H$3,0,0,'Données projet'!$E$11+1,1))</f>
        <v>273.84349636755343</v>
      </c>
      <c r="BJ125" s="59">
        <f t="shared" si="92"/>
        <v>268.10688874775451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22.619000068702515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22.619000068702515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852.00000000000011</v>
      </c>
      <c r="O126" s="13">
        <f>N126*VLOOKUP('Données projet'!$B$9,Paramètres!$A$1:$I$89,3,0)*VLOOKUP('Données projet'!$B$9,Paramètres!$A$1:$I$89,5,0)</f>
        <v>420.88800000000009</v>
      </c>
      <c r="P126" s="13">
        <f t="shared" si="87"/>
        <v>95.998759891259041</v>
      </c>
      <c r="Q126" s="20">
        <f t="shared" si="107"/>
        <v>900.24444014394294</v>
      </c>
      <c r="R126" s="59">
        <f t="shared" si="55"/>
        <v>1193.5777734772762</v>
      </c>
      <c r="S126" s="59">
        <f ca="1">AVERAGE(OFFSET($R$3,0,0,'Données projet'!$E$9+1,1))-AVERAGE(OFFSET($H$3,0,0,'Données projet'!$E$9+1,1))</f>
        <v>434.08297999735811</v>
      </c>
      <c r="T126" s="59">
        <f t="shared" si="88"/>
        <v>371.04090283546122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67.858488985508814</v>
      </c>
      <c r="AA126" s="21">
        <f>EXP(-LN(2)/25)*AA125+(1-EXP(-LN(2)/25))/(LN(2)/25)*Calculateur!V126*Calculateur!X126*VLOOKUP('Données projet'!$B$9,Paramètres!$A$1:$I$89,3,0)*0.475*44/12</f>
        <v>3.9240382333908745</v>
      </c>
      <c r="AB126" s="21">
        <f>EXP(-LN(2)/2)*AB125+(1-EXP(-LN(2)/2))/(LN(2)/2)*V126*Y126*VLOOKUP('Données projet'!$B$9,Paramètres!$A$1:$I$89,3,0)*0.475*44/12</f>
        <v>7.5524205802272421E-15</v>
      </c>
      <c r="AC126" s="22">
        <f t="shared" si="57"/>
        <v>71.782527218899702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367.99999999999972</v>
      </c>
      <c r="AJ126" s="13">
        <f>AI126*VLOOKUP('Données projet'!$B$10,Paramètres!$A$1:$I$89,3,0)*VLOOKUP('Données projet'!$B$10,Paramètres!$A$1:$I$89,5,0)</f>
        <v>292.78079999999977</v>
      </c>
      <c r="AK126" s="13">
        <f t="shared" si="89"/>
        <v>69.660903052386217</v>
      </c>
      <c r="AL126" s="20">
        <f t="shared" si="58"/>
        <v>631.25263281623893</v>
      </c>
      <c r="AM126" s="59">
        <f t="shared" si="59"/>
        <v>924.58596614957219</v>
      </c>
      <c r="AN126" s="59">
        <f ca="1">AVERAGE(OFFSET($AM$3,0,0,'Données projet'!$E$10+1,1))-AVERAGE(OFFSET($H$3,0,0,'Données projet'!$E$10+1,1))</f>
        <v>331.52724290297675</v>
      </c>
      <c r="AO126" s="59">
        <f t="shared" si="90"/>
        <v>322.79102610158054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26.301121370993833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26.301121370993833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367.99999999999972</v>
      </c>
      <c r="BE126" s="13">
        <f>BD126*VLOOKUP('Données projet'!$B$11,Paramètres!$A$1:$I$89,3,0)*VLOOKUP('Données projet'!$B$11,Paramètres!$A$1:$I$89,5,0)</f>
        <v>246.8543999999998</v>
      </c>
      <c r="BF126" s="13">
        <f t="shared" si="91"/>
        <v>59.911862368716115</v>
      </c>
      <c r="BG126" s="20">
        <f t="shared" si="61"/>
        <v>534.28457362551353</v>
      </c>
      <c r="BH126" s="59">
        <f t="shared" si="62"/>
        <v>827.61790695884679</v>
      </c>
      <c r="BI126" s="59">
        <f ca="1">AVERAGE(OFFSET($BH$3,0,0,'Données projet'!$E$11+1,1))-AVERAGE(OFFSET($H$3,0,0,'Données projet'!$E$11+1,1))</f>
        <v>273.84349636755343</v>
      </c>
      <c r="BJ126" s="59">
        <f t="shared" si="92"/>
        <v>268.10688874775451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22.175455273583037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22.175455273583037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852.00000000000011</v>
      </c>
      <c r="O127" s="13">
        <f>N127*VLOOKUP('Données projet'!$B$9,Paramètres!$A$1:$I$89,3,0)*VLOOKUP('Données projet'!$B$9,Paramètres!$A$1:$I$89,5,0)</f>
        <v>420.88800000000009</v>
      </c>
      <c r="P127" s="13">
        <f t="shared" si="87"/>
        <v>95.998759891259041</v>
      </c>
      <c r="Q127" s="20">
        <f t="shared" si="107"/>
        <v>900.24444014394294</v>
      </c>
      <c r="R127" s="59">
        <f t="shared" si="55"/>
        <v>1193.5777734772762</v>
      </c>
      <c r="S127" s="59">
        <f ca="1">AVERAGE(OFFSET($R$3,0,0,'Données projet'!$E$9+1,1))-AVERAGE(OFFSET($H$3,0,0,'Données projet'!$E$9+1,1))</f>
        <v>434.08297999735811</v>
      </c>
      <c r="T127" s="59">
        <f t="shared" si="88"/>
        <v>371.04090283546122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66.527825406094379</v>
      </c>
      <c r="AA127" s="21">
        <f>EXP(-LN(2)/25)*AA126+(1-EXP(-LN(2)/25))/(LN(2)/25)*Calculateur!V127*Calculateur!X127*VLOOKUP('Données projet'!$B$9,Paramètres!$A$1:$I$89,3,0)*0.475*44/12</f>
        <v>3.816735201542599</v>
      </c>
      <c r="AB127" s="21">
        <f>EXP(-LN(2)/2)*AB126+(1-EXP(-LN(2)/2))/(LN(2)/2)*V127*Y127*VLOOKUP('Données projet'!$B$9,Paramètres!$A$1:$I$89,3,0)*0.475*44/12</f>
        <v>5.3403678066515229E-15</v>
      </c>
      <c r="AC127" s="22">
        <f t="shared" si="57"/>
        <v>70.344560607636978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367.99999999999972</v>
      </c>
      <c r="AJ127" s="13">
        <f>AI127*VLOOKUP('Données projet'!$B$10,Paramètres!$A$1:$I$89,3,0)*VLOOKUP('Données projet'!$B$10,Paramètres!$A$1:$I$89,5,0)</f>
        <v>292.78079999999977</v>
      </c>
      <c r="AK127" s="13">
        <f t="shared" si="89"/>
        <v>69.660903052386217</v>
      </c>
      <c r="AL127" s="20">
        <f t="shared" si="58"/>
        <v>631.25263281623893</v>
      </c>
      <c r="AM127" s="59">
        <f t="shared" si="59"/>
        <v>924.58596614957219</v>
      </c>
      <c r="AN127" s="59">
        <f ca="1">AVERAGE(OFFSET($AM$3,0,0,'Données projet'!$E$10+1,1))-AVERAGE(OFFSET($H$3,0,0,'Données projet'!$E$10+1,1))</f>
        <v>331.52724290297675</v>
      </c>
      <c r="AO127" s="59">
        <f t="shared" si="90"/>
        <v>322.79102610158054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25.785372423008656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25.785372423008656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367.99999999999972</v>
      </c>
      <c r="BE127" s="13">
        <f>BD127*VLOOKUP('Données projet'!$B$11,Paramètres!$A$1:$I$89,3,0)*VLOOKUP('Données projet'!$B$11,Paramètres!$A$1:$I$89,5,0)</f>
        <v>246.8543999999998</v>
      </c>
      <c r="BF127" s="13">
        <f t="shared" si="91"/>
        <v>59.911862368716115</v>
      </c>
      <c r="BG127" s="20">
        <f t="shared" si="61"/>
        <v>534.28457362551353</v>
      </c>
      <c r="BH127" s="59">
        <f t="shared" si="62"/>
        <v>827.61790695884679</v>
      </c>
      <c r="BI127" s="59">
        <f ca="1">AVERAGE(OFFSET($BH$3,0,0,'Données projet'!$E$11+1,1))-AVERAGE(OFFSET($H$3,0,0,'Données projet'!$E$11+1,1))</f>
        <v>273.84349636755343</v>
      </c>
      <c r="BJ127" s="59">
        <f t="shared" si="92"/>
        <v>268.10688874775451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21.740608121360239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21.740608121360239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852.00000000000011</v>
      </c>
      <c r="O128" s="13">
        <f>N128*VLOOKUP('Données projet'!$B$9,Paramètres!$A$1:$I$89,3,0)*VLOOKUP('Données projet'!$B$9,Paramètres!$A$1:$I$89,5,0)</f>
        <v>420.88800000000009</v>
      </c>
      <c r="P128" s="13">
        <f t="shared" si="87"/>
        <v>95.998759891259041</v>
      </c>
      <c r="Q128" s="20">
        <f t="shared" si="107"/>
        <v>900.24444014394294</v>
      </c>
      <c r="R128" s="59">
        <f t="shared" si="55"/>
        <v>1193.5777734772762</v>
      </c>
      <c r="S128" s="59">
        <f ca="1">AVERAGE(OFFSET($R$3,0,0,'Données projet'!$E$9+1,1))-AVERAGE(OFFSET($H$3,0,0,'Données projet'!$E$9+1,1))</f>
        <v>434.08297999735811</v>
      </c>
      <c r="T128" s="59">
        <f t="shared" si="88"/>
        <v>371.04090283546122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65.223255327847625</v>
      </c>
      <c r="AA128" s="21">
        <f>EXP(-LN(2)/25)*AA127+(1-EXP(-LN(2)/25))/(LN(2)/25)*Calculateur!V128*Calculateur!X128*VLOOKUP('Données projet'!$B$9,Paramètres!$A$1:$I$89,3,0)*0.475*44/12</f>
        <v>3.7123663767430357</v>
      </c>
      <c r="AB128" s="21">
        <f>EXP(-LN(2)/2)*AB127+(1-EXP(-LN(2)/2))/(LN(2)/2)*V128*Y128*VLOOKUP('Données projet'!$B$9,Paramètres!$A$1:$I$89,3,0)*0.475*44/12</f>
        <v>3.776210290113621E-15</v>
      </c>
      <c r="AC128" s="22">
        <f t="shared" si="57"/>
        <v>68.935621704590659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367.99999999999972</v>
      </c>
      <c r="AJ128" s="13">
        <f>AI128*VLOOKUP('Données projet'!$B$10,Paramètres!$A$1:$I$89,3,0)*VLOOKUP('Données projet'!$B$10,Paramètres!$A$1:$I$89,5,0)</f>
        <v>292.78079999999977</v>
      </c>
      <c r="AK128" s="13">
        <f t="shared" si="89"/>
        <v>69.660903052386217</v>
      </c>
      <c r="AL128" s="20">
        <f t="shared" si="58"/>
        <v>631.25263281623893</v>
      </c>
      <c r="AM128" s="59">
        <f t="shared" si="59"/>
        <v>924.58596614957219</v>
      </c>
      <c r="AN128" s="59">
        <f ca="1">AVERAGE(OFFSET($AM$3,0,0,'Données projet'!$E$10+1,1))-AVERAGE(OFFSET($H$3,0,0,'Données projet'!$E$10+1,1))</f>
        <v>331.52724290297675</v>
      </c>
      <c r="AO128" s="59">
        <f t="shared" si="90"/>
        <v>322.79102610158054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25.27973699731767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25.27973699731767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367.99999999999972</v>
      </c>
      <c r="BE128" s="13">
        <f>BD128*VLOOKUP('Données projet'!$B$11,Paramètres!$A$1:$I$89,3,0)*VLOOKUP('Données projet'!$B$11,Paramètres!$A$1:$I$89,5,0)</f>
        <v>246.8543999999998</v>
      </c>
      <c r="BF128" s="13">
        <f t="shared" si="91"/>
        <v>59.911862368716115</v>
      </c>
      <c r="BG128" s="20">
        <f t="shared" si="61"/>
        <v>534.28457362551353</v>
      </c>
      <c r="BH128" s="59">
        <f t="shared" si="62"/>
        <v>827.61790695884679</v>
      </c>
      <c r="BI128" s="59">
        <f ca="1">AVERAGE(OFFSET($BH$3,0,0,'Données projet'!$E$11+1,1))-AVERAGE(OFFSET($H$3,0,0,'Données projet'!$E$11+1,1))</f>
        <v>273.84349636755343</v>
      </c>
      <c r="BJ128" s="59">
        <f t="shared" si="92"/>
        <v>268.10688874775451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21.314288056561956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21.314288056561956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852.00000000000011</v>
      </c>
      <c r="O129" s="13">
        <f>N129*VLOOKUP('Données projet'!$B$9,Paramètres!$A$1:$I$89,3,0)*VLOOKUP('Données projet'!$B$9,Paramètres!$A$1:$I$89,5,0)</f>
        <v>420.88800000000009</v>
      </c>
      <c r="P129" s="13">
        <f t="shared" si="87"/>
        <v>95.998759891259041</v>
      </c>
      <c r="Q129" s="20">
        <f t="shared" si="107"/>
        <v>900.24444014394294</v>
      </c>
      <c r="R129" s="59">
        <f t="shared" si="55"/>
        <v>1193.5777734772762</v>
      </c>
      <c r="S129" s="59">
        <f ca="1">AVERAGE(OFFSET($R$3,0,0,'Données projet'!$E$9+1,1))-AVERAGE(OFFSET($H$3,0,0,'Données projet'!$E$9+1,1))</f>
        <v>434.08297999735811</v>
      </c>
      <c r="T129" s="59">
        <f t="shared" si="88"/>
        <v>371.04090283546122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63.944267073126113</v>
      </c>
      <c r="AA129" s="21">
        <f>EXP(-LN(2)/25)*AA128+(1-EXP(-LN(2)/25))/(LN(2)/25)*Calculateur!V129*Calculateur!X129*VLOOKUP('Données projet'!$B$9,Paramètres!$A$1:$I$89,3,0)*0.475*44/12</f>
        <v>3.6108515229461342</v>
      </c>
      <c r="AB129" s="21">
        <f>EXP(-LN(2)/2)*AB128+(1-EXP(-LN(2)/2))/(LN(2)/2)*V129*Y129*VLOOKUP('Données projet'!$B$9,Paramètres!$A$1:$I$89,3,0)*0.475*44/12</f>
        <v>2.6701839033257615E-15</v>
      </c>
      <c r="AC129" s="22">
        <f t="shared" si="57"/>
        <v>67.555118596072248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367.99999999999972</v>
      </c>
      <c r="AJ129" s="13">
        <f>AI129*VLOOKUP('Données projet'!$B$10,Paramètres!$A$1:$I$89,3,0)*VLOOKUP('Données projet'!$B$10,Paramètres!$A$1:$I$89,5,0)</f>
        <v>292.78079999999977</v>
      </c>
      <c r="AK129" s="13">
        <f t="shared" si="89"/>
        <v>69.660903052386217</v>
      </c>
      <c r="AL129" s="20">
        <f t="shared" si="58"/>
        <v>631.25263281623893</v>
      </c>
      <c r="AM129" s="59">
        <f t="shared" si="59"/>
        <v>924.58596614957219</v>
      </c>
      <c r="AN129" s="59">
        <f ca="1">AVERAGE(OFFSET($AM$3,0,0,'Données projet'!$E$10+1,1))-AVERAGE(OFFSET($H$3,0,0,'Données projet'!$E$10+1,1))</f>
        <v>331.52724290297675</v>
      </c>
      <c r="AO129" s="59">
        <f t="shared" si="90"/>
        <v>322.79102610158054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24.784016773917326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24.784016773917326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367.99999999999972</v>
      </c>
      <c r="BE129" s="13">
        <f>BD129*VLOOKUP('Données projet'!$B$11,Paramètres!$A$1:$I$89,3,0)*VLOOKUP('Données projet'!$B$11,Paramètres!$A$1:$I$89,5,0)</f>
        <v>246.8543999999998</v>
      </c>
      <c r="BF129" s="13">
        <f t="shared" si="91"/>
        <v>59.911862368716115</v>
      </c>
      <c r="BG129" s="20">
        <f t="shared" si="61"/>
        <v>534.28457362551353</v>
      </c>
      <c r="BH129" s="59">
        <f t="shared" si="62"/>
        <v>827.61790695884679</v>
      </c>
      <c r="BI129" s="59">
        <f ca="1">AVERAGE(OFFSET($BH$3,0,0,'Données projet'!$E$11+1,1))-AVERAGE(OFFSET($H$3,0,0,'Données projet'!$E$11+1,1))</f>
        <v>273.84349636755343</v>
      </c>
      <c r="BJ129" s="59">
        <f t="shared" si="92"/>
        <v>268.10688874775451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20.896327868204803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20.896327868204803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852.00000000000011</v>
      </c>
      <c r="O130" s="13">
        <f>N130*VLOOKUP('Données projet'!$B$9,Paramètres!$A$1:$I$89,3,0)*VLOOKUP('Données projet'!$B$9,Paramètres!$A$1:$I$89,5,0)</f>
        <v>420.88800000000009</v>
      </c>
      <c r="P130" s="13">
        <f t="shared" si="87"/>
        <v>95.998759891259041</v>
      </c>
      <c r="Q130" s="20">
        <f t="shared" si="107"/>
        <v>900.24444014394294</v>
      </c>
      <c r="R130" s="59">
        <f t="shared" si="55"/>
        <v>1193.5777734772762</v>
      </c>
      <c r="S130" s="59">
        <f ca="1">AVERAGE(OFFSET($R$3,0,0,'Données projet'!$E$9+1,1))-AVERAGE(OFFSET($H$3,0,0,'Données projet'!$E$9+1,1))</f>
        <v>434.08297999735811</v>
      </c>
      <c r="T130" s="59">
        <f t="shared" si="88"/>
        <v>371.04090283546122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62.690358997973881</v>
      </c>
      <c r="AA130" s="21">
        <f>EXP(-LN(2)/25)*AA129+(1-EXP(-LN(2)/25))/(LN(2)/25)*Calculateur!V130*Calculateur!X130*VLOOKUP('Données projet'!$B$9,Paramètres!$A$1:$I$89,3,0)*0.475*44/12</f>
        <v>3.5121125981647432</v>
      </c>
      <c r="AB130" s="21">
        <f>EXP(-LN(2)/2)*AB129+(1-EXP(-LN(2)/2))/(LN(2)/2)*V130*Y130*VLOOKUP('Données projet'!$B$9,Paramètres!$A$1:$I$89,3,0)*0.475*44/12</f>
        <v>1.8881051450568105E-15</v>
      </c>
      <c r="AC130" s="22">
        <f t="shared" si="57"/>
        <v>66.202471596138622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367.99999999999972</v>
      </c>
      <c r="AJ130" s="13">
        <f>AI130*VLOOKUP('Données projet'!$B$10,Paramètres!$A$1:$I$89,3,0)*VLOOKUP('Données projet'!$B$10,Paramètres!$A$1:$I$89,5,0)</f>
        <v>292.78079999999977</v>
      </c>
      <c r="AK130" s="13">
        <f t="shared" si="89"/>
        <v>69.660903052386217</v>
      </c>
      <c r="AL130" s="20">
        <f t="shared" si="58"/>
        <v>631.25263281623893</v>
      </c>
      <c r="AM130" s="59">
        <f t="shared" si="59"/>
        <v>924.58596614957219</v>
      </c>
      <c r="AN130" s="59">
        <f ca="1">AVERAGE(OFFSET($AM$3,0,0,'Données projet'!$E$10+1,1))-AVERAGE(OFFSET($H$3,0,0,'Données projet'!$E$10+1,1))</f>
        <v>331.52724290297675</v>
      </c>
      <c r="AO130" s="59">
        <f t="shared" si="90"/>
        <v>322.79102610158054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24.298017321738385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24.298017321738385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367.99999999999972</v>
      </c>
      <c r="BE130" s="13">
        <f>BD130*VLOOKUP('Données projet'!$B$11,Paramètres!$A$1:$I$89,3,0)*VLOOKUP('Données projet'!$B$11,Paramètres!$A$1:$I$89,5,0)</f>
        <v>246.8543999999998</v>
      </c>
      <c r="BF130" s="13">
        <f t="shared" si="91"/>
        <v>59.911862368716115</v>
      </c>
      <c r="BG130" s="20">
        <f t="shared" si="61"/>
        <v>534.28457362551353</v>
      </c>
      <c r="BH130" s="59">
        <f t="shared" si="62"/>
        <v>827.61790695884679</v>
      </c>
      <c r="BI130" s="59">
        <f ca="1">AVERAGE(OFFSET($BH$3,0,0,'Données projet'!$E$11+1,1))-AVERAGE(OFFSET($H$3,0,0,'Données projet'!$E$11+1,1))</f>
        <v>273.84349636755343</v>
      </c>
      <c r="BJ130" s="59">
        <f t="shared" si="92"/>
        <v>268.10688874775451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20.486563624210792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20.486563624210792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852.00000000000011</v>
      </c>
      <c r="O131" s="13">
        <f>N131*VLOOKUP('Données projet'!$B$9,Paramètres!$A$1:$I$89,3,0)*VLOOKUP('Données projet'!$B$9,Paramètres!$A$1:$I$89,5,0)</f>
        <v>420.88800000000009</v>
      </c>
      <c r="P131" s="13">
        <f t="shared" si="87"/>
        <v>95.998759891259041</v>
      </c>
      <c r="Q131" s="20">
        <f t="shared" ref="Q131:Q153" si="108">(O131+P131)*0.475*44/12</f>
        <v>900.24444014394294</v>
      </c>
      <c r="R131" s="59">
        <f t="shared" ref="R131:R194" si="109">Q131+(I131+J131)*44/12</f>
        <v>1193.5777734772762</v>
      </c>
      <c r="S131" s="59">
        <f ca="1">AVERAGE(OFFSET($R$3,0,0,'Données projet'!$E$9+1,1))-AVERAGE(OFFSET($H$3,0,0,'Données projet'!$E$9+1,1))</f>
        <v>434.08297999735811</v>
      </c>
      <c r="T131" s="59">
        <f t="shared" si="88"/>
        <v>371.04090283546122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61.46103929536698</v>
      </c>
      <c r="AA131" s="21">
        <f>EXP(-LN(2)/25)*AA130+(1-EXP(-LN(2)/25))/(LN(2)/25)*Calculateur!V131*Calculateur!X131*VLOOKUP('Données projet'!$B$9,Paramètres!$A$1:$I$89,3,0)*0.475*44/12</f>
        <v>3.4160736944739538</v>
      </c>
      <c r="AB131" s="21">
        <f>EXP(-LN(2)/2)*AB130+(1-EXP(-LN(2)/2))/(LN(2)/2)*V131*Y131*VLOOKUP('Données projet'!$B$9,Paramètres!$A$1:$I$89,3,0)*0.475*44/12</f>
        <v>1.3350919516628807E-15</v>
      </c>
      <c r="AC131" s="22">
        <f t="shared" si="57"/>
        <v>64.877112989840938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367.99999999999972</v>
      </c>
      <c r="AJ131" s="13">
        <f>AI131*VLOOKUP('Données projet'!$B$10,Paramètres!$A$1:$I$89,3,0)*VLOOKUP('Données projet'!$B$10,Paramètres!$A$1:$I$89,5,0)</f>
        <v>292.78079999999977</v>
      </c>
      <c r="AK131" s="13">
        <f t="shared" si="89"/>
        <v>69.660903052386217</v>
      </c>
      <c r="AL131" s="20">
        <f t="shared" si="58"/>
        <v>631.25263281623893</v>
      </c>
      <c r="AM131" s="59">
        <f t="shared" si="59"/>
        <v>924.58596614957219</v>
      </c>
      <c r="AN131" s="59">
        <f ca="1">AVERAGE(OFFSET($AM$3,0,0,'Données projet'!$E$10+1,1))-AVERAGE(OFFSET($H$3,0,0,'Données projet'!$E$10+1,1))</f>
        <v>331.52724290297675</v>
      </c>
      <c r="AO131" s="59">
        <f t="shared" si="90"/>
        <v>322.79102610158054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23.821548022386274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23.821548022386274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367.99999999999972</v>
      </c>
      <c r="BE131" s="13">
        <f>BD131*VLOOKUP('Données projet'!$B$11,Paramètres!$A$1:$I$89,3,0)*VLOOKUP('Données projet'!$B$11,Paramètres!$A$1:$I$89,5,0)</f>
        <v>246.8543999999998</v>
      </c>
      <c r="BF131" s="13">
        <f t="shared" si="91"/>
        <v>59.911862368716115</v>
      </c>
      <c r="BG131" s="20">
        <f t="shared" si="61"/>
        <v>534.28457362551353</v>
      </c>
      <c r="BH131" s="59">
        <f t="shared" si="62"/>
        <v>827.61790695884679</v>
      </c>
      <c r="BI131" s="59">
        <f ca="1">AVERAGE(OFFSET($BH$3,0,0,'Données projet'!$E$11+1,1))-AVERAGE(OFFSET($H$3,0,0,'Données projet'!$E$11+1,1))</f>
        <v>273.84349636755343</v>
      </c>
      <c r="BJ131" s="59">
        <f t="shared" si="92"/>
        <v>268.10688874775451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20.084834607109993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20.084834607109993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852.00000000000011</v>
      </c>
      <c r="O132" s="13">
        <f>N132*VLOOKUP('Données projet'!$B$9,Paramètres!$A$1:$I$89,3,0)*VLOOKUP('Données projet'!$B$9,Paramètres!$A$1:$I$89,5,0)</f>
        <v>420.88800000000009</v>
      </c>
      <c r="P132" s="13">
        <f t="shared" si="87"/>
        <v>95.998759891259041</v>
      </c>
      <c r="Q132" s="20">
        <f t="shared" si="108"/>
        <v>900.24444014394294</v>
      </c>
      <c r="R132" s="59">
        <f t="shared" si="109"/>
        <v>1193.5777734772762</v>
      </c>
      <c r="S132" s="59">
        <f ca="1">AVERAGE(OFFSET($R$3,0,0,'Données projet'!$E$9+1,1))-AVERAGE(OFFSET($H$3,0,0,'Données projet'!$E$9+1,1))</f>
        <v>434.08297999735811</v>
      </c>
      <c r="T132" s="59">
        <f t="shared" si="88"/>
        <v>371.04090283546122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60.255825802317219</v>
      </c>
      <c r="AA132" s="21">
        <f>EXP(-LN(2)/25)*AA131+(1-EXP(-LN(2)/25))/(LN(2)/25)*Calculateur!V132*Calculateur!X132*VLOOKUP('Données projet'!$B$9,Paramètres!$A$1:$I$89,3,0)*0.475*44/12</f>
        <v>3.3226609796550557</v>
      </c>
      <c r="AB132" s="21">
        <f>EXP(-LN(2)/2)*AB131+(1-EXP(-LN(2)/2))/(LN(2)/2)*V132*Y132*VLOOKUP('Données projet'!$B$9,Paramètres!$A$1:$I$89,3,0)*0.475*44/12</f>
        <v>9.4405257252840526E-16</v>
      </c>
      <c r="AC132" s="22">
        <f t="shared" ref="AC132:AC153" si="111">SUM(Z132:AB132)</f>
        <v>63.578486781972273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367.99999999999972</v>
      </c>
      <c r="AJ132" s="13">
        <f>AI132*VLOOKUP('Données projet'!$B$10,Paramètres!$A$1:$I$89,3,0)*VLOOKUP('Données projet'!$B$10,Paramètres!$A$1:$I$89,5,0)</f>
        <v>292.78079999999977</v>
      </c>
      <c r="AK132" s="13">
        <f t="shared" si="89"/>
        <v>69.660903052386217</v>
      </c>
      <c r="AL132" s="20">
        <f t="shared" ref="AL132:AL153" si="112">(AJ132+AK132)*0.475*44/12</f>
        <v>631.25263281623893</v>
      </c>
      <c r="AM132" s="59">
        <f t="shared" ref="AM132:AM195" si="113">AL132+(AD132+AE132)*44/12</f>
        <v>924.58596614957219</v>
      </c>
      <c r="AN132" s="59">
        <f ca="1">AVERAGE(OFFSET($AM$3,0,0,'Données projet'!$E$10+1,1))-AVERAGE(OFFSET($H$3,0,0,'Données projet'!$E$10+1,1))</f>
        <v>331.52724290297675</v>
      </c>
      <c r="AO132" s="59">
        <f t="shared" si="90"/>
        <v>322.79102610158054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23.354421995376882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23.354421995376882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367.99999999999972</v>
      </c>
      <c r="BE132" s="13">
        <f>BD132*VLOOKUP('Données projet'!$B$11,Paramètres!$A$1:$I$89,3,0)*VLOOKUP('Données projet'!$B$11,Paramètres!$A$1:$I$89,5,0)</f>
        <v>246.8543999999998</v>
      </c>
      <c r="BF132" s="13">
        <f t="shared" si="91"/>
        <v>59.911862368716115</v>
      </c>
      <c r="BG132" s="20">
        <f t="shared" ref="BG132:BG153" si="115">(BE132+BF132)*0.475*44/12</f>
        <v>534.28457362551353</v>
      </c>
      <c r="BH132" s="59">
        <f t="shared" ref="BH132:BH195" si="116">BG132+(AY132+AZ132)*44/12</f>
        <v>827.61790695884679</v>
      </c>
      <c r="BI132" s="59">
        <f ca="1">AVERAGE(OFFSET($BH$3,0,0,'Données projet'!$E$11+1,1))-AVERAGE(OFFSET($H$3,0,0,'Données projet'!$E$11+1,1))</f>
        <v>273.84349636755343</v>
      </c>
      <c r="BJ132" s="59">
        <f t="shared" si="92"/>
        <v>268.10688874775451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19.690983251004035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19.690983251004035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852.00000000000011</v>
      </c>
      <c r="O133" s="13">
        <f>N133*VLOOKUP('Données projet'!$B$9,Paramètres!$A$1:$I$89,3,0)*VLOOKUP('Données projet'!$B$9,Paramètres!$A$1:$I$89,5,0)</f>
        <v>420.88800000000009</v>
      </c>
      <c r="P133" s="13">
        <f t="shared" ref="P133:P196" si="141">EXP(-1.0587+0.8836*LN(O133)+0.284)</f>
        <v>95.998759891259041</v>
      </c>
      <c r="Q133" s="20">
        <f t="shared" si="108"/>
        <v>900.24444014394294</v>
      </c>
      <c r="R133" s="59">
        <f t="shared" si="109"/>
        <v>1193.5777734772762</v>
      </c>
      <c r="S133" s="59">
        <f ca="1">AVERAGE(OFFSET($R$3,0,0,'Données projet'!$E$9+1,1))-AVERAGE(OFFSET($H$3,0,0,'Données projet'!$E$9+1,1))</f>
        <v>434.08297999735811</v>
      </c>
      <c r="T133" s="59">
        <f t="shared" ref="T133:T196" si="142">$T$3</f>
        <v>371.04090283546122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59.074245810758519</v>
      </c>
      <c r="AA133" s="21">
        <f>EXP(-LN(2)/25)*AA132+(1-EXP(-LN(2)/25))/(LN(2)/25)*Calculateur!V133*Calculateur!X133*VLOOKUP('Données projet'!$B$9,Paramètres!$A$1:$I$89,3,0)*0.475*44/12</f>
        <v>3.2318026404352413</v>
      </c>
      <c r="AB133" s="21">
        <f>EXP(-LN(2)/2)*AB132+(1-EXP(-LN(2)/2))/(LN(2)/2)*V133*Y133*VLOOKUP('Données projet'!$B$9,Paramètres!$A$1:$I$89,3,0)*0.475*44/12</f>
        <v>6.6754597583144037E-16</v>
      </c>
      <c r="AC133" s="22">
        <f t="shared" si="111"/>
        <v>62.30604845119376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367.99999999999972</v>
      </c>
      <c r="AJ133" s="13">
        <f>AI133*VLOOKUP('Données projet'!$B$10,Paramètres!$A$1:$I$89,3,0)*VLOOKUP('Données projet'!$B$10,Paramètres!$A$1:$I$89,5,0)</f>
        <v>292.78079999999977</v>
      </c>
      <c r="AK133" s="13">
        <f t="shared" ref="AK133:AK153" si="143">EXP(-1.0587+0.8836*LN(AJ133)+0.284)</f>
        <v>69.660903052386217</v>
      </c>
      <c r="AL133" s="20">
        <f t="shared" si="112"/>
        <v>631.25263281623893</v>
      </c>
      <c r="AM133" s="59">
        <f t="shared" si="113"/>
        <v>924.58596614957219</v>
      </c>
      <c r="AN133" s="59">
        <f ca="1">AVERAGE(OFFSET($AM$3,0,0,'Données projet'!$E$10+1,1))-AVERAGE(OFFSET($H$3,0,0,'Données projet'!$E$10+1,1))</f>
        <v>331.52724290297675</v>
      </c>
      <c r="AO133" s="59">
        <f t="shared" ref="AO133:AO196" si="144">$AO$3</f>
        <v>322.79102610158054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22.8964560248384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22.8964560248384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367.99999999999972</v>
      </c>
      <c r="BE133" s="13">
        <f>BD133*VLOOKUP('Données projet'!$B$11,Paramètres!$A$1:$I$89,3,0)*VLOOKUP('Données projet'!$B$11,Paramètres!$A$1:$I$89,5,0)</f>
        <v>246.8543999999998</v>
      </c>
      <c r="BF133" s="13">
        <f t="shared" ref="BF133:BF153" si="145">EXP(-1.0587+0.8836*LN(BE133)+0.284)</f>
        <v>59.911862368716115</v>
      </c>
      <c r="BG133" s="20">
        <f t="shared" si="115"/>
        <v>534.28457362551353</v>
      </c>
      <c r="BH133" s="59">
        <f t="shared" si="116"/>
        <v>827.61790695884679</v>
      </c>
      <c r="BI133" s="59">
        <f ca="1">AVERAGE(OFFSET($BH$3,0,0,'Données projet'!$E$11+1,1))-AVERAGE(OFFSET($H$3,0,0,'Données projet'!$E$11+1,1))</f>
        <v>273.84349636755343</v>
      </c>
      <c r="BJ133" s="59">
        <f t="shared" ref="BJ133:BJ196" si="146">$BJ$3</f>
        <v>268.10688874775451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19.304855079765709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19.304855079765709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852.00000000000011</v>
      </c>
      <c r="O134" s="13">
        <f>N134*VLOOKUP('Données projet'!$B$9,Paramètres!$A$1:$I$89,3,0)*VLOOKUP('Données projet'!$B$9,Paramètres!$A$1:$I$89,5,0)</f>
        <v>420.88800000000009</v>
      </c>
      <c r="P134" s="13">
        <f t="shared" si="141"/>
        <v>95.998759891259041</v>
      </c>
      <c r="Q134" s="20">
        <f t="shared" si="108"/>
        <v>900.24444014394294</v>
      </c>
      <c r="R134" s="59">
        <f t="shared" si="109"/>
        <v>1193.5777734772762</v>
      </c>
      <c r="S134" s="59">
        <f ca="1">AVERAGE(OFFSET($R$3,0,0,'Données projet'!$E$9+1,1))-AVERAGE(OFFSET($H$3,0,0,'Données projet'!$E$9+1,1))</f>
        <v>434.08297999735811</v>
      </c>
      <c r="T134" s="59">
        <f t="shared" si="142"/>
        <v>371.04090283546122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57.91583588214165</v>
      </c>
      <c r="AA134" s="21">
        <f>EXP(-LN(2)/25)*AA133+(1-EXP(-LN(2)/25))/(LN(2)/25)*Calculateur!V134*Calculateur!X134*VLOOKUP('Données projet'!$B$9,Paramètres!$A$1:$I$89,3,0)*0.475*44/12</f>
        <v>3.1434288272794251</v>
      </c>
      <c r="AB134" s="21">
        <f>EXP(-LN(2)/2)*AB133+(1-EXP(-LN(2)/2))/(LN(2)/2)*V134*Y134*VLOOKUP('Données projet'!$B$9,Paramètres!$A$1:$I$89,3,0)*0.475*44/12</f>
        <v>4.7202628626420263E-16</v>
      </c>
      <c r="AC134" s="22">
        <f t="shared" si="111"/>
        <v>61.059264709421072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367.99999999999972</v>
      </c>
      <c r="AJ134" s="13">
        <f>AI134*VLOOKUP('Données projet'!$B$10,Paramètres!$A$1:$I$89,3,0)*VLOOKUP('Données projet'!$B$10,Paramètres!$A$1:$I$89,5,0)</f>
        <v>292.78079999999977</v>
      </c>
      <c r="AK134" s="13">
        <f t="shared" si="143"/>
        <v>69.660903052386217</v>
      </c>
      <c r="AL134" s="20">
        <f t="shared" si="112"/>
        <v>631.25263281623893</v>
      </c>
      <c r="AM134" s="59">
        <f t="shared" si="113"/>
        <v>924.58596614957219</v>
      </c>
      <c r="AN134" s="59">
        <f ca="1">AVERAGE(OFFSET($AM$3,0,0,'Données projet'!$E$10+1,1))-AVERAGE(OFFSET($H$3,0,0,'Données projet'!$E$10+1,1))</f>
        <v>331.52724290297675</v>
      </c>
      <c r="AO134" s="59">
        <f t="shared" si="144"/>
        <v>322.79102610158054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22.44747048765052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22.44747048765052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367.99999999999972</v>
      </c>
      <c r="BE134" s="13">
        <f>BD134*VLOOKUP('Données projet'!$B$11,Paramètres!$A$1:$I$89,3,0)*VLOOKUP('Données projet'!$B$11,Paramètres!$A$1:$I$89,5,0)</f>
        <v>246.8543999999998</v>
      </c>
      <c r="BF134" s="13">
        <f t="shared" si="145"/>
        <v>59.911862368716115</v>
      </c>
      <c r="BG134" s="20">
        <f t="shared" si="115"/>
        <v>534.28457362551353</v>
      </c>
      <c r="BH134" s="59">
        <f t="shared" si="116"/>
        <v>827.61790695884679</v>
      </c>
      <c r="BI134" s="59">
        <f ca="1">AVERAGE(OFFSET($BH$3,0,0,'Données projet'!$E$11+1,1))-AVERAGE(OFFSET($H$3,0,0,'Données projet'!$E$11+1,1))</f>
        <v>273.84349636755343</v>
      </c>
      <c r="BJ134" s="59">
        <f t="shared" si="146"/>
        <v>268.10688874775451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18.926298646450437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18.926298646450437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852.00000000000011</v>
      </c>
      <c r="O135" s="13">
        <f>N135*VLOOKUP('Données projet'!$B$9,Paramètres!$A$1:$I$89,3,0)*VLOOKUP('Données projet'!$B$9,Paramètres!$A$1:$I$89,5,0)</f>
        <v>420.88800000000009</v>
      </c>
      <c r="P135" s="13">
        <f t="shared" si="141"/>
        <v>95.998759891259041</v>
      </c>
      <c r="Q135" s="20">
        <f t="shared" si="108"/>
        <v>900.24444014394294</v>
      </c>
      <c r="R135" s="59">
        <f t="shared" si="109"/>
        <v>1193.5777734772762</v>
      </c>
      <c r="S135" s="59">
        <f ca="1">AVERAGE(OFFSET($R$3,0,0,'Données projet'!$E$9+1,1))-AVERAGE(OFFSET($H$3,0,0,'Données projet'!$E$9+1,1))</f>
        <v>434.08297999735811</v>
      </c>
      <c r="T135" s="59">
        <f t="shared" si="142"/>
        <v>371.04090283546122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56.780141665664672</v>
      </c>
      <c r="AA135" s="21">
        <f>EXP(-LN(2)/25)*AA134+(1-EXP(-LN(2)/25))/(LN(2)/25)*Calculateur!V135*Calculateur!X135*VLOOKUP('Données projet'!$B$9,Paramètres!$A$1:$I$89,3,0)*0.475*44/12</f>
        <v>3.0574716006917315</v>
      </c>
      <c r="AB135" s="21">
        <f>EXP(-LN(2)/2)*AB134+(1-EXP(-LN(2)/2))/(LN(2)/2)*V135*Y135*VLOOKUP('Données projet'!$B$9,Paramètres!$A$1:$I$89,3,0)*0.475*44/12</f>
        <v>3.3377298791572018E-16</v>
      </c>
      <c r="AC135" s="22">
        <f t="shared" si="111"/>
        <v>59.837613266356406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367.99999999999972</v>
      </c>
      <c r="AJ135" s="13">
        <f>AI135*VLOOKUP('Données projet'!$B$10,Paramètres!$A$1:$I$89,3,0)*VLOOKUP('Données projet'!$B$10,Paramètres!$A$1:$I$89,5,0)</f>
        <v>292.78079999999977</v>
      </c>
      <c r="AK135" s="13">
        <f t="shared" si="143"/>
        <v>69.660903052386217</v>
      </c>
      <c r="AL135" s="20">
        <f t="shared" si="112"/>
        <v>631.25263281623893</v>
      </c>
      <c r="AM135" s="59">
        <f t="shared" si="113"/>
        <v>924.58596614957219</v>
      </c>
      <c r="AN135" s="59">
        <f ca="1">AVERAGE(OFFSET($AM$3,0,0,'Données projet'!$E$10+1,1))-AVERAGE(OFFSET($H$3,0,0,'Données projet'!$E$10+1,1))</f>
        <v>331.52724290297675</v>
      </c>
      <c r="AO135" s="59">
        <f t="shared" si="144"/>
        <v>322.79102610158054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22.007289282992758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22.007289282992758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367.99999999999972</v>
      </c>
      <c r="BE135" s="13">
        <f>BD135*VLOOKUP('Données projet'!$B$11,Paramètres!$A$1:$I$89,3,0)*VLOOKUP('Données projet'!$B$11,Paramètres!$A$1:$I$89,5,0)</f>
        <v>246.8543999999998</v>
      </c>
      <c r="BF135" s="13">
        <f t="shared" si="145"/>
        <v>59.911862368716115</v>
      </c>
      <c r="BG135" s="20">
        <f t="shared" si="115"/>
        <v>534.28457362551353</v>
      </c>
      <c r="BH135" s="59">
        <f t="shared" si="116"/>
        <v>827.61790695884679</v>
      </c>
      <c r="BI135" s="59">
        <f ca="1">AVERAGE(OFFSET($BH$3,0,0,'Données projet'!$E$11+1,1))-AVERAGE(OFFSET($H$3,0,0,'Données projet'!$E$11+1,1))</f>
        <v>273.84349636755343</v>
      </c>
      <c r="BJ135" s="59">
        <f t="shared" si="146"/>
        <v>268.10688874775451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18.555165473895851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18.555165473895851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852.00000000000011</v>
      </c>
      <c r="O136" s="13">
        <f>N136*VLOOKUP('Données projet'!$B$9,Paramètres!$A$1:$I$89,3,0)*VLOOKUP('Données projet'!$B$9,Paramètres!$A$1:$I$89,5,0)</f>
        <v>420.88800000000009</v>
      </c>
      <c r="P136" s="13">
        <f t="shared" si="141"/>
        <v>95.998759891259041</v>
      </c>
      <c r="Q136" s="20">
        <f t="shared" si="108"/>
        <v>900.24444014394294</v>
      </c>
      <c r="R136" s="59">
        <f t="shared" si="109"/>
        <v>1193.5777734772762</v>
      </c>
      <c r="S136" s="59">
        <f ca="1">AVERAGE(OFFSET($R$3,0,0,'Données projet'!$E$9+1,1))-AVERAGE(OFFSET($H$3,0,0,'Données projet'!$E$9+1,1))</f>
        <v>434.08297999735811</v>
      </c>
      <c r="T136" s="59">
        <f t="shared" si="142"/>
        <v>371.04090283546122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55.66671772006773</v>
      </c>
      <c r="AA136" s="21">
        <f>EXP(-LN(2)/25)*AA135+(1-EXP(-LN(2)/25))/(LN(2)/25)*Calculateur!V136*Calculateur!X136*VLOOKUP('Données projet'!$B$9,Paramètres!$A$1:$I$89,3,0)*0.475*44/12</f>
        <v>2.9738648789853728</v>
      </c>
      <c r="AB136" s="21">
        <f>EXP(-LN(2)/2)*AB135+(1-EXP(-LN(2)/2))/(LN(2)/2)*V136*Y136*VLOOKUP('Données projet'!$B$9,Paramètres!$A$1:$I$89,3,0)*0.475*44/12</f>
        <v>2.3601314313210132E-16</v>
      </c>
      <c r="AC136" s="22">
        <f t="shared" si="111"/>
        <v>58.640582599053104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367.99999999999972</v>
      </c>
      <c r="AJ136" s="13">
        <f>AI136*VLOOKUP('Données projet'!$B$10,Paramètres!$A$1:$I$89,3,0)*VLOOKUP('Données projet'!$B$10,Paramètres!$A$1:$I$89,5,0)</f>
        <v>292.78079999999977</v>
      </c>
      <c r="AK136" s="13">
        <f t="shared" si="143"/>
        <v>69.660903052386217</v>
      </c>
      <c r="AL136" s="20">
        <f t="shared" si="112"/>
        <v>631.25263281623893</v>
      </c>
      <c r="AM136" s="59">
        <f t="shared" si="113"/>
        <v>924.58596614957219</v>
      </c>
      <c r="AN136" s="59">
        <f ca="1">AVERAGE(OFFSET($AM$3,0,0,'Données projet'!$E$10+1,1))-AVERAGE(OFFSET($H$3,0,0,'Données projet'!$E$10+1,1))</f>
        <v>331.52724290297675</v>
      </c>
      <c r="AO136" s="59">
        <f t="shared" si="144"/>
        <v>322.79102610158054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21.57573976327431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21.57573976327431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367.99999999999972</v>
      </c>
      <c r="BE136" s="13">
        <f>BD136*VLOOKUP('Données projet'!$B$11,Paramètres!$A$1:$I$89,3,0)*VLOOKUP('Données projet'!$B$11,Paramètres!$A$1:$I$89,5,0)</f>
        <v>246.8543999999998</v>
      </c>
      <c r="BF136" s="13">
        <f t="shared" si="145"/>
        <v>59.911862368716115</v>
      </c>
      <c r="BG136" s="20">
        <f t="shared" si="115"/>
        <v>534.28457362551353</v>
      </c>
      <c r="BH136" s="59">
        <f t="shared" si="116"/>
        <v>827.61790695884679</v>
      </c>
      <c r="BI136" s="59">
        <f ca="1">AVERAGE(OFFSET($BH$3,0,0,'Données projet'!$E$11+1,1))-AVERAGE(OFFSET($H$3,0,0,'Données projet'!$E$11+1,1))</f>
        <v>273.84349636755343</v>
      </c>
      <c r="BJ136" s="59">
        <f t="shared" si="146"/>
        <v>268.10688874775451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18.191309996486179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18.191309996486179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852.00000000000011</v>
      </c>
      <c r="O137" s="13">
        <f>N137*VLOOKUP('Données projet'!$B$9,Paramètres!$A$1:$I$89,3,0)*VLOOKUP('Données projet'!$B$9,Paramètres!$A$1:$I$89,5,0)</f>
        <v>420.88800000000009</v>
      </c>
      <c r="P137" s="13">
        <f t="shared" si="141"/>
        <v>95.998759891259041</v>
      </c>
      <c r="Q137" s="20">
        <f t="shared" si="108"/>
        <v>900.24444014394294</v>
      </c>
      <c r="R137" s="59">
        <f t="shared" si="109"/>
        <v>1193.5777734772762</v>
      </c>
      <c r="S137" s="59">
        <f ca="1">AVERAGE(OFFSET($R$3,0,0,'Données projet'!$E$9+1,1))-AVERAGE(OFFSET($H$3,0,0,'Données projet'!$E$9+1,1))</f>
        <v>434.08297999735811</v>
      </c>
      <c r="T137" s="59">
        <f t="shared" si="142"/>
        <v>371.04090283546122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54.5751273389224</v>
      </c>
      <c r="AA137" s="21">
        <f>EXP(-LN(2)/25)*AA136+(1-EXP(-LN(2)/25))/(LN(2)/25)*Calculateur!V137*Calculateur!X137*VLOOKUP('Données projet'!$B$9,Paramètres!$A$1:$I$89,3,0)*0.475*44/12</f>
        <v>2.8925443874807608</v>
      </c>
      <c r="AB137" s="21">
        <f>EXP(-LN(2)/2)*AB136+(1-EXP(-LN(2)/2))/(LN(2)/2)*V137*Y137*VLOOKUP('Données projet'!$B$9,Paramètres!$A$1:$I$89,3,0)*0.475*44/12</f>
        <v>1.6688649395786009E-16</v>
      </c>
      <c r="AC137" s="22">
        <f t="shared" si="111"/>
        <v>57.467671726403161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367.99999999999972</v>
      </c>
      <c r="AJ137" s="13">
        <f>AI137*VLOOKUP('Données projet'!$B$10,Paramètres!$A$1:$I$89,3,0)*VLOOKUP('Données projet'!$B$10,Paramètres!$A$1:$I$89,5,0)</f>
        <v>292.78079999999977</v>
      </c>
      <c r="AK137" s="13">
        <f t="shared" si="143"/>
        <v>69.660903052386217</v>
      </c>
      <c r="AL137" s="20">
        <f t="shared" si="112"/>
        <v>631.25263281623893</v>
      </c>
      <c r="AM137" s="59">
        <f t="shared" si="113"/>
        <v>924.58596614957219</v>
      </c>
      <c r="AN137" s="59">
        <f ca="1">AVERAGE(OFFSET($AM$3,0,0,'Données projet'!$E$10+1,1))-AVERAGE(OFFSET($H$3,0,0,'Données projet'!$E$10+1,1))</f>
        <v>331.52724290297675</v>
      </c>
      <c r="AO137" s="59">
        <f t="shared" si="144"/>
        <v>322.79102610158054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21.152652666418323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21.152652666418323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367.99999999999972</v>
      </c>
      <c r="BE137" s="13">
        <f>BD137*VLOOKUP('Données projet'!$B$11,Paramètres!$A$1:$I$89,3,0)*VLOOKUP('Données projet'!$B$11,Paramètres!$A$1:$I$89,5,0)</f>
        <v>246.8543999999998</v>
      </c>
      <c r="BF137" s="13">
        <f t="shared" si="145"/>
        <v>59.911862368716115</v>
      </c>
      <c r="BG137" s="20">
        <f t="shared" si="115"/>
        <v>534.28457362551353</v>
      </c>
      <c r="BH137" s="59">
        <f t="shared" si="116"/>
        <v>827.61790695884679</v>
      </c>
      <c r="BI137" s="59">
        <f ca="1">AVERAGE(OFFSET($BH$3,0,0,'Données projet'!$E$11+1,1))-AVERAGE(OFFSET($H$3,0,0,'Données projet'!$E$11+1,1))</f>
        <v>273.84349636755343</v>
      </c>
      <c r="BJ137" s="59">
        <f t="shared" si="146"/>
        <v>268.10688874775451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17.834589503058584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17.834589503058584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852.00000000000011</v>
      </c>
      <c r="O138" s="13">
        <f>N138*VLOOKUP('Données projet'!$B$9,Paramètres!$A$1:$I$89,3,0)*VLOOKUP('Données projet'!$B$9,Paramètres!$A$1:$I$89,5,0)</f>
        <v>420.88800000000009</v>
      </c>
      <c r="P138" s="13">
        <f t="shared" si="141"/>
        <v>95.998759891259041</v>
      </c>
      <c r="Q138" s="20">
        <f t="shared" si="108"/>
        <v>900.24444014394294</v>
      </c>
      <c r="R138" s="59">
        <f t="shared" si="109"/>
        <v>1193.5777734772762</v>
      </c>
      <c r="S138" s="59">
        <f ca="1">AVERAGE(OFFSET($R$3,0,0,'Données projet'!$E$9+1,1))-AVERAGE(OFFSET($H$3,0,0,'Données projet'!$E$9+1,1))</f>
        <v>434.08297999735811</v>
      </c>
      <c r="T138" s="59">
        <f t="shared" si="142"/>
        <v>371.04090283546122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53.504942379346936</v>
      </c>
      <c r="AA138" s="21">
        <f>EXP(-LN(2)/25)*AA137+(1-EXP(-LN(2)/25))/(LN(2)/25)*Calculateur!V138*Calculateur!X138*VLOOKUP('Données projet'!$B$9,Paramètres!$A$1:$I$89,3,0)*0.475*44/12</f>
        <v>2.8134476090928011</v>
      </c>
      <c r="AB138" s="21">
        <f>EXP(-LN(2)/2)*AB137+(1-EXP(-LN(2)/2))/(LN(2)/2)*V138*Y138*VLOOKUP('Données projet'!$B$9,Paramètres!$A$1:$I$89,3,0)*0.475*44/12</f>
        <v>1.1800657156605066E-16</v>
      </c>
      <c r="AC138" s="22">
        <f t="shared" si="111"/>
        <v>56.318389988439733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367.99999999999972</v>
      </c>
      <c r="AJ138" s="13">
        <f>AI138*VLOOKUP('Données projet'!$B$10,Paramètres!$A$1:$I$89,3,0)*VLOOKUP('Données projet'!$B$10,Paramètres!$A$1:$I$89,5,0)</f>
        <v>292.78079999999977</v>
      </c>
      <c r="AK138" s="13">
        <f t="shared" si="143"/>
        <v>69.660903052386217</v>
      </c>
      <c r="AL138" s="20">
        <f t="shared" si="112"/>
        <v>631.25263281623893</v>
      </c>
      <c r="AM138" s="59">
        <f t="shared" si="113"/>
        <v>924.58596614957219</v>
      </c>
      <c r="AN138" s="59">
        <f ca="1">AVERAGE(OFFSET($AM$3,0,0,'Données projet'!$E$10+1,1))-AVERAGE(OFFSET($H$3,0,0,'Données projet'!$E$10+1,1))</f>
        <v>331.52724290297675</v>
      </c>
      <c r="AO138" s="59">
        <f t="shared" si="144"/>
        <v>322.79102610158054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20.737862049474035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20.737862049474035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367.99999999999972</v>
      </c>
      <c r="BE138" s="13">
        <f>BD138*VLOOKUP('Données projet'!$B$11,Paramètres!$A$1:$I$89,3,0)*VLOOKUP('Données projet'!$B$11,Paramètres!$A$1:$I$89,5,0)</f>
        <v>246.8543999999998</v>
      </c>
      <c r="BF138" s="13">
        <f t="shared" si="145"/>
        <v>59.911862368716115</v>
      </c>
      <c r="BG138" s="20">
        <f t="shared" si="115"/>
        <v>534.28457362551353</v>
      </c>
      <c r="BH138" s="59">
        <f t="shared" si="116"/>
        <v>827.61790695884679</v>
      </c>
      <c r="BI138" s="59">
        <f ca="1">AVERAGE(OFFSET($BH$3,0,0,'Données projet'!$E$11+1,1))-AVERAGE(OFFSET($H$3,0,0,'Données projet'!$E$11+1,1))</f>
        <v>273.84349636755343</v>
      </c>
      <c r="BJ138" s="59">
        <f t="shared" si="146"/>
        <v>268.10688874775451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17.484864080929086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17.484864080929086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852.00000000000011</v>
      </c>
      <c r="O139" s="13">
        <f>N139*VLOOKUP('Données projet'!$B$9,Paramètres!$A$1:$I$89,3,0)*VLOOKUP('Données projet'!$B$9,Paramètres!$A$1:$I$89,5,0)</f>
        <v>420.88800000000009</v>
      </c>
      <c r="P139" s="13">
        <f t="shared" si="141"/>
        <v>95.998759891259041</v>
      </c>
      <c r="Q139" s="20">
        <f t="shared" si="108"/>
        <v>900.24444014394294</v>
      </c>
      <c r="R139" s="59">
        <f t="shared" si="109"/>
        <v>1193.5777734772762</v>
      </c>
      <c r="S139" s="59">
        <f ca="1">AVERAGE(OFFSET($R$3,0,0,'Données projet'!$E$9+1,1))-AVERAGE(OFFSET($H$3,0,0,'Données projet'!$E$9+1,1))</f>
        <v>434.08297999735811</v>
      </c>
      <c r="T139" s="59">
        <f t="shared" si="142"/>
        <v>371.04090283546122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52.455743094080375</v>
      </c>
      <c r="AA139" s="21">
        <f>EXP(-LN(2)/25)*AA138+(1-EXP(-LN(2)/25))/(LN(2)/25)*Calculateur!V139*Calculateur!X139*VLOOKUP('Données projet'!$B$9,Paramètres!$A$1:$I$89,3,0)*0.475*44/12</f>
        <v>2.7365137362693788</v>
      </c>
      <c r="AB139" s="21">
        <f>EXP(-LN(2)/2)*AB138+(1-EXP(-LN(2)/2))/(LN(2)/2)*V139*Y139*VLOOKUP('Données projet'!$B$9,Paramètres!$A$1:$I$89,3,0)*0.475*44/12</f>
        <v>8.3443246978930046E-17</v>
      </c>
      <c r="AC139" s="22">
        <f t="shared" si="111"/>
        <v>55.192256830349756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367.99999999999972</v>
      </c>
      <c r="AJ139" s="13">
        <f>AI139*VLOOKUP('Données projet'!$B$10,Paramètres!$A$1:$I$89,3,0)*VLOOKUP('Données projet'!$B$10,Paramètres!$A$1:$I$89,5,0)</f>
        <v>292.78079999999977</v>
      </c>
      <c r="AK139" s="13">
        <f t="shared" si="143"/>
        <v>69.660903052386217</v>
      </c>
      <c r="AL139" s="20">
        <f t="shared" si="112"/>
        <v>631.25263281623893</v>
      </c>
      <c r="AM139" s="59">
        <f t="shared" si="113"/>
        <v>924.58596614957219</v>
      </c>
      <c r="AN139" s="59">
        <f ca="1">AVERAGE(OFFSET($AM$3,0,0,'Données projet'!$E$10+1,1))-AVERAGE(OFFSET($H$3,0,0,'Données projet'!$E$10+1,1))</f>
        <v>331.52724290297675</v>
      </c>
      <c r="AO139" s="59">
        <f t="shared" si="144"/>
        <v>322.79102610158054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20.331205223530731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20.331205223530731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367.99999999999972</v>
      </c>
      <c r="BE139" s="13">
        <f>BD139*VLOOKUP('Données projet'!$B$11,Paramètres!$A$1:$I$89,3,0)*VLOOKUP('Données projet'!$B$11,Paramètres!$A$1:$I$89,5,0)</f>
        <v>246.8543999999998</v>
      </c>
      <c r="BF139" s="13">
        <f t="shared" si="145"/>
        <v>59.911862368716115</v>
      </c>
      <c r="BG139" s="20">
        <f t="shared" si="115"/>
        <v>534.28457362551353</v>
      </c>
      <c r="BH139" s="59">
        <f t="shared" si="116"/>
        <v>827.61790695884679</v>
      </c>
      <c r="BI139" s="59">
        <f ca="1">AVERAGE(OFFSET($BH$3,0,0,'Données projet'!$E$11+1,1))-AVERAGE(OFFSET($H$3,0,0,'Données projet'!$E$11+1,1))</f>
        <v>273.84349636755343</v>
      </c>
      <c r="BJ139" s="59">
        <f t="shared" si="146"/>
        <v>268.10688874775451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17.141996561016104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17.141996561016104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852.00000000000011</v>
      </c>
      <c r="O140" s="13">
        <f>N140*VLOOKUP('Données projet'!$B$9,Paramètres!$A$1:$I$89,3,0)*VLOOKUP('Données projet'!$B$9,Paramètres!$A$1:$I$89,5,0)</f>
        <v>420.88800000000009</v>
      </c>
      <c r="P140" s="13">
        <f t="shared" si="141"/>
        <v>95.998759891259041</v>
      </c>
      <c r="Q140" s="20">
        <f t="shared" si="108"/>
        <v>900.24444014394294</v>
      </c>
      <c r="R140" s="59">
        <f t="shared" si="109"/>
        <v>1193.5777734772762</v>
      </c>
      <c r="S140" s="59">
        <f ca="1">AVERAGE(OFFSET($R$3,0,0,'Données projet'!$E$9+1,1))-AVERAGE(OFFSET($H$3,0,0,'Données projet'!$E$9+1,1))</f>
        <v>434.08297999735811</v>
      </c>
      <c r="T140" s="59">
        <f t="shared" si="142"/>
        <v>371.04090283546122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51.427117966849515</v>
      </c>
      <c r="AA140" s="21">
        <f>EXP(-LN(2)/25)*AA139+(1-EXP(-LN(2)/25))/(LN(2)/25)*Calculateur!V140*Calculateur!X140*VLOOKUP('Données projet'!$B$9,Paramètres!$A$1:$I$89,3,0)*0.475*44/12</f>
        <v>2.6616836242440898</v>
      </c>
      <c r="AB140" s="21">
        <f>EXP(-LN(2)/2)*AB139+(1-EXP(-LN(2)/2))/(LN(2)/2)*V140*Y140*VLOOKUP('Données projet'!$B$9,Paramètres!$A$1:$I$89,3,0)*0.475*44/12</f>
        <v>5.9003285783025329E-17</v>
      </c>
      <c r="AC140" s="22">
        <f t="shared" si="111"/>
        <v>54.088801591093606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367.99999999999972</v>
      </c>
      <c r="AJ140" s="13">
        <f>AI140*VLOOKUP('Données projet'!$B$10,Paramètres!$A$1:$I$89,3,0)*VLOOKUP('Données projet'!$B$10,Paramètres!$A$1:$I$89,5,0)</f>
        <v>292.78079999999977</v>
      </c>
      <c r="AK140" s="13">
        <f t="shared" si="143"/>
        <v>69.660903052386217</v>
      </c>
      <c r="AL140" s="20">
        <f t="shared" si="112"/>
        <v>631.25263281623893</v>
      </c>
      <c r="AM140" s="59">
        <f t="shared" si="113"/>
        <v>924.58596614957219</v>
      </c>
      <c r="AN140" s="59">
        <f ca="1">AVERAGE(OFFSET($AM$3,0,0,'Données projet'!$E$10+1,1))-AVERAGE(OFFSET($H$3,0,0,'Données projet'!$E$10+1,1))</f>
        <v>331.52724290297675</v>
      </c>
      <c r="AO140" s="59">
        <f t="shared" si="144"/>
        <v>322.79102610158054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19.932522689908001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19.932522689908001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367.99999999999972</v>
      </c>
      <c r="BE140" s="13">
        <f>BD140*VLOOKUP('Données projet'!$B$11,Paramètres!$A$1:$I$89,3,0)*VLOOKUP('Données projet'!$B$11,Paramètres!$A$1:$I$89,5,0)</f>
        <v>246.8543999999998</v>
      </c>
      <c r="BF140" s="13">
        <f t="shared" si="145"/>
        <v>59.911862368716115</v>
      </c>
      <c r="BG140" s="20">
        <f t="shared" si="115"/>
        <v>534.28457362551353</v>
      </c>
      <c r="BH140" s="59">
        <f t="shared" si="116"/>
        <v>827.61790695884679</v>
      </c>
      <c r="BI140" s="59">
        <f ca="1">AVERAGE(OFFSET($BH$3,0,0,'Données projet'!$E$11+1,1))-AVERAGE(OFFSET($H$3,0,0,'Données projet'!$E$11+1,1))</f>
        <v>273.84349636755343</v>
      </c>
      <c r="BJ140" s="59">
        <f t="shared" si="146"/>
        <v>268.10688874775451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16.805852464040075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16.805852464040075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852.00000000000011</v>
      </c>
      <c r="O141" s="13">
        <f>N141*VLOOKUP('Données projet'!$B$9,Paramètres!$A$1:$I$89,3,0)*VLOOKUP('Données projet'!$B$9,Paramètres!$A$1:$I$89,5,0)</f>
        <v>420.88800000000009</v>
      </c>
      <c r="P141" s="13">
        <f t="shared" si="141"/>
        <v>95.998759891259041</v>
      </c>
      <c r="Q141" s="20">
        <f t="shared" si="108"/>
        <v>900.24444014394294</v>
      </c>
      <c r="R141" s="59">
        <f t="shared" si="109"/>
        <v>1193.5777734772762</v>
      </c>
      <c r="S141" s="59">
        <f ca="1">AVERAGE(OFFSET($R$3,0,0,'Données projet'!$E$9+1,1))-AVERAGE(OFFSET($H$3,0,0,'Données projet'!$E$9+1,1))</f>
        <v>434.08297999735811</v>
      </c>
      <c r="T141" s="59">
        <f t="shared" si="142"/>
        <v>371.04090283546122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50.418663550964276</v>
      </c>
      <c r="AA141" s="21">
        <f>EXP(-LN(2)/25)*AA140+(1-EXP(-LN(2)/25))/(LN(2)/25)*Calculateur!V141*Calculateur!X141*VLOOKUP('Données projet'!$B$9,Paramètres!$A$1:$I$89,3,0)*0.475*44/12</f>
        <v>2.5888997455672769</v>
      </c>
      <c r="AB141" s="21">
        <f>EXP(-LN(2)/2)*AB140+(1-EXP(-LN(2)/2))/(LN(2)/2)*V141*Y141*VLOOKUP('Données projet'!$B$9,Paramètres!$A$1:$I$89,3,0)*0.475*44/12</f>
        <v>4.1721623489465023E-17</v>
      </c>
      <c r="AC141" s="22">
        <f t="shared" si="111"/>
        <v>53.007563296531551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367.99999999999972</v>
      </c>
      <c r="AJ141" s="13">
        <f>AI141*VLOOKUP('Données projet'!$B$10,Paramètres!$A$1:$I$89,3,0)*VLOOKUP('Données projet'!$B$10,Paramètres!$A$1:$I$89,5,0)</f>
        <v>292.78079999999977</v>
      </c>
      <c r="AK141" s="13">
        <f t="shared" si="143"/>
        <v>69.660903052386217</v>
      </c>
      <c r="AL141" s="20">
        <f t="shared" si="112"/>
        <v>631.25263281623893</v>
      </c>
      <c r="AM141" s="59">
        <f t="shared" si="113"/>
        <v>924.58596614957219</v>
      </c>
      <c r="AN141" s="59">
        <f ca="1">AVERAGE(OFFSET($AM$3,0,0,'Données projet'!$E$10+1,1))-AVERAGE(OFFSET($H$3,0,0,'Données projet'!$E$10+1,1))</f>
        <v>331.52724290297675</v>
      </c>
      <c r="AO141" s="59">
        <f t="shared" si="144"/>
        <v>322.79102610158054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19.54165807759728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19.54165807759728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367.99999999999972</v>
      </c>
      <c r="BE141" s="13">
        <f>BD141*VLOOKUP('Données projet'!$B$11,Paramètres!$A$1:$I$89,3,0)*VLOOKUP('Données projet'!$B$11,Paramètres!$A$1:$I$89,5,0)</f>
        <v>246.8543999999998</v>
      </c>
      <c r="BF141" s="13">
        <f t="shared" si="145"/>
        <v>59.911862368716115</v>
      </c>
      <c r="BG141" s="20">
        <f t="shared" si="115"/>
        <v>534.28457362551353</v>
      </c>
      <c r="BH141" s="59">
        <f t="shared" si="116"/>
        <v>827.61790695884679</v>
      </c>
      <c r="BI141" s="59">
        <f ca="1">AVERAGE(OFFSET($BH$3,0,0,'Données projet'!$E$11+1,1))-AVERAGE(OFFSET($H$3,0,0,'Données projet'!$E$11+1,1))</f>
        <v>273.84349636755343</v>
      </c>
      <c r="BJ141" s="59">
        <f t="shared" si="146"/>
        <v>268.10688874775451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16.476299947778095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16.476299947778095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852.00000000000011</v>
      </c>
      <c r="O142" s="13">
        <f>N142*VLOOKUP('Données projet'!$B$9,Paramètres!$A$1:$I$89,3,0)*VLOOKUP('Données projet'!$B$9,Paramètres!$A$1:$I$89,5,0)</f>
        <v>420.88800000000009</v>
      </c>
      <c r="P142" s="13">
        <f t="shared" si="141"/>
        <v>95.998759891259041</v>
      </c>
      <c r="Q142" s="20">
        <f t="shared" si="108"/>
        <v>900.24444014394294</v>
      </c>
      <c r="R142" s="59">
        <f t="shared" si="109"/>
        <v>1193.5777734772762</v>
      </c>
      <c r="S142" s="59">
        <f ca="1">AVERAGE(OFFSET($R$3,0,0,'Données projet'!$E$9+1,1))-AVERAGE(OFFSET($H$3,0,0,'Données projet'!$E$9+1,1))</f>
        <v>434.08297999735811</v>
      </c>
      <c r="T142" s="59">
        <f t="shared" si="142"/>
        <v>371.04090283546122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49.429984311078087</v>
      </c>
      <c r="AA142" s="21">
        <f>EXP(-LN(2)/25)*AA141+(1-EXP(-LN(2)/25))/(LN(2)/25)*Calculateur!V142*Calculateur!X142*VLOOKUP('Données projet'!$B$9,Paramètres!$A$1:$I$89,3,0)*0.475*44/12</f>
        <v>2.5181061458804193</v>
      </c>
      <c r="AB142" s="21">
        <f>EXP(-LN(2)/2)*AB141+(1-EXP(-LN(2)/2))/(LN(2)/2)*V142*Y142*VLOOKUP('Données projet'!$B$9,Paramètres!$A$1:$I$89,3,0)*0.475*44/12</f>
        <v>2.9501642891512664E-17</v>
      </c>
      <c r="AC142" s="22">
        <f t="shared" si="111"/>
        <v>51.948090456958504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367.99999999999972</v>
      </c>
      <c r="AJ142" s="13">
        <f>AI142*VLOOKUP('Données projet'!$B$10,Paramètres!$A$1:$I$89,3,0)*VLOOKUP('Données projet'!$B$10,Paramètres!$A$1:$I$89,5,0)</f>
        <v>292.78079999999977</v>
      </c>
      <c r="AK142" s="13">
        <f t="shared" si="143"/>
        <v>69.660903052386217</v>
      </c>
      <c r="AL142" s="20">
        <f t="shared" si="112"/>
        <v>631.25263281623893</v>
      </c>
      <c r="AM142" s="59">
        <f t="shared" si="113"/>
        <v>924.58596614957219</v>
      </c>
      <c r="AN142" s="59">
        <f ca="1">AVERAGE(OFFSET($AM$3,0,0,'Données projet'!$E$10+1,1))-AVERAGE(OFFSET($H$3,0,0,'Données projet'!$E$10+1,1))</f>
        <v>331.52724290297675</v>
      </c>
      <c r="AO142" s="59">
        <f t="shared" si="144"/>
        <v>322.79102610158054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19.158458081930096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19.158458081930096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367.99999999999972</v>
      </c>
      <c r="BE142" s="13">
        <f>BD142*VLOOKUP('Données projet'!$B$11,Paramètres!$A$1:$I$89,3,0)*VLOOKUP('Données projet'!$B$11,Paramètres!$A$1:$I$89,5,0)</f>
        <v>246.8543999999998</v>
      </c>
      <c r="BF142" s="13">
        <f t="shared" si="145"/>
        <v>59.911862368716115</v>
      </c>
      <c r="BG142" s="20">
        <f t="shared" si="115"/>
        <v>534.28457362551353</v>
      </c>
      <c r="BH142" s="59">
        <f t="shared" si="116"/>
        <v>827.61790695884679</v>
      </c>
      <c r="BI142" s="59">
        <f ca="1">AVERAGE(OFFSET($BH$3,0,0,'Données projet'!$E$11+1,1))-AVERAGE(OFFSET($H$3,0,0,'Données projet'!$E$11+1,1))</f>
        <v>273.84349636755343</v>
      </c>
      <c r="BJ142" s="59">
        <f t="shared" si="146"/>
        <v>268.10688874775451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16.153209755352822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16.153209755352822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852.00000000000011</v>
      </c>
      <c r="O143" s="13">
        <f>N143*VLOOKUP('Données projet'!$B$9,Paramètres!$A$1:$I$89,3,0)*VLOOKUP('Données projet'!$B$9,Paramètres!$A$1:$I$89,5,0)</f>
        <v>420.88800000000009</v>
      </c>
      <c r="P143" s="13">
        <f t="shared" si="141"/>
        <v>95.998759891259041</v>
      </c>
      <c r="Q143" s="20">
        <f t="shared" si="108"/>
        <v>900.24444014394294</v>
      </c>
      <c r="R143" s="59">
        <f t="shared" si="109"/>
        <v>1193.5777734772762</v>
      </c>
      <c r="S143" s="59">
        <f ca="1">AVERAGE(OFFSET($R$3,0,0,'Données projet'!$E$9+1,1))-AVERAGE(OFFSET($H$3,0,0,'Données projet'!$E$9+1,1))</f>
        <v>434.08297999735811</v>
      </c>
      <c r="T143" s="59">
        <f t="shared" si="142"/>
        <v>371.04090283546122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48.460692468051278</v>
      </c>
      <c r="AA143" s="21">
        <f>EXP(-LN(2)/25)*AA142+(1-EXP(-LN(2)/25))/(LN(2)/25)*Calculateur!V143*Calculateur!X143*VLOOKUP('Données projet'!$B$9,Paramètres!$A$1:$I$89,3,0)*0.475*44/12</f>
        <v>2.4492484008998723</v>
      </c>
      <c r="AB143" s="21">
        <f>EXP(-LN(2)/2)*AB142+(1-EXP(-LN(2)/2))/(LN(2)/2)*V143*Y143*VLOOKUP('Données projet'!$B$9,Paramètres!$A$1:$I$89,3,0)*0.475*44/12</f>
        <v>2.0860811744732512E-17</v>
      </c>
      <c r="AC143" s="22">
        <f t="shared" si="111"/>
        <v>50.909940868951153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367.99999999999972</v>
      </c>
      <c r="AJ143" s="13">
        <f>AI143*VLOOKUP('Données projet'!$B$10,Paramètres!$A$1:$I$89,3,0)*VLOOKUP('Données projet'!$B$10,Paramètres!$A$1:$I$89,5,0)</f>
        <v>292.78079999999977</v>
      </c>
      <c r="AK143" s="13">
        <f t="shared" si="143"/>
        <v>69.660903052386217</v>
      </c>
      <c r="AL143" s="20">
        <f t="shared" si="112"/>
        <v>631.25263281623893</v>
      </c>
      <c r="AM143" s="59">
        <f t="shared" si="113"/>
        <v>924.58596614957219</v>
      </c>
      <c r="AN143" s="59">
        <f ca="1">AVERAGE(OFFSET($AM$3,0,0,'Données projet'!$E$10+1,1))-AVERAGE(OFFSET($H$3,0,0,'Données projet'!$E$10+1,1))</f>
        <v>331.52724290297675</v>
      </c>
      <c r="AO143" s="59">
        <f t="shared" si="144"/>
        <v>322.79102610158054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18.78277240444903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18.78277240444903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367.99999999999972</v>
      </c>
      <c r="BE143" s="13">
        <f>BD143*VLOOKUP('Données projet'!$B$11,Paramètres!$A$1:$I$89,3,0)*VLOOKUP('Données projet'!$B$11,Paramètres!$A$1:$I$89,5,0)</f>
        <v>246.8543999999998</v>
      </c>
      <c r="BF143" s="13">
        <f t="shared" si="145"/>
        <v>59.911862368716115</v>
      </c>
      <c r="BG143" s="20">
        <f t="shared" si="115"/>
        <v>534.28457362551353</v>
      </c>
      <c r="BH143" s="59">
        <f t="shared" si="116"/>
        <v>827.61790695884679</v>
      </c>
      <c r="BI143" s="59">
        <f ca="1">AVERAGE(OFFSET($BH$3,0,0,'Données projet'!$E$11+1,1))-AVERAGE(OFFSET($H$3,0,0,'Données projet'!$E$11+1,1))</f>
        <v>273.84349636755343</v>
      </c>
      <c r="BJ143" s="59">
        <f t="shared" si="146"/>
        <v>268.10688874775451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15.836455164535453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15.836455164535453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852.00000000000011</v>
      </c>
      <c r="O144" s="13">
        <f>N144*VLOOKUP('Données projet'!$B$9,Paramètres!$A$1:$I$89,3,0)*VLOOKUP('Données projet'!$B$9,Paramètres!$A$1:$I$89,5,0)</f>
        <v>420.88800000000009</v>
      </c>
      <c r="P144" s="13">
        <f t="shared" si="141"/>
        <v>95.998759891259041</v>
      </c>
      <c r="Q144" s="20">
        <f t="shared" si="108"/>
        <v>900.24444014394294</v>
      </c>
      <c r="R144" s="59">
        <f t="shared" si="109"/>
        <v>1193.5777734772762</v>
      </c>
      <c r="S144" s="59">
        <f ca="1">AVERAGE(OFFSET($R$3,0,0,'Données projet'!$E$9+1,1))-AVERAGE(OFFSET($H$3,0,0,'Données projet'!$E$9+1,1))</f>
        <v>434.08297999735811</v>
      </c>
      <c r="T144" s="59">
        <f t="shared" si="142"/>
        <v>371.04090283546122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47.51040784685658</v>
      </c>
      <c r="AA144" s="21">
        <f>EXP(-LN(2)/25)*AA143+(1-EXP(-LN(2)/25))/(LN(2)/25)*Calculateur!V144*Calculateur!X144*VLOOKUP('Données projet'!$B$9,Paramètres!$A$1:$I$89,3,0)*0.475*44/12</f>
        <v>2.3822735745768897</v>
      </c>
      <c r="AB144" s="21">
        <f>EXP(-LN(2)/2)*AB143+(1-EXP(-LN(2)/2))/(LN(2)/2)*V144*Y144*VLOOKUP('Données projet'!$B$9,Paramètres!$A$1:$I$89,3,0)*0.475*44/12</f>
        <v>1.4750821445756332E-17</v>
      </c>
      <c r="AC144" s="22">
        <f t="shared" si="111"/>
        <v>49.892681421433473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367.99999999999972</v>
      </c>
      <c r="AJ144" s="13">
        <f>AI144*VLOOKUP('Données projet'!$B$10,Paramètres!$A$1:$I$89,3,0)*VLOOKUP('Données projet'!$B$10,Paramètres!$A$1:$I$89,5,0)</f>
        <v>292.78079999999977</v>
      </c>
      <c r="AK144" s="13">
        <f t="shared" si="143"/>
        <v>69.660903052386217</v>
      </c>
      <c r="AL144" s="20">
        <f t="shared" si="112"/>
        <v>631.25263281623893</v>
      </c>
      <c r="AM144" s="59">
        <f t="shared" si="113"/>
        <v>924.58596614957219</v>
      </c>
      <c r="AN144" s="59">
        <f ca="1">AVERAGE(OFFSET($AM$3,0,0,'Données projet'!$E$10+1,1))-AVERAGE(OFFSET($H$3,0,0,'Données projet'!$E$10+1,1))</f>
        <v>331.52724290297675</v>
      </c>
      <c r="AO144" s="59">
        <f t="shared" si="144"/>
        <v>322.79102610158054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18.414453693957729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18.414453693957729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367.99999999999972</v>
      </c>
      <c r="BE144" s="13">
        <f>BD144*VLOOKUP('Données projet'!$B$11,Paramètres!$A$1:$I$89,3,0)*VLOOKUP('Données projet'!$B$11,Paramètres!$A$1:$I$89,5,0)</f>
        <v>246.8543999999998</v>
      </c>
      <c r="BF144" s="13">
        <f t="shared" si="145"/>
        <v>59.911862368716115</v>
      </c>
      <c r="BG144" s="20">
        <f t="shared" si="115"/>
        <v>534.28457362551353</v>
      </c>
      <c r="BH144" s="59">
        <f t="shared" si="116"/>
        <v>827.61790695884679</v>
      </c>
      <c r="BI144" s="59">
        <f ca="1">AVERAGE(OFFSET($BH$3,0,0,'Données projet'!$E$11+1,1))-AVERAGE(OFFSET($H$3,0,0,'Données projet'!$E$11+1,1))</f>
        <v>273.84349636755343</v>
      </c>
      <c r="BJ144" s="59">
        <f t="shared" si="146"/>
        <v>268.10688874775451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15.525911938042787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15.525911938042787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852.00000000000011</v>
      </c>
      <c r="O145" s="13">
        <f>N145*VLOOKUP('Données projet'!$B$9,Paramètres!$A$1:$I$89,3,0)*VLOOKUP('Données projet'!$B$9,Paramètres!$A$1:$I$89,5,0)</f>
        <v>420.88800000000009</v>
      </c>
      <c r="P145" s="13">
        <f t="shared" si="141"/>
        <v>95.998759891259041</v>
      </c>
      <c r="Q145" s="20">
        <f t="shared" si="108"/>
        <v>900.24444014394294</v>
      </c>
      <c r="R145" s="59">
        <f t="shared" si="109"/>
        <v>1193.5777734772762</v>
      </c>
      <c r="S145" s="59">
        <f ca="1">AVERAGE(OFFSET($R$3,0,0,'Données projet'!$E$9+1,1))-AVERAGE(OFFSET($H$3,0,0,'Données projet'!$E$9+1,1))</f>
        <v>434.08297999735811</v>
      </c>
      <c r="T145" s="59">
        <f t="shared" si="142"/>
        <v>371.04090283546122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46.578757727467121</v>
      </c>
      <c r="AA145" s="21">
        <f>EXP(-LN(2)/25)*AA144+(1-EXP(-LN(2)/25))/(LN(2)/25)*Calculateur!V145*Calculateur!X145*VLOOKUP('Données projet'!$B$9,Paramètres!$A$1:$I$89,3,0)*0.475*44/12</f>
        <v>2.3171301784017619</v>
      </c>
      <c r="AB145" s="21">
        <f>EXP(-LN(2)/2)*AB144+(1-EXP(-LN(2)/2))/(LN(2)/2)*V145*Y145*VLOOKUP('Données projet'!$B$9,Paramètres!$A$1:$I$89,3,0)*0.475*44/12</f>
        <v>1.0430405872366256E-17</v>
      </c>
      <c r="AC145" s="22">
        <f t="shared" si="111"/>
        <v>48.895887905868882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367.99999999999972</v>
      </c>
      <c r="AJ145" s="13">
        <f>AI145*VLOOKUP('Données projet'!$B$10,Paramètres!$A$1:$I$89,3,0)*VLOOKUP('Données projet'!$B$10,Paramètres!$A$1:$I$89,5,0)</f>
        <v>292.78079999999977</v>
      </c>
      <c r="AK145" s="13">
        <f t="shared" si="143"/>
        <v>69.660903052386217</v>
      </c>
      <c r="AL145" s="20">
        <f t="shared" si="112"/>
        <v>631.25263281623893</v>
      </c>
      <c r="AM145" s="59">
        <f t="shared" si="113"/>
        <v>924.58596614957219</v>
      </c>
      <c r="AN145" s="59">
        <f ca="1">AVERAGE(OFFSET($AM$3,0,0,'Données projet'!$E$10+1,1))-AVERAGE(OFFSET($H$3,0,0,'Données projet'!$E$10+1,1))</f>
        <v>331.52724290297675</v>
      </c>
      <c r="AO145" s="59">
        <f t="shared" si="144"/>
        <v>322.79102610158054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18.053357488726931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18.053357488726931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367.99999999999972</v>
      </c>
      <c r="BE145" s="13">
        <f>BD145*VLOOKUP('Données projet'!$B$11,Paramètres!$A$1:$I$89,3,0)*VLOOKUP('Données projet'!$B$11,Paramètres!$A$1:$I$89,5,0)</f>
        <v>246.8543999999998</v>
      </c>
      <c r="BF145" s="13">
        <f t="shared" si="145"/>
        <v>59.911862368716115</v>
      </c>
      <c r="BG145" s="20">
        <f t="shared" si="115"/>
        <v>534.28457362551353</v>
      </c>
      <c r="BH145" s="59">
        <f t="shared" si="116"/>
        <v>827.61790695884679</v>
      </c>
      <c r="BI145" s="59">
        <f ca="1">AVERAGE(OFFSET($BH$3,0,0,'Données projet'!$E$11+1,1))-AVERAGE(OFFSET($H$3,0,0,'Données projet'!$E$11+1,1))</f>
        <v>273.84349636755343</v>
      </c>
      <c r="BJ145" s="59">
        <f t="shared" si="146"/>
        <v>268.10688874775451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15.221458274808978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15.221458274808978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852.00000000000011</v>
      </c>
      <c r="O146" s="13">
        <f>N146*VLOOKUP('Données projet'!$B$9,Paramètres!$A$1:$I$89,3,0)*VLOOKUP('Données projet'!$B$9,Paramètres!$A$1:$I$89,5,0)</f>
        <v>420.88800000000009</v>
      </c>
      <c r="P146" s="13">
        <f t="shared" si="141"/>
        <v>95.998759891259041</v>
      </c>
      <c r="Q146" s="20">
        <f t="shared" si="108"/>
        <v>900.24444014394294</v>
      </c>
      <c r="R146" s="59">
        <f t="shared" si="109"/>
        <v>1193.5777734772762</v>
      </c>
      <c r="S146" s="59">
        <f ca="1">AVERAGE(OFFSET($R$3,0,0,'Données projet'!$E$9+1,1))-AVERAGE(OFFSET($H$3,0,0,'Données projet'!$E$9+1,1))</f>
        <v>434.08297999735811</v>
      </c>
      <c r="T146" s="59">
        <f t="shared" si="142"/>
        <v>371.04090283546122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45.665376698668425</v>
      </c>
      <c r="AA146" s="21">
        <f>EXP(-LN(2)/25)*AA145+(1-EXP(-LN(2)/25))/(LN(2)/25)*Calculateur!V146*Calculateur!X146*VLOOKUP('Données projet'!$B$9,Paramètres!$A$1:$I$89,3,0)*0.475*44/12</f>
        <v>2.2537681318207854</v>
      </c>
      <c r="AB146" s="21">
        <f>EXP(-LN(2)/2)*AB145+(1-EXP(-LN(2)/2))/(LN(2)/2)*V146*Y146*VLOOKUP('Données projet'!$B$9,Paramètres!$A$1:$I$89,3,0)*0.475*44/12</f>
        <v>7.3754107228781661E-18</v>
      </c>
      <c r="AC146" s="22">
        <f t="shared" si="111"/>
        <v>47.919144830489209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367.99999999999972</v>
      </c>
      <c r="AJ146" s="13">
        <f>AI146*VLOOKUP('Données projet'!$B$10,Paramètres!$A$1:$I$89,3,0)*VLOOKUP('Données projet'!$B$10,Paramètres!$A$1:$I$89,5,0)</f>
        <v>292.78079999999977</v>
      </c>
      <c r="AK146" s="13">
        <f t="shared" si="143"/>
        <v>69.660903052386217</v>
      </c>
      <c r="AL146" s="20">
        <f t="shared" si="112"/>
        <v>631.25263281623893</v>
      </c>
      <c r="AM146" s="59">
        <f t="shared" si="113"/>
        <v>924.58596614957219</v>
      </c>
      <c r="AN146" s="59">
        <f ca="1">AVERAGE(OFFSET($AM$3,0,0,'Données projet'!$E$10+1,1))-AVERAGE(OFFSET($H$3,0,0,'Données projet'!$E$10+1,1))</f>
        <v>331.52724290297675</v>
      </c>
      <c r="AO146" s="59">
        <f t="shared" si="144"/>
        <v>322.79102610158054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17.699342159833773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17.699342159833773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367.99999999999972</v>
      </c>
      <c r="BE146" s="13">
        <f>BD146*VLOOKUP('Données projet'!$B$11,Paramètres!$A$1:$I$89,3,0)*VLOOKUP('Données projet'!$B$11,Paramètres!$A$1:$I$89,5,0)</f>
        <v>246.8543999999998</v>
      </c>
      <c r="BF146" s="13">
        <f t="shared" si="145"/>
        <v>59.911862368716115</v>
      </c>
      <c r="BG146" s="20">
        <f t="shared" si="115"/>
        <v>534.28457362551353</v>
      </c>
      <c r="BH146" s="59">
        <f t="shared" si="116"/>
        <v>827.61790695884679</v>
      </c>
      <c r="BI146" s="59">
        <f ca="1">AVERAGE(OFFSET($BH$3,0,0,'Données projet'!$E$11+1,1))-AVERAGE(OFFSET($H$3,0,0,'Données projet'!$E$11+1,1))</f>
        <v>273.84349636755343</v>
      </c>
      <c r="BJ146" s="59">
        <f t="shared" si="146"/>
        <v>268.10688874775451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14.922974762212785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14.922974762212785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852.00000000000011</v>
      </c>
      <c r="O147" s="13">
        <f>N147*VLOOKUP('Données projet'!$B$9,Paramètres!$A$1:$I$89,3,0)*VLOOKUP('Données projet'!$B$9,Paramètres!$A$1:$I$89,5,0)</f>
        <v>420.88800000000009</v>
      </c>
      <c r="P147" s="13">
        <f t="shared" si="141"/>
        <v>95.998759891259041</v>
      </c>
      <c r="Q147" s="20">
        <f t="shared" si="108"/>
        <v>900.24444014394294</v>
      </c>
      <c r="R147" s="59">
        <f t="shared" si="109"/>
        <v>1193.5777734772762</v>
      </c>
      <c r="S147" s="59">
        <f ca="1">AVERAGE(OFFSET($R$3,0,0,'Données projet'!$E$9+1,1))-AVERAGE(OFFSET($H$3,0,0,'Données projet'!$E$9+1,1))</f>
        <v>434.08297999735811</v>
      </c>
      <c r="T147" s="59">
        <f t="shared" si="142"/>
        <v>371.04090283546122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44.769906514737052</v>
      </c>
      <c r="AA147" s="21">
        <f>EXP(-LN(2)/25)*AA146+(1-EXP(-LN(2)/25))/(LN(2)/25)*Calculateur!V147*Calculateur!X147*VLOOKUP('Données projet'!$B$9,Paramètres!$A$1:$I$89,3,0)*0.475*44/12</f>
        <v>2.1921387237356309</v>
      </c>
      <c r="AB147" s="21">
        <f>EXP(-LN(2)/2)*AB146+(1-EXP(-LN(2)/2))/(LN(2)/2)*V147*Y147*VLOOKUP('Données projet'!$B$9,Paramètres!$A$1:$I$89,3,0)*0.475*44/12</f>
        <v>5.2152029361831279E-18</v>
      </c>
      <c r="AC147" s="22">
        <f t="shared" si="111"/>
        <v>46.962045238472683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367.99999999999972</v>
      </c>
      <c r="AJ147" s="13">
        <f>AI147*VLOOKUP('Données projet'!$B$10,Paramètres!$A$1:$I$89,3,0)*VLOOKUP('Données projet'!$B$10,Paramètres!$A$1:$I$89,5,0)</f>
        <v>292.78079999999977</v>
      </c>
      <c r="AK147" s="13">
        <f t="shared" si="143"/>
        <v>69.660903052386217</v>
      </c>
      <c r="AL147" s="20">
        <f t="shared" si="112"/>
        <v>631.25263281623893</v>
      </c>
      <c r="AM147" s="59">
        <f t="shared" si="113"/>
        <v>924.58596614957219</v>
      </c>
      <c r="AN147" s="59">
        <f ca="1">AVERAGE(OFFSET($AM$3,0,0,'Données projet'!$E$10+1,1))-AVERAGE(OFFSET($H$3,0,0,'Données projet'!$E$10+1,1))</f>
        <v>331.52724290297675</v>
      </c>
      <c r="AO147" s="59">
        <f t="shared" si="144"/>
        <v>322.79102610158054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17.352268855612181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17.352268855612181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367.99999999999972</v>
      </c>
      <c r="BE147" s="13">
        <f>BD147*VLOOKUP('Données projet'!$B$11,Paramètres!$A$1:$I$89,3,0)*VLOOKUP('Données projet'!$B$11,Paramètres!$A$1:$I$89,5,0)</f>
        <v>246.8543999999998</v>
      </c>
      <c r="BF147" s="13">
        <f t="shared" si="145"/>
        <v>59.911862368716115</v>
      </c>
      <c r="BG147" s="20">
        <f t="shared" si="115"/>
        <v>534.28457362551353</v>
      </c>
      <c r="BH147" s="59">
        <f t="shared" si="116"/>
        <v>827.61790695884679</v>
      </c>
      <c r="BI147" s="59">
        <f ca="1">AVERAGE(OFFSET($BH$3,0,0,'Données projet'!$E$11+1,1))-AVERAGE(OFFSET($H$3,0,0,'Données projet'!$E$11+1,1))</f>
        <v>273.84349636755343</v>
      </c>
      <c r="BJ147" s="59">
        <f t="shared" si="146"/>
        <v>268.10688874775451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14.630344329241638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14.630344329241638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852.00000000000011</v>
      </c>
      <c r="O148" s="13">
        <f>N148*VLOOKUP('Données projet'!$B$9,Paramètres!$A$1:$I$89,3,0)*VLOOKUP('Données projet'!$B$9,Paramètres!$A$1:$I$89,5,0)</f>
        <v>420.88800000000009</v>
      </c>
      <c r="P148" s="13">
        <f t="shared" si="141"/>
        <v>95.998759891259041</v>
      </c>
      <c r="Q148" s="20">
        <f t="shared" si="108"/>
        <v>900.24444014394294</v>
      </c>
      <c r="R148" s="59">
        <f t="shared" si="109"/>
        <v>1193.5777734772762</v>
      </c>
      <c r="S148" s="59">
        <f ca="1">AVERAGE(OFFSET($R$3,0,0,'Données projet'!$E$9+1,1))-AVERAGE(OFFSET($H$3,0,0,'Données projet'!$E$9+1,1))</f>
        <v>434.08297999735811</v>
      </c>
      <c r="T148" s="59">
        <f t="shared" si="142"/>
        <v>371.04090283546122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43.891995954929698</v>
      </c>
      <c r="AA148" s="21">
        <f>EXP(-LN(2)/25)*AA147+(1-EXP(-LN(2)/25))/(LN(2)/25)*Calculateur!V148*Calculateur!X148*VLOOKUP('Données projet'!$B$9,Paramètres!$A$1:$I$89,3,0)*0.475*44/12</f>
        <v>2.1321945750555149</v>
      </c>
      <c r="AB148" s="21">
        <f>EXP(-LN(2)/2)*AB147+(1-EXP(-LN(2)/2))/(LN(2)/2)*V148*Y148*VLOOKUP('Données projet'!$B$9,Paramètres!$A$1:$I$89,3,0)*0.475*44/12</f>
        <v>3.6877053614390831E-18</v>
      </c>
      <c r="AC148" s="22">
        <f t="shared" si="111"/>
        <v>46.024190529985212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367.99999999999972</v>
      </c>
      <c r="AJ148" s="13">
        <f>AI148*VLOOKUP('Données projet'!$B$10,Paramètres!$A$1:$I$89,3,0)*VLOOKUP('Données projet'!$B$10,Paramètres!$A$1:$I$89,5,0)</f>
        <v>292.78079999999977</v>
      </c>
      <c r="AK148" s="13">
        <f t="shared" si="143"/>
        <v>69.660903052386217</v>
      </c>
      <c r="AL148" s="20">
        <f t="shared" si="112"/>
        <v>631.25263281623893</v>
      </c>
      <c r="AM148" s="59">
        <f t="shared" si="113"/>
        <v>924.58596614957219</v>
      </c>
      <c r="AN148" s="59">
        <f ca="1">AVERAGE(OFFSET($AM$3,0,0,'Données projet'!$E$10+1,1))-AVERAGE(OFFSET($H$3,0,0,'Données projet'!$E$10+1,1))</f>
        <v>331.52724290297675</v>
      </c>
      <c r="AO148" s="59">
        <f t="shared" si="144"/>
        <v>322.79102610158054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17.01200144719256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17.01200144719256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367.99999999999972</v>
      </c>
      <c r="BE148" s="13">
        <f>BD148*VLOOKUP('Données projet'!$B$11,Paramètres!$A$1:$I$89,3,0)*VLOOKUP('Données projet'!$B$11,Paramètres!$A$1:$I$89,5,0)</f>
        <v>246.8543999999998</v>
      </c>
      <c r="BF148" s="13">
        <f t="shared" si="145"/>
        <v>59.911862368716115</v>
      </c>
      <c r="BG148" s="20">
        <f t="shared" si="115"/>
        <v>534.28457362551353</v>
      </c>
      <c r="BH148" s="59">
        <f t="shared" si="116"/>
        <v>827.61790695884679</v>
      </c>
      <c r="BI148" s="59">
        <f ca="1">AVERAGE(OFFSET($BH$3,0,0,'Données projet'!$E$11+1,1))-AVERAGE(OFFSET($H$3,0,0,'Données projet'!$E$11+1,1))</f>
        <v>273.84349636755343</v>
      </c>
      <c r="BJ148" s="59">
        <f t="shared" si="146"/>
        <v>268.10688874775451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14.343452200574115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14.343452200574115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852.00000000000011</v>
      </c>
      <c r="O149" s="13">
        <f>N149*VLOOKUP('Données projet'!$B$9,Paramètres!$A$1:$I$89,3,0)*VLOOKUP('Données projet'!$B$9,Paramètres!$A$1:$I$89,5,0)</f>
        <v>420.88800000000009</v>
      </c>
      <c r="P149" s="13">
        <f t="shared" si="141"/>
        <v>95.998759891259041</v>
      </c>
      <c r="Q149" s="20">
        <f t="shared" si="108"/>
        <v>900.24444014394294</v>
      </c>
      <c r="R149" s="59">
        <f t="shared" si="109"/>
        <v>1193.5777734772762</v>
      </c>
      <c r="S149" s="59">
        <f ca="1">AVERAGE(OFFSET($R$3,0,0,'Données projet'!$E$9+1,1))-AVERAGE(OFFSET($H$3,0,0,'Données projet'!$E$9+1,1))</f>
        <v>434.08297999735811</v>
      </c>
      <c r="T149" s="59">
        <f t="shared" si="142"/>
        <v>371.04090283546122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43.031300685727594</v>
      </c>
      <c r="AA149" s="21">
        <f>EXP(-LN(2)/25)*AA148+(1-EXP(-LN(2)/25))/(LN(2)/25)*Calculateur!V149*Calculateur!X149*VLOOKUP('Données projet'!$B$9,Paramètres!$A$1:$I$89,3,0)*0.475*44/12</f>
        <v>2.0738896022733821</v>
      </c>
      <c r="AB149" s="21">
        <f>EXP(-LN(2)/2)*AB148+(1-EXP(-LN(2)/2))/(LN(2)/2)*V149*Y149*VLOOKUP('Données projet'!$B$9,Paramètres!$A$1:$I$89,3,0)*0.475*44/12</f>
        <v>2.6076014680915639E-18</v>
      </c>
      <c r="AC149" s="22">
        <f t="shared" si="111"/>
        <v>45.105190288000976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367.99999999999972</v>
      </c>
      <c r="AJ149" s="13">
        <f>AI149*VLOOKUP('Données projet'!$B$10,Paramètres!$A$1:$I$89,3,0)*VLOOKUP('Données projet'!$B$10,Paramètres!$A$1:$I$89,5,0)</f>
        <v>292.78079999999977</v>
      </c>
      <c r="AK149" s="13">
        <f t="shared" si="143"/>
        <v>69.660903052386217</v>
      </c>
      <c r="AL149" s="20">
        <f t="shared" si="112"/>
        <v>631.25263281623893</v>
      </c>
      <c r="AM149" s="59">
        <f t="shared" si="113"/>
        <v>924.58596614957219</v>
      </c>
      <c r="AN149" s="59">
        <f ca="1">AVERAGE(OFFSET($AM$3,0,0,'Données projet'!$E$10+1,1))-AVERAGE(OFFSET($H$3,0,0,'Données projet'!$E$10+1,1))</f>
        <v>331.52724290297675</v>
      </c>
      <c r="AO149" s="59">
        <f t="shared" si="144"/>
        <v>322.79102610158054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16.678406475109423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16.678406475109423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367.99999999999972</v>
      </c>
      <c r="BE149" s="13">
        <f>BD149*VLOOKUP('Données projet'!$B$11,Paramètres!$A$1:$I$89,3,0)*VLOOKUP('Données projet'!$B$11,Paramètres!$A$1:$I$89,5,0)</f>
        <v>246.8543999999998</v>
      </c>
      <c r="BF149" s="13">
        <f t="shared" si="145"/>
        <v>59.911862368716115</v>
      </c>
      <c r="BG149" s="20">
        <f t="shared" si="115"/>
        <v>534.28457362551353</v>
      </c>
      <c r="BH149" s="59">
        <f t="shared" si="116"/>
        <v>827.61790695884679</v>
      </c>
      <c r="BI149" s="59">
        <f ca="1">AVERAGE(OFFSET($BH$3,0,0,'Données projet'!$E$11+1,1))-AVERAGE(OFFSET($H$3,0,0,'Données projet'!$E$11+1,1))</f>
        <v>273.84349636755343</v>
      </c>
      <c r="BJ149" s="59">
        <f t="shared" si="146"/>
        <v>268.10688874775451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14.062185851562843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14.062185851562843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852.00000000000011</v>
      </c>
      <c r="O150" s="13">
        <f>N150*VLOOKUP('Données projet'!$B$9,Paramètres!$A$1:$I$89,3,0)*VLOOKUP('Données projet'!$B$9,Paramètres!$A$1:$I$89,5,0)</f>
        <v>420.88800000000009</v>
      </c>
      <c r="P150" s="13">
        <f t="shared" si="141"/>
        <v>95.998759891259041</v>
      </c>
      <c r="Q150" s="20">
        <f t="shared" si="108"/>
        <v>900.24444014394294</v>
      </c>
      <c r="R150" s="59">
        <f t="shared" si="109"/>
        <v>1193.5777734772762</v>
      </c>
      <c r="S150" s="59">
        <f ca="1">AVERAGE(OFFSET($R$3,0,0,'Données projet'!$E$9+1,1))-AVERAGE(OFFSET($H$3,0,0,'Données projet'!$E$9+1,1))</f>
        <v>434.08297999735811</v>
      </c>
      <c r="T150" s="59">
        <f t="shared" si="142"/>
        <v>371.04090283546122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42.187483125782265</v>
      </c>
      <c r="AA150" s="21">
        <f>EXP(-LN(2)/25)*AA149+(1-EXP(-LN(2)/25))/(LN(2)/25)*Calculateur!V150*Calculateur!X150*VLOOKUP('Données projet'!$B$9,Paramètres!$A$1:$I$89,3,0)*0.475*44/12</f>
        <v>2.0171789820381023</v>
      </c>
      <c r="AB150" s="21">
        <f>EXP(-LN(2)/2)*AB149+(1-EXP(-LN(2)/2))/(LN(2)/2)*V150*Y150*VLOOKUP('Données projet'!$B$9,Paramètres!$A$1:$I$89,3,0)*0.475*44/12</f>
        <v>1.8438526807195415E-18</v>
      </c>
      <c r="AC150" s="22">
        <f t="shared" si="111"/>
        <v>44.204662107820369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367.99999999999972</v>
      </c>
      <c r="AJ150" s="13">
        <f>AI150*VLOOKUP('Données projet'!$B$10,Paramètres!$A$1:$I$89,3,0)*VLOOKUP('Données projet'!$B$10,Paramètres!$A$1:$I$89,5,0)</f>
        <v>292.78079999999977</v>
      </c>
      <c r="AK150" s="13">
        <f t="shared" si="143"/>
        <v>69.660903052386217</v>
      </c>
      <c r="AL150" s="20">
        <f t="shared" si="112"/>
        <v>631.25263281623893</v>
      </c>
      <c r="AM150" s="59">
        <f t="shared" si="113"/>
        <v>924.58596614957219</v>
      </c>
      <c r="AN150" s="59">
        <f ca="1">AVERAGE(OFFSET($AM$3,0,0,'Données projet'!$E$10+1,1))-AVERAGE(OFFSET($H$3,0,0,'Données projet'!$E$10+1,1))</f>
        <v>331.52724290297675</v>
      </c>
      <c r="AO150" s="59">
        <f t="shared" si="144"/>
        <v>322.79102610158054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16.351353096955993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16.351353096955993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367.99999999999972</v>
      </c>
      <c r="BE150" s="13">
        <f>BD150*VLOOKUP('Données projet'!$B$11,Paramètres!$A$1:$I$89,3,0)*VLOOKUP('Données projet'!$B$11,Paramètres!$A$1:$I$89,5,0)</f>
        <v>246.8543999999998</v>
      </c>
      <c r="BF150" s="13">
        <f t="shared" si="145"/>
        <v>59.911862368716115</v>
      </c>
      <c r="BG150" s="20">
        <f t="shared" si="115"/>
        <v>534.28457362551353</v>
      </c>
      <c r="BH150" s="59">
        <f t="shared" si="116"/>
        <v>827.61790695884679</v>
      </c>
      <c r="BI150" s="59">
        <f ca="1">AVERAGE(OFFSET($BH$3,0,0,'Données projet'!$E$11+1,1))-AVERAGE(OFFSET($H$3,0,0,'Données projet'!$E$11+1,1))</f>
        <v>273.84349636755343</v>
      </c>
      <c r="BJ150" s="59">
        <f t="shared" si="146"/>
        <v>268.10688874775451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13.786434964100147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13.786434964100147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852.00000000000011</v>
      </c>
      <c r="O151" s="13">
        <f>N151*VLOOKUP('Données projet'!$B$9,Paramètres!$A$1:$I$89,3,0)*VLOOKUP('Données projet'!$B$9,Paramètres!$A$1:$I$89,5,0)</f>
        <v>420.88800000000009</v>
      </c>
      <c r="P151" s="13">
        <f t="shared" si="141"/>
        <v>95.998759891259041</v>
      </c>
      <c r="Q151" s="20">
        <f t="shared" si="108"/>
        <v>900.24444014394294</v>
      </c>
      <c r="R151" s="59">
        <f t="shared" si="109"/>
        <v>1193.5777734772762</v>
      </c>
      <c r="S151" s="59">
        <f ca="1">AVERAGE(OFFSET($R$3,0,0,'Données projet'!$E$9+1,1))-AVERAGE(OFFSET($H$3,0,0,'Données projet'!$E$9+1,1))</f>
        <v>434.08297999735811</v>
      </c>
      <c r="T151" s="59">
        <f t="shared" si="142"/>
        <v>371.04090283546122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41.360212313509578</v>
      </c>
      <c r="AA151" s="21">
        <f>EXP(-LN(2)/25)*AA150+(1-EXP(-LN(2)/25))/(LN(2)/25)*Calculateur!V151*Calculateur!X151*VLOOKUP('Données projet'!$B$9,Paramètres!$A$1:$I$89,3,0)*0.475*44/12</f>
        <v>1.9620191166954382</v>
      </c>
      <c r="AB151" s="21">
        <f>EXP(-LN(2)/2)*AB150+(1-EXP(-LN(2)/2))/(LN(2)/2)*V151*Y151*VLOOKUP('Données projet'!$B$9,Paramètres!$A$1:$I$89,3,0)*0.475*44/12</f>
        <v>1.303800734045782E-18</v>
      </c>
      <c r="AC151" s="22">
        <f t="shared" si="111"/>
        <v>43.322231430205015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367.99999999999972</v>
      </c>
      <c r="AJ151" s="13">
        <f>AI151*VLOOKUP('Données projet'!$B$10,Paramètres!$A$1:$I$89,3,0)*VLOOKUP('Données projet'!$B$10,Paramètres!$A$1:$I$89,5,0)</f>
        <v>292.78079999999977</v>
      </c>
      <c r="AK151" s="13">
        <f t="shared" si="143"/>
        <v>69.660903052386217</v>
      </c>
      <c r="AL151" s="20">
        <f t="shared" si="112"/>
        <v>631.25263281623893</v>
      </c>
      <c r="AM151" s="59">
        <f t="shared" si="113"/>
        <v>924.58596614957219</v>
      </c>
      <c r="AN151" s="59">
        <f ca="1">AVERAGE(OFFSET($AM$3,0,0,'Données projet'!$E$10+1,1))-AVERAGE(OFFSET($H$3,0,0,'Données projet'!$E$10+1,1))</f>
        <v>331.52724290297675</v>
      </c>
      <c r="AO151" s="59">
        <f t="shared" si="144"/>
        <v>322.79102610158054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16.03071303606529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16.03071303606529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367.99999999999972</v>
      </c>
      <c r="BE151" s="13">
        <f>BD151*VLOOKUP('Données projet'!$B$11,Paramètres!$A$1:$I$89,3,0)*VLOOKUP('Données projet'!$B$11,Paramètres!$A$1:$I$89,5,0)</f>
        <v>246.8543999999998</v>
      </c>
      <c r="BF151" s="13">
        <f t="shared" si="145"/>
        <v>59.911862368716115</v>
      </c>
      <c r="BG151" s="20">
        <f t="shared" si="115"/>
        <v>534.28457362551353</v>
      </c>
      <c r="BH151" s="59">
        <f t="shared" si="116"/>
        <v>827.61790695884679</v>
      </c>
      <c r="BI151" s="59">
        <f ca="1">AVERAGE(OFFSET($BH$3,0,0,'Données projet'!$E$11+1,1))-AVERAGE(OFFSET($H$3,0,0,'Données projet'!$E$11+1,1))</f>
        <v>273.84349636755343</v>
      </c>
      <c r="BJ151" s="59">
        <f t="shared" si="146"/>
        <v>268.10688874775451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13.516091383349162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13.516091383349162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852.00000000000011</v>
      </c>
      <c r="O152" s="13">
        <f>N152*VLOOKUP('Données projet'!$B$9,Paramètres!$A$1:$I$89,3,0)*VLOOKUP('Données projet'!$B$9,Paramètres!$A$1:$I$89,5,0)</f>
        <v>420.88800000000009</v>
      </c>
      <c r="P152" s="13">
        <f t="shared" si="141"/>
        <v>95.998759891259041</v>
      </c>
      <c r="Q152" s="20">
        <f t="shared" si="108"/>
        <v>900.24444014394294</v>
      </c>
      <c r="R152" s="59">
        <f t="shared" si="109"/>
        <v>1193.5777734772762</v>
      </c>
      <c r="S152" s="59">
        <f ca="1">AVERAGE(OFFSET($R$3,0,0,'Données projet'!$E$9+1,1))-AVERAGE(OFFSET($H$3,0,0,'Données projet'!$E$9+1,1))</f>
        <v>434.08297999735811</v>
      </c>
      <c r="T152" s="59">
        <f t="shared" si="142"/>
        <v>371.04090283546122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40.549163777280185</v>
      </c>
      <c r="AA152" s="21">
        <f>EXP(-LN(2)/25)*AA151+(1-EXP(-LN(2)/25))/(LN(2)/25)*Calculateur!V152*Calculateur!X152*VLOOKUP('Données projet'!$B$9,Paramètres!$A$1:$I$89,3,0)*0.475*44/12</f>
        <v>1.9083676007713004</v>
      </c>
      <c r="AB152" s="21">
        <f>EXP(-LN(2)/2)*AB151+(1-EXP(-LN(2)/2))/(LN(2)/2)*V152*Y152*VLOOKUP('Données projet'!$B$9,Paramètres!$A$1:$I$89,3,0)*0.475*44/12</f>
        <v>9.2192634035977076E-19</v>
      </c>
      <c r="AC152" s="22">
        <f t="shared" si="111"/>
        <v>42.457531378051485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367.99999999999972</v>
      </c>
      <c r="AJ152" s="13">
        <f>AI152*VLOOKUP('Données projet'!$B$10,Paramètres!$A$1:$I$89,3,0)*VLOOKUP('Données projet'!$B$10,Paramètres!$A$1:$I$89,5,0)</f>
        <v>292.78079999999977</v>
      </c>
      <c r="AK152" s="13">
        <f t="shared" si="143"/>
        <v>69.660903052386217</v>
      </c>
      <c r="AL152" s="20">
        <f t="shared" si="112"/>
        <v>631.25263281623893</v>
      </c>
      <c r="AM152" s="59">
        <f t="shared" si="113"/>
        <v>924.58596614957219</v>
      </c>
      <c r="AN152" s="59">
        <f ca="1">AVERAGE(OFFSET($AM$3,0,0,'Données projet'!$E$10+1,1))-AVERAGE(OFFSET($H$3,0,0,'Données projet'!$E$10+1,1))</f>
        <v>331.52724290297675</v>
      </c>
      <c r="AO152" s="59">
        <f t="shared" si="144"/>
        <v>322.79102610158054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15.716360531197527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15.716360531197527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367.99999999999972</v>
      </c>
      <c r="BE152" s="13">
        <f>BD152*VLOOKUP('Données projet'!$B$11,Paramètres!$A$1:$I$89,3,0)*VLOOKUP('Données projet'!$B$11,Paramètres!$A$1:$I$89,5,0)</f>
        <v>246.8543999999998</v>
      </c>
      <c r="BF152" s="13">
        <f t="shared" si="145"/>
        <v>59.911862368716115</v>
      </c>
      <c r="BG152" s="20">
        <f t="shared" si="115"/>
        <v>534.28457362551353</v>
      </c>
      <c r="BH152" s="59">
        <f t="shared" si="116"/>
        <v>827.61790695884679</v>
      </c>
      <c r="BI152" s="59">
        <f ca="1">AVERAGE(OFFSET($BH$3,0,0,'Données projet'!$E$11+1,1))-AVERAGE(OFFSET($H$3,0,0,'Données projet'!$E$11+1,1))</f>
        <v>273.84349636755343</v>
      </c>
      <c r="BJ152" s="59">
        <f t="shared" si="146"/>
        <v>268.10688874775451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13.251049075323401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13.251049075323401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852.00000000000011</v>
      </c>
      <c r="O153" s="13">
        <f>N153*VLOOKUP('Données projet'!$B$9,Paramètres!$A$1:$I$89,3,0)*VLOOKUP('Données projet'!$B$9,Paramètres!$A$1:$I$89,5,0)</f>
        <v>420.88800000000009</v>
      </c>
      <c r="P153" s="13">
        <f t="shared" si="141"/>
        <v>95.998759891259041</v>
      </c>
      <c r="Q153" s="20">
        <f t="shared" si="108"/>
        <v>900.24444014394294</v>
      </c>
      <c r="R153" s="59">
        <f t="shared" si="109"/>
        <v>1193.5777734772762</v>
      </c>
      <c r="S153" s="59">
        <f ca="1">AVERAGE(OFFSET($R$3,0,0,'Données projet'!$E$9+1,1))-AVERAGE(OFFSET($H$3,0,0,'Données projet'!$E$9+1,1))</f>
        <v>434.08297999735811</v>
      </c>
      <c r="T153" s="59">
        <f t="shared" si="142"/>
        <v>371.04090283546122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39.754019408155486</v>
      </c>
      <c r="AA153" s="21">
        <f>EXP(-LN(2)/25)*AA152+(1-EXP(-LN(2)/25))/(LN(2)/25)*Calculateur!V153*Calculateur!X153*VLOOKUP('Données projet'!$B$9,Paramètres!$A$1:$I$89,3,0)*0.475*44/12</f>
        <v>1.8561831883715187</v>
      </c>
      <c r="AB153" s="21">
        <f>EXP(-LN(2)/2)*AB152+(1-EXP(-LN(2)/2))/(LN(2)/2)*V153*Y153*VLOOKUP('Données projet'!$B$9,Paramètres!$A$1:$I$89,3,0)*0.475*44/12</f>
        <v>6.5190036702289098E-19</v>
      </c>
      <c r="AC153" s="22">
        <f t="shared" si="111"/>
        <v>41.610202596527003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367.99999999999972</v>
      </c>
      <c r="AJ153" s="13">
        <f>AI153*VLOOKUP('Données projet'!$B$10,Paramètres!$A$1:$I$89,3,0)*VLOOKUP('Données projet'!$B$10,Paramètres!$A$1:$I$89,5,0)</f>
        <v>292.78079999999977</v>
      </c>
      <c r="AK153" s="13">
        <f t="shared" si="143"/>
        <v>69.660903052386217</v>
      </c>
      <c r="AL153" s="20">
        <f t="shared" si="112"/>
        <v>631.25263281623893</v>
      </c>
      <c r="AM153" s="59">
        <f t="shared" si="113"/>
        <v>924.58596614957219</v>
      </c>
      <c r="AN153" s="59">
        <f ca="1">AVERAGE(OFFSET($AM$3,0,0,'Données projet'!$E$10+1,1))-AVERAGE(OFFSET($H$3,0,0,'Données projet'!$E$10+1,1))</f>
        <v>331.52724290297675</v>
      </c>
      <c r="AO153" s="59">
        <f t="shared" si="144"/>
        <v>322.79102610158054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15.408172287214125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15.408172287214125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367.99999999999972</v>
      </c>
      <c r="BE153" s="13">
        <f>BD153*VLOOKUP('Données projet'!$B$11,Paramètres!$A$1:$I$89,3,0)*VLOOKUP('Données projet'!$B$11,Paramètres!$A$1:$I$89,5,0)</f>
        <v>246.8543999999998</v>
      </c>
      <c r="BF153" s="13">
        <f t="shared" si="145"/>
        <v>59.911862368716115</v>
      </c>
      <c r="BG153" s="20">
        <f t="shared" si="115"/>
        <v>534.28457362551353</v>
      </c>
      <c r="BH153" s="59">
        <f t="shared" si="116"/>
        <v>827.61790695884679</v>
      </c>
      <c r="BI153" s="59">
        <f ca="1">AVERAGE(OFFSET($BH$3,0,0,'Données projet'!$E$11+1,1))-AVERAGE(OFFSET($H$3,0,0,'Données projet'!$E$11+1,1))</f>
        <v>273.84349636755343</v>
      </c>
      <c r="BJ153" s="59">
        <f t="shared" si="146"/>
        <v>268.10688874775451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12.991204085298181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12.991204085298181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852.00000000000011</v>
      </c>
      <c r="O154" s="13">
        <f>N154*VLOOKUP('Données projet'!$B$9,Paramètres!$A$1:$I$89,3,0)*VLOOKUP('Données projet'!$B$9,Paramètres!$A$1:$I$89,5,0)</f>
        <v>420.88800000000009</v>
      </c>
      <c r="P154" s="13">
        <f t="shared" si="141"/>
        <v>95.998759891259041</v>
      </c>
      <c r="Q154" s="20">
        <f t="shared" ref="Q154:Q203" si="162">(O154+P154)*0.475*44/12</f>
        <v>900.24444014394294</v>
      </c>
      <c r="R154" s="59">
        <f t="shared" si="109"/>
        <v>1193.5777734772762</v>
      </c>
      <c r="S154" s="59">
        <f ca="1">AVERAGE(OFFSET($R$3,0,0,'Données projet'!$E$9+1,1))-AVERAGE(OFFSET($H$3,0,0,'Données projet'!$E$9+1,1))</f>
        <v>434.08297999735811</v>
      </c>
      <c r="T154" s="59">
        <f t="shared" si="142"/>
        <v>371.04090283546122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38.974467335119151</v>
      </c>
      <c r="AA154" s="21">
        <f>EXP(-LN(2)/25)*AA153+(1-EXP(-LN(2)/25))/(LN(2)/25)*Calculateur!V154*Calculateur!X154*VLOOKUP('Données projet'!$B$9,Paramètres!$A$1:$I$89,3,0)*0.475*44/12</f>
        <v>1.805425761473068</v>
      </c>
      <c r="AB154" s="21">
        <f>EXP(-LN(2)/2)*AB153+(1-EXP(-LN(2)/2))/(LN(2)/2)*V154*Y154*VLOOKUP('Données projet'!$B$9,Paramètres!$A$1:$I$89,3,0)*0.475*44/12</f>
        <v>4.6096317017988538E-19</v>
      </c>
      <c r="AC154" s="22">
        <f t="shared" ref="AC154:AC203" si="163">SUM(Z154:AB154)</f>
        <v>40.779893096592218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367.99999999999972</v>
      </c>
      <c r="AJ154" s="13">
        <f>AI154*VLOOKUP('Données projet'!$B$10,Paramètres!$A$1:$I$89,3,0)*VLOOKUP('Données projet'!$B$10,Paramètres!$A$1:$I$89,5,0)</f>
        <v>292.78079999999977</v>
      </c>
      <c r="AK154" s="13">
        <f t="shared" ref="AK154:AK203" si="164">EXP(-1.0587+0.8836*LN(AJ154)+0.284)</f>
        <v>69.660903052386217</v>
      </c>
      <c r="AL154" s="20">
        <f t="shared" ref="AL154:AL203" si="165">(AJ154+AK154)*0.475*44/12</f>
        <v>631.25263281623893</v>
      </c>
      <c r="AM154" s="59">
        <f t="shared" si="113"/>
        <v>924.58596614957219</v>
      </c>
      <c r="AN154" s="59">
        <f ca="1">AVERAGE(OFFSET($AM$3,0,0,'Données projet'!$E$10+1,1))-AVERAGE(OFFSET($H$3,0,0,'Données projet'!$E$10+1,1))</f>
        <v>331.52724290297675</v>
      </c>
      <c r="AO154" s="59">
        <f t="shared" si="144"/>
        <v>322.79102610158054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15.10602742671897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15.10602742671897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367.99999999999972</v>
      </c>
      <c r="BE154" s="13">
        <f>BD154*VLOOKUP('Données projet'!$B$11,Paramètres!$A$1:$I$89,3,0)*VLOOKUP('Données projet'!$B$11,Paramètres!$A$1:$I$89,5,0)</f>
        <v>246.8543999999998</v>
      </c>
      <c r="BF154" s="13">
        <f t="shared" ref="BF154:BF203" si="167">EXP(-1.0587+0.8836*LN(BE154)+0.284)</f>
        <v>59.911862368716115</v>
      </c>
      <c r="BG154" s="20">
        <f t="shared" ref="BG154:BG203" si="168">(BE154+BF154)*0.475*44/12</f>
        <v>534.28457362551353</v>
      </c>
      <c r="BH154" s="59">
        <f t="shared" si="116"/>
        <v>827.61790695884679</v>
      </c>
      <c r="BI154" s="59">
        <f ca="1">AVERAGE(OFFSET($BH$3,0,0,'Données projet'!$E$11+1,1))-AVERAGE(OFFSET($H$3,0,0,'Données projet'!$E$11+1,1))</f>
        <v>273.84349636755343</v>
      </c>
      <c r="BJ154" s="59">
        <f t="shared" si="146"/>
        <v>268.10688874775451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12.73645449703756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12.73645449703756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852.00000000000011</v>
      </c>
      <c r="O155" s="13">
        <f>N155*VLOOKUP('Données projet'!$B$9,Paramètres!$A$1:$I$89,3,0)*VLOOKUP('Données projet'!$B$9,Paramètres!$A$1:$I$89,5,0)</f>
        <v>420.88800000000009</v>
      </c>
      <c r="P155" s="13">
        <f t="shared" si="141"/>
        <v>95.998759891259041</v>
      </c>
      <c r="Q155" s="20">
        <f t="shared" si="162"/>
        <v>900.24444014394294</v>
      </c>
      <c r="R155" s="59">
        <f t="shared" si="109"/>
        <v>1193.5777734772762</v>
      </c>
      <c r="S155" s="59">
        <f ca="1">AVERAGE(OFFSET($R$3,0,0,'Données projet'!$E$9+1,1))-AVERAGE(OFFSET($H$3,0,0,'Données projet'!$E$9+1,1))</f>
        <v>434.08297999735811</v>
      </c>
      <c r="T155" s="59">
        <f t="shared" si="142"/>
        <v>371.04090283546122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38.210201802755243</v>
      </c>
      <c r="AA155" s="21">
        <f>EXP(-LN(2)/25)*AA154+(1-EXP(-LN(2)/25))/(LN(2)/25)*Calculateur!V155*Calculateur!X155*VLOOKUP('Données projet'!$B$9,Paramètres!$A$1:$I$89,3,0)*0.475*44/12</f>
        <v>1.7560562990823725</v>
      </c>
      <c r="AB155" s="21">
        <f>EXP(-LN(2)/2)*AB154+(1-EXP(-LN(2)/2))/(LN(2)/2)*V155*Y155*VLOOKUP('Données projet'!$B$9,Paramètres!$A$1:$I$89,3,0)*0.475*44/12</f>
        <v>3.2595018351144549E-19</v>
      </c>
      <c r="AC155" s="22">
        <f t="shared" si="163"/>
        <v>39.966258101837617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367.99999999999972</v>
      </c>
      <c r="AJ155" s="13">
        <f>AI155*VLOOKUP('Données projet'!$B$10,Paramètres!$A$1:$I$89,3,0)*VLOOKUP('Données projet'!$B$10,Paramètres!$A$1:$I$89,5,0)</f>
        <v>292.78079999999977</v>
      </c>
      <c r="AK155" s="13">
        <f t="shared" si="164"/>
        <v>69.660903052386217</v>
      </c>
      <c r="AL155" s="20">
        <f t="shared" si="165"/>
        <v>631.25263281623893</v>
      </c>
      <c r="AM155" s="59">
        <f t="shared" si="113"/>
        <v>924.58596614957219</v>
      </c>
      <c r="AN155" s="59">
        <f ca="1">AVERAGE(OFFSET($AM$3,0,0,'Données projet'!$E$10+1,1))-AVERAGE(OFFSET($H$3,0,0,'Données projet'!$E$10+1,1))</f>
        <v>331.52724290297675</v>
      </c>
      <c r="AO155" s="59">
        <f t="shared" si="144"/>
        <v>322.79102610158054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14.809807442647958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14.809807442647958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367.99999999999972</v>
      </c>
      <c r="BE155" s="13">
        <f>BD155*VLOOKUP('Données projet'!$B$11,Paramètres!$A$1:$I$89,3,0)*VLOOKUP('Données projet'!$B$11,Paramètres!$A$1:$I$89,5,0)</f>
        <v>246.8543999999998</v>
      </c>
      <c r="BF155" s="13">
        <f t="shared" si="167"/>
        <v>59.911862368716115</v>
      </c>
      <c r="BG155" s="20">
        <f t="shared" si="168"/>
        <v>534.28457362551353</v>
      </c>
      <c r="BH155" s="59">
        <f t="shared" si="116"/>
        <v>827.61790695884679</v>
      </c>
      <c r="BI155" s="59">
        <f ca="1">AVERAGE(OFFSET($BH$3,0,0,'Données projet'!$E$11+1,1))-AVERAGE(OFFSET($H$3,0,0,'Données projet'!$E$11+1,1))</f>
        <v>273.84349636755343</v>
      </c>
      <c r="BJ155" s="59">
        <f t="shared" si="146"/>
        <v>268.10688874775451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12.486700392820824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12.486700392820824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852.00000000000011</v>
      </c>
      <c r="O156" s="13">
        <f>N156*VLOOKUP('Données projet'!$B$9,Paramètres!$A$1:$I$89,3,0)*VLOOKUP('Données projet'!$B$9,Paramètres!$A$1:$I$89,5,0)</f>
        <v>420.88800000000009</v>
      </c>
      <c r="P156" s="13">
        <f t="shared" si="141"/>
        <v>95.998759891259041</v>
      </c>
      <c r="Q156" s="20">
        <f t="shared" si="162"/>
        <v>900.24444014394294</v>
      </c>
      <c r="R156" s="59">
        <f t="shared" si="109"/>
        <v>1193.5777734772762</v>
      </c>
      <c r="S156" s="59">
        <f ca="1">AVERAGE(OFFSET($R$3,0,0,'Données projet'!$E$9+1,1))-AVERAGE(OFFSET($H$3,0,0,'Données projet'!$E$9+1,1))</f>
        <v>434.08297999735811</v>
      </c>
      <c r="T156" s="59">
        <f t="shared" si="142"/>
        <v>371.04090283546122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37.460923051325047</v>
      </c>
      <c r="AA156" s="21">
        <f>EXP(-LN(2)/25)*AA155+(1-EXP(-LN(2)/25))/(LN(2)/25)*Calculateur!V156*Calculateur!X156*VLOOKUP('Données projet'!$B$9,Paramètres!$A$1:$I$89,3,0)*0.475*44/12</f>
        <v>1.7080368472369778</v>
      </c>
      <c r="AB156" s="21">
        <f>EXP(-LN(2)/2)*AB155+(1-EXP(-LN(2)/2))/(LN(2)/2)*V156*Y156*VLOOKUP('Données projet'!$B$9,Paramètres!$A$1:$I$89,3,0)*0.475*44/12</f>
        <v>2.3048158508994269E-19</v>
      </c>
      <c r="AC156" s="22">
        <f t="shared" si="163"/>
        <v>39.168959898562022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367.99999999999972</v>
      </c>
      <c r="AJ156" s="13">
        <f>AI156*VLOOKUP('Données projet'!$B$10,Paramètres!$A$1:$I$89,3,0)*VLOOKUP('Données projet'!$B$10,Paramètres!$A$1:$I$89,5,0)</f>
        <v>292.78079999999977</v>
      </c>
      <c r="AK156" s="13">
        <f t="shared" si="164"/>
        <v>69.660903052386217</v>
      </c>
      <c r="AL156" s="20">
        <f t="shared" si="165"/>
        <v>631.25263281623893</v>
      </c>
      <c r="AM156" s="59">
        <f t="shared" si="113"/>
        <v>924.58596614957219</v>
      </c>
      <c r="AN156" s="59">
        <f ca="1">AVERAGE(OFFSET($AM$3,0,0,'Données projet'!$E$10+1,1))-AVERAGE(OFFSET($H$3,0,0,'Données projet'!$E$10+1,1))</f>
        <v>331.52724290297675</v>
      </c>
      <c r="AO156" s="59">
        <f t="shared" si="144"/>
        <v>322.79102610158054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14.519396151788229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14.519396151788229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367.99999999999972</v>
      </c>
      <c r="BE156" s="13">
        <f>BD156*VLOOKUP('Données projet'!$B$11,Paramètres!$A$1:$I$89,3,0)*VLOOKUP('Données projet'!$B$11,Paramètres!$A$1:$I$89,5,0)</f>
        <v>246.8543999999998</v>
      </c>
      <c r="BF156" s="13">
        <f t="shared" si="167"/>
        <v>59.911862368716115</v>
      </c>
      <c r="BG156" s="20">
        <f t="shared" si="168"/>
        <v>534.28457362551353</v>
      </c>
      <c r="BH156" s="59">
        <f t="shared" si="116"/>
        <v>827.61790695884679</v>
      </c>
      <c r="BI156" s="59">
        <f ca="1">AVERAGE(OFFSET($BH$3,0,0,'Données projet'!$E$11+1,1))-AVERAGE(OFFSET($H$3,0,0,'Données projet'!$E$11+1,1))</f>
        <v>273.84349636755343</v>
      </c>
      <c r="BJ156" s="59">
        <f t="shared" si="146"/>
        <v>268.10688874775451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12.241843814252816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12.241843814252816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852.00000000000011</v>
      </c>
      <c r="O157" s="13">
        <f>N157*VLOOKUP('Données projet'!$B$9,Paramètres!$A$1:$I$89,3,0)*VLOOKUP('Données projet'!$B$9,Paramètres!$A$1:$I$89,5,0)</f>
        <v>420.88800000000009</v>
      </c>
      <c r="P157" s="13">
        <f t="shared" si="141"/>
        <v>95.998759891259041</v>
      </c>
      <c r="Q157" s="20">
        <f t="shared" si="162"/>
        <v>900.24444014394294</v>
      </c>
      <c r="R157" s="59">
        <f t="shared" si="109"/>
        <v>1193.5777734772762</v>
      </c>
      <c r="S157" s="59">
        <f ca="1">AVERAGE(OFFSET($R$3,0,0,'Données projet'!$E$9+1,1))-AVERAGE(OFFSET($H$3,0,0,'Données projet'!$E$9+1,1))</f>
        <v>434.08297999735811</v>
      </c>
      <c r="T157" s="59">
        <f t="shared" si="142"/>
        <v>371.04090283546122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36.726337199195484</v>
      </c>
      <c r="AA157" s="21">
        <f>EXP(-LN(2)/25)*AA156+(1-EXP(-LN(2)/25))/(LN(2)/25)*Calculateur!V157*Calculateur!X157*VLOOKUP('Données projet'!$B$9,Paramètres!$A$1:$I$89,3,0)*0.475*44/12</f>
        <v>1.6613304898275285</v>
      </c>
      <c r="AB157" s="21">
        <f>EXP(-LN(2)/2)*AB156+(1-EXP(-LN(2)/2))/(LN(2)/2)*V157*Y157*VLOOKUP('Données projet'!$B$9,Paramètres!$A$1:$I$89,3,0)*0.475*44/12</f>
        <v>1.6297509175572275E-19</v>
      </c>
      <c r="AC157" s="22">
        <f t="shared" si="163"/>
        <v>38.387667689023012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367.99999999999972</v>
      </c>
      <c r="AJ157" s="13">
        <f>AI157*VLOOKUP('Données projet'!$B$10,Paramètres!$A$1:$I$89,3,0)*VLOOKUP('Données projet'!$B$10,Paramètres!$A$1:$I$89,5,0)</f>
        <v>292.78079999999977</v>
      </c>
      <c r="AK157" s="13">
        <f t="shared" si="164"/>
        <v>69.660903052386217</v>
      </c>
      <c r="AL157" s="20">
        <f t="shared" si="165"/>
        <v>631.25263281623893</v>
      </c>
      <c r="AM157" s="59">
        <f t="shared" si="113"/>
        <v>924.58596614957219</v>
      </c>
      <c r="AN157" s="59">
        <f ca="1">AVERAGE(OFFSET($AM$3,0,0,'Données projet'!$E$10+1,1))-AVERAGE(OFFSET($H$3,0,0,'Données projet'!$E$10+1,1))</f>
        <v>331.52724290297675</v>
      </c>
      <c r="AO157" s="59">
        <f t="shared" si="144"/>
        <v>322.79102610158054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14.234679649208861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14.234679649208861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367.99999999999972</v>
      </c>
      <c r="BE157" s="13">
        <f>BD157*VLOOKUP('Données projet'!$B$11,Paramètres!$A$1:$I$89,3,0)*VLOOKUP('Données projet'!$B$11,Paramètres!$A$1:$I$89,5,0)</f>
        <v>246.8543999999998</v>
      </c>
      <c r="BF157" s="13">
        <f t="shared" si="167"/>
        <v>59.911862368716115</v>
      </c>
      <c r="BG157" s="20">
        <f t="shared" si="168"/>
        <v>534.28457362551353</v>
      </c>
      <c r="BH157" s="59">
        <f t="shared" si="116"/>
        <v>827.61790695884679</v>
      </c>
      <c r="BI157" s="59">
        <f ca="1">AVERAGE(OFFSET($BH$3,0,0,'Données projet'!$E$11+1,1))-AVERAGE(OFFSET($H$3,0,0,'Données projet'!$E$11+1,1))</f>
        <v>273.84349636755343</v>
      </c>
      <c r="BJ157" s="59">
        <f t="shared" si="146"/>
        <v>268.10688874775451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12.001788723842761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12.001788723842761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852.00000000000011</v>
      </c>
      <c r="O158" s="13">
        <f>N158*VLOOKUP('Données projet'!$B$9,Paramètres!$A$1:$I$89,3,0)*VLOOKUP('Données projet'!$B$9,Paramètres!$A$1:$I$89,5,0)</f>
        <v>420.88800000000009</v>
      </c>
      <c r="P158" s="13">
        <f t="shared" si="141"/>
        <v>95.998759891259041</v>
      </c>
      <c r="Q158" s="20">
        <f t="shared" si="162"/>
        <v>900.24444014394294</v>
      </c>
      <c r="R158" s="59">
        <f t="shared" si="109"/>
        <v>1193.5777734772762</v>
      </c>
      <c r="S158" s="59">
        <f ca="1">AVERAGE(OFFSET($R$3,0,0,'Données projet'!$E$9+1,1))-AVERAGE(OFFSET($H$3,0,0,'Données projet'!$E$9+1,1))</f>
        <v>434.08297999735811</v>
      </c>
      <c r="T158" s="59">
        <f t="shared" si="142"/>
        <v>371.04090283546122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36.00615612757305</v>
      </c>
      <c r="AA158" s="21">
        <f>EXP(-LN(2)/25)*AA157+(1-EXP(-LN(2)/25))/(LN(2)/25)*Calculateur!V158*Calculateur!X158*VLOOKUP('Données projet'!$B$9,Paramètres!$A$1:$I$89,3,0)*0.475*44/12</f>
        <v>1.6159013202176213</v>
      </c>
      <c r="AB158" s="21">
        <f>EXP(-LN(2)/2)*AB157+(1-EXP(-LN(2)/2))/(LN(2)/2)*V158*Y158*VLOOKUP('Données projet'!$B$9,Paramètres!$A$1:$I$89,3,0)*0.475*44/12</f>
        <v>1.1524079254497135E-19</v>
      </c>
      <c r="AC158" s="22">
        <f t="shared" si="163"/>
        <v>37.622057447790674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367.99999999999972</v>
      </c>
      <c r="AJ158" s="13">
        <f>AI158*VLOOKUP('Données projet'!$B$10,Paramètres!$A$1:$I$89,3,0)*VLOOKUP('Données projet'!$B$10,Paramètres!$A$1:$I$89,5,0)</f>
        <v>292.78079999999977</v>
      </c>
      <c r="AK158" s="13">
        <f t="shared" si="164"/>
        <v>69.660903052386217</v>
      </c>
      <c r="AL158" s="20">
        <f t="shared" si="165"/>
        <v>631.25263281623893</v>
      </c>
      <c r="AM158" s="59">
        <f t="shared" si="113"/>
        <v>924.58596614957219</v>
      </c>
      <c r="AN158" s="59">
        <f ca="1">AVERAGE(OFFSET($AM$3,0,0,'Données projet'!$E$10+1,1))-AVERAGE(OFFSET($H$3,0,0,'Données projet'!$E$10+1,1))</f>
        <v>331.52724290297675</v>
      </c>
      <c r="AO158" s="59">
        <f t="shared" si="144"/>
        <v>322.79102610158054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13.955546263585155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13.955546263585155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367.99999999999972</v>
      </c>
      <c r="BE158" s="13">
        <f>BD158*VLOOKUP('Données projet'!$B$11,Paramètres!$A$1:$I$89,3,0)*VLOOKUP('Données projet'!$B$11,Paramètres!$A$1:$I$89,5,0)</f>
        <v>246.8543999999998</v>
      </c>
      <c r="BF158" s="13">
        <f t="shared" si="167"/>
        <v>59.911862368716115</v>
      </c>
      <c r="BG158" s="20">
        <f t="shared" si="168"/>
        <v>534.28457362551353</v>
      </c>
      <c r="BH158" s="59">
        <f t="shared" si="116"/>
        <v>827.61790695884679</v>
      </c>
      <c r="BI158" s="59">
        <f ca="1">AVERAGE(OFFSET($BH$3,0,0,'Données projet'!$E$11+1,1))-AVERAGE(OFFSET($H$3,0,0,'Données projet'!$E$11+1,1))</f>
        <v>273.84349636755343</v>
      </c>
      <c r="BJ158" s="59">
        <f t="shared" si="146"/>
        <v>268.10688874775451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11.7664409673365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11.7664409673365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852.00000000000011</v>
      </c>
      <c r="O159" s="13">
        <f>N159*VLOOKUP('Données projet'!$B$9,Paramètres!$A$1:$I$89,3,0)*VLOOKUP('Données projet'!$B$9,Paramètres!$A$1:$I$89,5,0)</f>
        <v>420.88800000000009</v>
      </c>
      <c r="P159" s="13">
        <f t="shared" si="141"/>
        <v>95.998759891259041</v>
      </c>
      <c r="Q159" s="20">
        <f t="shared" si="162"/>
        <v>900.24444014394294</v>
      </c>
      <c r="R159" s="59">
        <f t="shared" si="109"/>
        <v>1193.5777734772762</v>
      </c>
      <c r="S159" s="59">
        <f ca="1">AVERAGE(OFFSET($R$3,0,0,'Données projet'!$E$9+1,1))-AVERAGE(OFFSET($H$3,0,0,'Données projet'!$E$9+1,1))</f>
        <v>434.08297999735811</v>
      </c>
      <c r="T159" s="59">
        <f t="shared" si="142"/>
        <v>371.04090283546122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35.300097367498054</v>
      </c>
      <c r="AA159" s="21">
        <f>EXP(-LN(2)/25)*AA158+(1-EXP(-LN(2)/25))/(LN(2)/25)*Calculateur!V159*Calculateur!X159*VLOOKUP('Données projet'!$B$9,Paramètres!$A$1:$I$89,3,0)*0.475*44/12</f>
        <v>1.5717144136397132</v>
      </c>
      <c r="AB159" s="21">
        <f>EXP(-LN(2)/2)*AB158+(1-EXP(-LN(2)/2))/(LN(2)/2)*V159*Y159*VLOOKUP('Données projet'!$B$9,Paramètres!$A$1:$I$89,3,0)*0.475*44/12</f>
        <v>8.1487545877861373E-20</v>
      </c>
      <c r="AC159" s="22">
        <f t="shared" si="163"/>
        <v>36.871811781137765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367.99999999999972</v>
      </c>
      <c r="AJ159" s="13">
        <f>AI159*VLOOKUP('Données projet'!$B$10,Paramètres!$A$1:$I$89,3,0)*VLOOKUP('Données projet'!$B$10,Paramètres!$A$1:$I$89,5,0)</f>
        <v>292.78079999999977</v>
      </c>
      <c r="AK159" s="13">
        <f t="shared" si="164"/>
        <v>69.660903052386217</v>
      </c>
      <c r="AL159" s="20">
        <f t="shared" si="165"/>
        <v>631.25263281623893</v>
      </c>
      <c r="AM159" s="59">
        <f t="shared" si="113"/>
        <v>924.58596614957219</v>
      </c>
      <c r="AN159" s="59">
        <f ca="1">AVERAGE(OFFSET($AM$3,0,0,'Données projet'!$E$10+1,1))-AVERAGE(OFFSET($H$3,0,0,'Données projet'!$E$10+1,1))</f>
        <v>331.52724290297675</v>
      </c>
      <c r="AO159" s="59">
        <f t="shared" si="144"/>
        <v>322.79102610158054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13.681886513398977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13.681886513398977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367.99999999999972</v>
      </c>
      <c r="BE159" s="13">
        <f>BD159*VLOOKUP('Données projet'!$B$11,Paramètres!$A$1:$I$89,3,0)*VLOOKUP('Données projet'!$B$11,Paramètres!$A$1:$I$89,5,0)</f>
        <v>246.8543999999998</v>
      </c>
      <c r="BF159" s="13">
        <f t="shared" si="167"/>
        <v>59.911862368716115</v>
      </c>
      <c r="BG159" s="20">
        <f t="shared" si="168"/>
        <v>534.28457362551353</v>
      </c>
      <c r="BH159" s="59">
        <f t="shared" si="116"/>
        <v>827.61790695884679</v>
      </c>
      <c r="BI159" s="59">
        <f ca="1">AVERAGE(OFFSET($BH$3,0,0,'Données projet'!$E$11+1,1))-AVERAGE(OFFSET($H$3,0,0,'Données projet'!$E$11+1,1))</f>
        <v>273.84349636755343</v>
      </c>
      <c r="BJ159" s="59">
        <f t="shared" si="146"/>
        <v>268.10688874775451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11.53570823678737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11.53570823678737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852.00000000000011</v>
      </c>
      <c r="O160" s="13">
        <f>N160*VLOOKUP('Données projet'!$B$9,Paramètres!$A$1:$I$89,3,0)*VLOOKUP('Données projet'!$B$9,Paramètres!$A$1:$I$89,5,0)</f>
        <v>420.88800000000009</v>
      </c>
      <c r="P160" s="13">
        <f t="shared" si="141"/>
        <v>95.998759891259041</v>
      </c>
      <c r="Q160" s="20">
        <f t="shared" si="162"/>
        <v>900.24444014394294</v>
      </c>
      <c r="R160" s="59">
        <f t="shared" si="109"/>
        <v>1193.5777734772762</v>
      </c>
      <c r="S160" s="59">
        <f ca="1">AVERAGE(OFFSET($R$3,0,0,'Données projet'!$E$9+1,1))-AVERAGE(OFFSET($H$3,0,0,'Données projet'!$E$9+1,1))</f>
        <v>434.08297999735811</v>
      </c>
      <c r="T160" s="59">
        <f t="shared" si="142"/>
        <v>371.04090283546122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34.607883989054805</v>
      </c>
      <c r="AA160" s="21">
        <f>EXP(-LN(2)/25)*AA159+(1-EXP(-LN(2)/25))/(LN(2)/25)*Calculateur!V160*Calculateur!X160*VLOOKUP('Données projet'!$B$9,Paramètres!$A$1:$I$89,3,0)*0.475*44/12</f>
        <v>1.5287358003458664</v>
      </c>
      <c r="AB160" s="21">
        <f>EXP(-LN(2)/2)*AB159+(1-EXP(-LN(2)/2))/(LN(2)/2)*V160*Y160*VLOOKUP('Données projet'!$B$9,Paramètres!$A$1:$I$89,3,0)*0.475*44/12</f>
        <v>5.7620396272485673E-20</v>
      </c>
      <c r="AC160" s="22">
        <f t="shared" si="163"/>
        <v>36.136619789400669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367.99999999999972</v>
      </c>
      <c r="AJ160" s="13">
        <f>AI160*VLOOKUP('Données projet'!$B$10,Paramètres!$A$1:$I$89,3,0)*VLOOKUP('Données projet'!$B$10,Paramètres!$A$1:$I$89,5,0)</f>
        <v>292.78079999999977</v>
      </c>
      <c r="AK160" s="13">
        <f t="shared" si="164"/>
        <v>69.660903052386217</v>
      </c>
      <c r="AL160" s="20">
        <f t="shared" si="165"/>
        <v>631.25263281623893</v>
      </c>
      <c r="AM160" s="59">
        <f t="shared" si="113"/>
        <v>924.58596614957219</v>
      </c>
      <c r="AN160" s="59">
        <f ca="1">AVERAGE(OFFSET($AM$3,0,0,'Données projet'!$E$10+1,1))-AVERAGE(OFFSET($H$3,0,0,'Données projet'!$E$10+1,1))</f>
        <v>331.52724290297675</v>
      </c>
      <c r="AO160" s="59">
        <f t="shared" si="144"/>
        <v>322.79102610158054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13.413593063997984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13.413593063997984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367.99999999999972</v>
      </c>
      <c r="BE160" s="13">
        <f>BD160*VLOOKUP('Données projet'!$B$11,Paramètres!$A$1:$I$89,3,0)*VLOOKUP('Données projet'!$B$11,Paramètres!$A$1:$I$89,5,0)</f>
        <v>246.8543999999998</v>
      </c>
      <c r="BF160" s="13">
        <f t="shared" si="167"/>
        <v>59.911862368716115</v>
      </c>
      <c r="BG160" s="20">
        <f t="shared" si="168"/>
        <v>534.28457362551353</v>
      </c>
      <c r="BH160" s="59">
        <f t="shared" si="116"/>
        <v>827.61790695884679</v>
      </c>
      <c r="BI160" s="59">
        <f ca="1">AVERAGE(OFFSET($BH$3,0,0,'Données projet'!$E$11+1,1))-AVERAGE(OFFSET($H$3,0,0,'Données projet'!$E$11+1,1))</f>
        <v>273.84349636755343</v>
      </c>
      <c r="BJ160" s="59">
        <f t="shared" si="146"/>
        <v>268.10688874775451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11.309500034351238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11.309500034351238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852.00000000000011</v>
      </c>
      <c r="O161" s="13">
        <f>N161*VLOOKUP('Données projet'!$B$9,Paramètres!$A$1:$I$89,3,0)*VLOOKUP('Données projet'!$B$9,Paramètres!$A$1:$I$89,5,0)</f>
        <v>420.88800000000009</v>
      </c>
      <c r="P161" s="13">
        <f t="shared" si="141"/>
        <v>95.998759891259041</v>
      </c>
      <c r="Q161" s="20">
        <f t="shared" si="162"/>
        <v>900.24444014394294</v>
      </c>
      <c r="R161" s="59">
        <f t="shared" si="109"/>
        <v>1193.5777734772762</v>
      </c>
      <c r="S161" s="59">
        <f ca="1">AVERAGE(OFFSET($R$3,0,0,'Données projet'!$E$9+1,1))-AVERAGE(OFFSET($H$3,0,0,'Données projet'!$E$9+1,1))</f>
        <v>434.08297999735811</v>
      </c>
      <c r="T161" s="59">
        <f t="shared" si="142"/>
        <v>371.04090283546122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33.929244492754357</v>
      </c>
      <c r="AA161" s="21">
        <f>EXP(-LN(2)/25)*AA160+(1-EXP(-LN(2)/25))/(LN(2)/25)*Calculateur!V161*Calculateur!X161*VLOOKUP('Données projet'!$B$9,Paramètres!$A$1:$I$89,3,0)*0.475*44/12</f>
        <v>1.4869324394926868</v>
      </c>
      <c r="AB161" s="21">
        <f>EXP(-LN(2)/2)*AB160+(1-EXP(-LN(2)/2))/(LN(2)/2)*V161*Y161*VLOOKUP('Données projet'!$B$9,Paramètres!$A$1:$I$89,3,0)*0.475*44/12</f>
        <v>4.0743772938930687E-20</v>
      </c>
      <c r="AC161" s="22">
        <f t="shared" si="163"/>
        <v>35.416176932247041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367.99999999999972</v>
      </c>
      <c r="AJ161" s="13">
        <f>AI161*VLOOKUP('Données projet'!$B$10,Paramètres!$A$1:$I$89,3,0)*VLOOKUP('Données projet'!$B$10,Paramètres!$A$1:$I$89,5,0)</f>
        <v>292.78079999999977</v>
      </c>
      <c r="AK161" s="13">
        <f t="shared" si="164"/>
        <v>69.660903052386217</v>
      </c>
      <c r="AL161" s="20">
        <f t="shared" si="165"/>
        <v>631.25263281623893</v>
      </c>
      <c r="AM161" s="59">
        <f t="shared" si="113"/>
        <v>924.58596614957219</v>
      </c>
      <c r="AN161" s="59">
        <f ca="1">AVERAGE(OFFSET($AM$3,0,0,'Données projet'!$E$10+1,1))-AVERAGE(OFFSET($H$3,0,0,'Données projet'!$E$10+1,1))</f>
        <v>331.52724290297675</v>
      </c>
      <c r="AO161" s="59">
        <f t="shared" si="144"/>
        <v>322.79102610158054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13.150560685496899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13.150560685496899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367.99999999999972</v>
      </c>
      <c r="BE161" s="13">
        <f>BD161*VLOOKUP('Données projet'!$B$11,Paramètres!$A$1:$I$89,3,0)*VLOOKUP('Données projet'!$B$11,Paramètres!$A$1:$I$89,5,0)</f>
        <v>246.8543999999998</v>
      </c>
      <c r="BF161" s="13">
        <f t="shared" si="167"/>
        <v>59.911862368716115</v>
      </c>
      <c r="BG161" s="20">
        <f t="shared" si="168"/>
        <v>534.28457362551353</v>
      </c>
      <c r="BH161" s="59">
        <f t="shared" si="116"/>
        <v>827.61790695884679</v>
      </c>
      <c r="BI161" s="59">
        <f ca="1">AVERAGE(OFFSET($BH$3,0,0,'Données projet'!$E$11+1,1))-AVERAGE(OFFSET($H$3,0,0,'Données projet'!$E$11+1,1))</f>
        <v>273.84349636755343</v>
      </c>
      <c r="BJ161" s="59">
        <f t="shared" si="146"/>
        <v>268.10688874775451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11.087727636791499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11.087727636791499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852.00000000000011</v>
      </c>
      <c r="O162" s="13">
        <f>N162*VLOOKUP('Données projet'!$B$9,Paramètres!$A$1:$I$89,3,0)*VLOOKUP('Données projet'!$B$9,Paramètres!$A$1:$I$89,5,0)</f>
        <v>420.88800000000009</v>
      </c>
      <c r="P162" s="13">
        <f t="shared" si="141"/>
        <v>95.998759891259041</v>
      </c>
      <c r="Q162" s="20">
        <f t="shared" si="162"/>
        <v>900.24444014394294</v>
      </c>
      <c r="R162" s="59">
        <f t="shared" si="109"/>
        <v>1193.5777734772762</v>
      </c>
      <c r="S162" s="59">
        <f ca="1">AVERAGE(OFFSET($R$3,0,0,'Données projet'!$E$9+1,1))-AVERAGE(OFFSET($H$3,0,0,'Données projet'!$E$9+1,1))</f>
        <v>434.08297999735811</v>
      </c>
      <c r="T162" s="59">
        <f t="shared" si="142"/>
        <v>371.04090283546122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33.26391270304714</v>
      </c>
      <c r="AA162" s="21">
        <f>EXP(-LN(2)/25)*AA161+(1-EXP(-LN(2)/25))/(LN(2)/25)*Calculateur!V162*Calculateur!X162*VLOOKUP('Données projet'!$B$9,Paramètres!$A$1:$I$89,3,0)*0.475*44/12</f>
        <v>1.4462721937403809</v>
      </c>
      <c r="AB162" s="21">
        <f>EXP(-LN(2)/2)*AB161+(1-EXP(-LN(2)/2))/(LN(2)/2)*V162*Y162*VLOOKUP('Données projet'!$B$9,Paramètres!$A$1:$I$89,3,0)*0.475*44/12</f>
        <v>2.8810198136242836E-20</v>
      </c>
      <c r="AC162" s="22">
        <f t="shared" si="163"/>
        <v>34.710184896787524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367.99999999999972</v>
      </c>
      <c r="AJ162" s="13">
        <f>AI162*VLOOKUP('Données projet'!$B$10,Paramètres!$A$1:$I$89,3,0)*VLOOKUP('Données projet'!$B$10,Paramètres!$A$1:$I$89,5,0)</f>
        <v>292.78079999999977</v>
      </c>
      <c r="AK162" s="13">
        <f t="shared" si="164"/>
        <v>69.660903052386217</v>
      </c>
      <c r="AL162" s="20">
        <f t="shared" si="165"/>
        <v>631.25263281623893</v>
      </c>
      <c r="AM162" s="59">
        <f t="shared" si="113"/>
        <v>924.58596614957219</v>
      </c>
      <c r="AN162" s="59">
        <f ca="1">AVERAGE(OFFSET($AM$3,0,0,'Données projet'!$E$10+1,1))-AVERAGE(OFFSET($H$3,0,0,'Données projet'!$E$10+1,1))</f>
        <v>331.52724290297675</v>
      </c>
      <c r="AO162" s="59">
        <f t="shared" si="144"/>
        <v>322.79102610158054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12.89268621150431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12.89268621150431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367.99999999999972</v>
      </c>
      <c r="BE162" s="13">
        <f>BD162*VLOOKUP('Données projet'!$B$11,Paramètres!$A$1:$I$89,3,0)*VLOOKUP('Données projet'!$B$11,Paramètres!$A$1:$I$89,5,0)</f>
        <v>246.8543999999998</v>
      </c>
      <c r="BF162" s="13">
        <f t="shared" si="167"/>
        <v>59.911862368716115</v>
      </c>
      <c r="BG162" s="20">
        <f t="shared" si="168"/>
        <v>534.28457362551353</v>
      </c>
      <c r="BH162" s="59">
        <f t="shared" si="116"/>
        <v>827.61790695884679</v>
      </c>
      <c r="BI162" s="59">
        <f ca="1">AVERAGE(OFFSET($BH$3,0,0,'Données projet'!$E$11+1,1))-AVERAGE(OFFSET($H$3,0,0,'Données projet'!$E$11+1,1))</f>
        <v>273.84349636755343</v>
      </c>
      <c r="BJ162" s="59">
        <f t="shared" si="146"/>
        <v>268.10688874775451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10.8703040606801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10.8703040606801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852.00000000000011</v>
      </c>
      <c r="O163" s="13">
        <f>N163*VLOOKUP('Données projet'!$B$9,Paramètres!$A$1:$I$89,3,0)*VLOOKUP('Données projet'!$B$9,Paramètres!$A$1:$I$89,5,0)</f>
        <v>420.88800000000009</v>
      </c>
      <c r="P163" s="13">
        <f t="shared" si="141"/>
        <v>95.998759891259041</v>
      </c>
      <c r="Q163" s="20">
        <f t="shared" si="162"/>
        <v>900.24444014394294</v>
      </c>
      <c r="R163" s="59">
        <f t="shared" si="109"/>
        <v>1193.5777734772762</v>
      </c>
      <c r="S163" s="59">
        <f ca="1">AVERAGE(OFFSET($R$3,0,0,'Données projet'!$E$9+1,1))-AVERAGE(OFFSET($H$3,0,0,'Données projet'!$E$9+1,1))</f>
        <v>434.08297999735811</v>
      </c>
      <c r="T163" s="59">
        <f t="shared" si="142"/>
        <v>371.04090283546122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32.611627663923763</v>
      </c>
      <c r="AA163" s="21">
        <f>EXP(-LN(2)/25)*AA162+(1-EXP(-LN(2)/25))/(LN(2)/25)*Calculateur!V163*Calculateur!X163*VLOOKUP('Données projet'!$B$9,Paramètres!$A$1:$I$89,3,0)*0.475*44/12</f>
        <v>1.406723804546401</v>
      </c>
      <c r="AB163" s="21">
        <f>EXP(-LN(2)/2)*AB162+(1-EXP(-LN(2)/2))/(LN(2)/2)*V163*Y163*VLOOKUP('Données projet'!$B$9,Paramètres!$A$1:$I$89,3,0)*0.475*44/12</f>
        <v>2.0371886469465343E-20</v>
      </c>
      <c r="AC163" s="22">
        <f t="shared" si="163"/>
        <v>34.018351468470165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367.99999999999972</v>
      </c>
      <c r="AJ163" s="13">
        <f>AI163*VLOOKUP('Données projet'!$B$10,Paramètres!$A$1:$I$89,3,0)*VLOOKUP('Données projet'!$B$10,Paramètres!$A$1:$I$89,5,0)</f>
        <v>292.78079999999977</v>
      </c>
      <c r="AK163" s="13">
        <f t="shared" si="164"/>
        <v>69.660903052386217</v>
      </c>
      <c r="AL163" s="20">
        <f t="shared" si="165"/>
        <v>631.25263281623893</v>
      </c>
      <c r="AM163" s="59">
        <f t="shared" si="113"/>
        <v>924.58596614957219</v>
      </c>
      <c r="AN163" s="59">
        <f ca="1">AVERAGE(OFFSET($AM$3,0,0,'Données projet'!$E$10+1,1))-AVERAGE(OFFSET($H$3,0,0,'Données projet'!$E$10+1,1))</f>
        <v>331.52724290297675</v>
      </c>
      <c r="AO163" s="59">
        <f t="shared" si="144"/>
        <v>322.79102610158054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12.639868498658817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12.639868498658817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367.99999999999972</v>
      </c>
      <c r="BE163" s="13">
        <f>BD163*VLOOKUP('Données projet'!$B$11,Paramètres!$A$1:$I$89,3,0)*VLOOKUP('Données projet'!$B$11,Paramètres!$A$1:$I$89,5,0)</f>
        <v>246.8543999999998</v>
      </c>
      <c r="BF163" s="13">
        <f t="shared" si="167"/>
        <v>59.911862368716115</v>
      </c>
      <c r="BG163" s="20">
        <f t="shared" si="168"/>
        <v>534.28457362551353</v>
      </c>
      <c r="BH163" s="59">
        <f t="shared" si="116"/>
        <v>827.61790695884679</v>
      </c>
      <c r="BI163" s="59">
        <f ca="1">AVERAGE(OFFSET($BH$3,0,0,'Données projet'!$E$11+1,1))-AVERAGE(OFFSET($H$3,0,0,'Données projet'!$E$11+1,1))</f>
        <v>273.84349636755343</v>
      </c>
      <c r="BJ163" s="59">
        <f t="shared" si="146"/>
        <v>268.10688874775451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10.657144028280959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10.657144028280959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852.00000000000011</v>
      </c>
      <c r="O164" s="13">
        <f>N164*VLOOKUP('Données projet'!$B$9,Paramètres!$A$1:$I$89,3,0)*VLOOKUP('Données projet'!$B$9,Paramètres!$A$1:$I$89,5,0)</f>
        <v>420.88800000000009</v>
      </c>
      <c r="P164" s="13">
        <f t="shared" si="141"/>
        <v>95.998759891259041</v>
      </c>
      <c r="Q164" s="20">
        <f t="shared" si="162"/>
        <v>900.24444014394294</v>
      </c>
      <c r="R164" s="59">
        <f t="shared" si="109"/>
        <v>1193.5777734772762</v>
      </c>
      <c r="S164" s="59">
        <f ca="1">AVERAGE(OFFSET($R$3,0,0,'Données projet'!$E$9+1,1))-AVERAGE(OFFSET($H$3,0,0,'Données projet'!$E$9+1,1))</f>
        <v>434.08297999735811</v>
      </c>
      <c r="T164" s="59">
        <f t="shared" si="142"/>
        <v>371.04090283546122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31.972133536563007</v>
      </c>
      <c r="AA164" s="21">
        <f>EXP(-LN(2)/25)*AA163+(1-EXP(-LN(2)/25))/(LN(2)/25)*Calculateur!V164*Calculateur!X164*VLOOKUP('Données projet'!$B$9,Paramètres!$A$1:$I$89,3,0)*0.475*44/12</f>
        <v>1.3682568681346898</v>
      </c>
      <c r="AB164" s="21">
        <f>EXP(-LN(2)/2)*AB163+(1-EXP(-LN(2)/2))/(LN(2)/2)*V164*Y164*VLOOKUP('Données projet'!$B$9,Paramètres!$A$1:$I$89,3,0)*0.475*44/12</f>
        <v>1.4405099068121418E-20</v>
      </c>
      <c r="AC164" s="22">
        <f t="shared" si="163"/>
        <v>33.340390404697693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367.99999999999972</v>
      </c>
      <c r="AJ164" s="13">
        <f>AI164*VLOOKUP('Données projet'!$B$10,Paramètres!$A$1:$I$89,3,0)*VLOOKUP('Données projet'!$B$10,Paramètres!$A$1:$I$89,5,0)</f>
        <v>292.78079999999977</v>
      </c>
      <c r="AK164" s="13">
        <f t="shared" si="164"/>
        <v>69.660903052386217</v>
      </c>
      <c r="AL164" s="20">
        <f t="shared" si="165"/>
        <v>631.25263281623893</v>
      </c>
      <c r="AM164" s="59">
        <f t="shared" si="113"/>
        <v>924.58596614957219</v>
      </c>
      <c r="AN164" s="59">
        <f ca="1">AVERAGE(OFFSET($AM$3,0,0,'Données projet'!$E$10+1,1))-AVERAGE(OFFSET($H$3,0,0,'Données projet'!$E$10+1,1))</f>
        <v>331.52724290297675</v>
      </c>
      <c r="AO164" s="59">
        <f t="shared" si="144"/>
        <v>322.79102610158054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12.392008386958647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12.392008386958647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367.99999999999972</v>
      </c>
      <c r="BE164" s="13">
        <f>BD164*VLOOKUP('Données projet'!$B$11,Paramètres!$A$1:$I$89,3,0)*VLOOKUP('Données projet'!$B$11,Paramètres!$A$1:$I$89,5,0)</f>
        <v>246.8543999999998</v>
      </c>
      <c r="BF164" s="13">
        <f t="shared" si="167"/>
        <v>59.911862368716115</v>
      </c>
      <c r="BG164" s="20">
        <f t="shared" si="168"/>
        <v>534.28457362551353</v>
      </c>
      <c r="BH164" s="59">
        <f t="shared" si="116"/>
        <v>827.61790695884679</v>
      </c>
      <c r="BI164" s="59">
        <f ca="1">AVERAGE(OFFSET($BH$3,0,0,'Données projet'!$E$11+1,1))-AVERAGE(OFFSET($H$3,0,0,'Données projet'!$E$11+1,1))</f>
        <v>273.84349636755343</v>
      </c>
      <c r="BJ164" s="59">
        <f t="shared" si="146"/>
        <v>268.10688874775451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10.448163934102384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10.448163934102384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852.00000000000011</v>
      </c>
      <c r="O165" s="13">
        <f>N165*VLOOKUP('Données projet'!$B$9,Paramètres!$A$1:$I$89,3,0)*VLOOKUP('Données projet'!$B$9,Paramètres!$A$1:$I$89,5,0)</f>
        <v>420.88800000000009</v>
      </c>
      <c r="P165" s="13">
        <f t="shared" si="141"/>
        <v>95.998759891259041</v>
      </c>
      <c r="Q165" s="20">
        <f t="shared" si="162"/>
        <v>900.24444014394294</v>
      </c>
      <c r="R165" s="59">
        <f t="shared" si="109"/>
        <v>1193.5777734772762</v>
      </c>
      <c r="S165" s="59">
        <f ca="1">AVERAGE(OFFSET($R$3,0,0,'Données projet'!$E$9+1,1))-AVERAGE(OFFSET($H$3,0,0,'Données projet'!$E$9+1,1))</f>
        <v>434.08297999735811</v>
      </c>
      <c r="T165" s="59">
        <f t="shared" si="142"/>
        <v>371.04090283546122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31.345179498986891</v>
      </c>
      <c r="AA165" s="21">
        <f>EXP(-LN(2)/25)*AA164+(1-EXP(-LN(2)/25))/(LN(2)/25)*Calculateur!V165*Calculateur!X165*VLOOKUP('Données projet'!$B$9,Paramètres!$A$1:$I$89,3,0)*0.475*44/12</f>
        <v>1.3308418121220453</v>
      </c>
      <c r="AB165" s="21">
        <f>EXP(-LN(2)/2)*AB164+(1-EXP(-LN(2)/2))/(LN(2)/2)*V165*Y165*VLOOKUP('Données projet'!$B$9,Paramètres!$A$1:$I$89,3,0)*0.475*44/12</f>
        <v>1.0185943234732672E-20</v>
      </c>
      <c r="AC165" s="22">
        <f t="shared" si="163"/>
        <v>32.676021311108933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367.99999999999972</v>
      </c>
      <c r="AJ165" s="13">
        <f>AI165*VLOOKUP('Données projet'!$B$10,Paramètres!$A$1:$I$89,3,0)*VLOOKUP('Données projet'!$B$10,Paramètres!$A$1:$I$89,5,0)</f>
        <v>292.78079999999977</v>
      </c>
      <c r="AK165" s="13">
        <f t="shared" si="164"/>
        <v>69.660903052386217</v>
      </c>
      <c r="AL165" s="20">
        <f t="shared" si="165"/>
        <v>631.25263281623893</v>
      </c>
      <c r="AM165" s="59">
        <f t="shared" si="113"/>
        <v>924.58596614957219</v>
      </c>
      <c r="AN165" s="59">
        <f ca="1">AVERAGE(OFFSET($AM$3,0,0,'Données projet'!$E$10+1,1))-AVERAGE(OFFSET($H$3,0,0,'Données projet'!$E$10+1,1))</f>
        <v>331.52724290297675</v>
      </c>
      <c r="AO165" s="59">
        <f t="shared" si="144"/>
        <v>322.79102610158054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12.149008660869177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12.149008660869177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367.99999999999972</v>
      </c>
      <c r="BE165" s="13">
        <f>BD165*VLOOKUP('Données projet'!$B$11,Paramètres!$A$1:$I$89,3,0)*VLOOKUP('Données projet'!$B$11,Paramètres!$A$1:$I$89,5,0)</f>
        <v>246.8543999999998</v>
      </c>
      <c r="BF165" s="13">
        <f t="shared" si="167"/>
        <v>59.911862368716115</v>
      </c>
      <c r="BG165" s="20">
        <f t="shared" si="168"/>
        <v>534.28457362551353</v>
      </c>
      <c r="BH165" s="59">
        <f t="shared" si="116"/>
        <v>827.61790695884679</v>
      </c>
      <c r="BI165" s="59">
        <f ca="1">AVERAGE(OFFSET($BH$3,0,0,'Données projet'!$E$11+1,1))-AVERAGE(OFFSET($H$3,0,0,'Données projet'!$E$11+1,1))</f>
        <v>273.84349636755343</v>
      </c>
      <c r="BJ165" s="59">
        <f t="shared" si="146"/>
        <v>268.10688874775451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10.24328181210538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10.24328181210538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852.00000000000011</v>
      </c>
      <c r="O166" s="13">
        <f>N166*VLOOKUP('Données projet'!$B$9,Paramètres!$A$1:$I$89,3,0)*VLOOKUP('Données projet'!$B$9,Paramètres!$A$1:$I$89,5,0)</f>
        <v>420.88800000000009</v>
      </c>
      <c r="P166" s="13">
        <f t="shared" si="141"/>
        <v>95.998759891259041</v>
      </c>
      <c r="Q166" s="20">
        <f t="shared" si="162"/>
        <v>900.24444014394294</v>
      </c>
      <c r="R166" s="59">
        <f t="shared" si="109"/>
        <v>1193.5777734772762</v>
      </c>
      <c r="S166" s="59">
        <f ca="1">AVERAGE(OFFSET($R$3,0,0,'Données projet'!$E$9+1,1))-AVERAGE(OFFSET($H$3,0,0,'Données projet'!$E$9+1,1))</f>
        <v>434.08297999735811</v>
      </c>
      <c r="T166" s="59">
        <f t="shared" si="142"/>
        <v>371.04090283546122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30.73051964768344</v>
      </c>
      <c r="AA166" s="21">
        <f>EXP(-LN(2)/25)*AA165+(1-EXP(-LN(2)/25))/(LN(2)/25)*Calculateur!V166*Calculateur!X166*VLOOKUP('Données projet'!$B$9,Paramètres!$A$1:$I$89,3,0)*0.475*44/12</f>
        <v>1.2944498727836389</v>
      </c>
      <c r="AB166" s="21">
        <f>EXP(-LN(2)/2)*AB165+(1-EXP(-LN(2)/2))/(LN(2)/2)*V166*Y166*VLOOKUP('Données projet'!$B$9,Paramètres!$A$1:$I$89,3,0)*0.475*44/12</f>
        <v>7.2025495340607091E-21</v>
      </c>
      <c r="AC166" s="22">
        <f t="shared" si="163"/>
        <v>32.024969520467081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367.99999999999972</v>
      </c>
      <c r="AJ166" s="13">
        <f>AI166*VLOOKUP('Données projet'!$B$10,Paramètres!$A$1:$I$89,3,0)*VLOOKUP('Données projet'!$B$10,Paramètres!$A$1:$I$89,5,0)</f>
        <v>292.78079999999977</v>
      </c>
      <c r="AK166" s="13">
        <f t="shared" si="164"/>
        <v>69.660903052386217</v>
      </c>
      <c r="AL166" s="20">
        <f t="shared" si="165"/>
        <v>631.25263281623893</v>
      </c>
      <c r="AM166" s="59">
        <f t="shared" si="113"/>
        <v>924.58596614957219</v>
      </c>
      <c r="AN166" s="59">
        <f ca="1">AVERAGE(OFFSET($AM$3,0,0,'Données projet'!$E$10+1,1))-AVERAGE(OFFSET($H$3,0,0,'Données projet'!$E$10+1,1))</f>
        <v>331.52724290297675</v>
      </c>
      <c r="AO166" s="59">
        <f t="shared" si="144"/>
        <v>322.79102610158054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11.910774011193123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11.910774011193123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367.99999999999972</v>
      </c>
      <c r="BE166" s="13">
        <f>BD166*VLOOKUP('Données projet'!$B$11,Paramètres!$A$1:$I$89,3,0)*VLOOKUP('Données projet'!$B$11,Paramètres!$A$1:$I$89,5,0)</f>
        <v>246.8543999999998</v>
      </c>
      <c r="BF166" s="13">
        <f t="shared" si="167"/>
        <v>59.911862368716115</v>
      </c>
      <c r="BG166" s="20">
        <f t="shared" si="168"/>
        <v>534.28457362551353</v>
      </c>
      <c r="BH166" s="59">
        <f t="shared" si="116"/>
        <v>827.61790695884679</v>
      </c>
      <c r="BI166" s="59">
        <f ca="1">AVERAGE(OFFSET($BH$3,0,0,'Données projet'!$E$11+1,1))-AVERAGE(OFFSET($H$3,0,0,'Données projet'!$E$11+1,1))</f>
        <v>273.84349636755343</v>
      </c>
      <c r="BJ166" s="59">
        <f t="shared" si="146"/>
        <v>268.10688874775451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10.042417303554981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10.042417303554981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852.00000000000011</v>
      </c>
      <c r="O167" s="13">
        <f>N167*VLOOKUP('Données projet'!$B$9,Paramètres!$A$1:$I$89,3,0)*VLOOKUP('Données projet'!$B$9,Paramètres!$A$1:$I$89,5,0)</f>
        <v>420.88800000000009</v>
      </c>
      <c r="P167" s="13">
        <f t="shared" si="141"/>
        <v>95.998759891259041</v>
      </c>
      <c r="Q167" s="20">
        <f t="shared" si="162"/>
        <v>900.24444014394294</v>
      </c>
      <c r="R167" s="59">
        <f t="shared" si="109"/>
        <v>1193.5777734772762</v>
      </c>
      <c r="S167" s="59">
        <f ca="1">AVERAGE(OFFSET($R$3,0,0,'Données projet'!$E$9+1,1))-AVERAGE(OFFSET($H$3,0,0,'Données projet'!$E$9+1,1))</f>
        <v>434.08297999735811</v>
      </c>
      <c r="T167" s="59">
        <f t="shared" si="142"/>
        <v>371.04090283546122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30.12791290115856</v>
      </c>
      <c r="AA167" s="21">
        <f>EXP(-LN(2)/25)*AA166+(1-EXP(-LN(2)/25))/(LN(2)/25)*Calculateur!V167*Calculateur!X167*VLOOKUP('Données projet'!$B$9,Paramètres!$A$1:$I$89,3,0)*0.475*44/12</f>
        <v>1.2590530729402101</v>
      </c>
      <c r="AB167" s="21">
        <f>EXP(-LN(2)/2)*AB166+(1-EXP(-LN(2)/2))/(LN(2)/2)*V167*Y167*VLOOKUP('Données projet'!$B$9,Paramètres!$A$1:$I$89,3,0)*0.475*44/12</f>
        <v>5.0929716173663358E-21</v>
      </c>
      <c r="AC167" s="22">
        <f t="shared" si="163"/>
        <v>31.386965974098771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367.99999999999972</v>
      </c>
      <c r="AJ167" s="13">
        <f>AI167*VLOOKUP('Données projet'!$B$10,Paramètres!$A$1:$I$89,3,0)*VLOOKUP('Données projet'!$B$10,Paramètres!$A$1:$I$89,5,0)</f>
        <v>292.78079999999977</v>
      </c>
      <c r="AK167" s="13">
        <f t="shared" si="164"/>
        <v>69.660903052386217</v>
      </c>
      <c r="AL167" s="20">
        <f t="shared" si="165"/>
        <v>631.25263281623893</v>
      </c>
      <c r="AM167" s="59">
        <f t="shared" si="113"/>
        <v>924.58596614957219</v>
      </c>
      <c r="AN167" s="59">
        <f ca="1">AVERAGE(OFFSET($AM$3,0,0,'Données projet'!$E$10+1,1))-AVERAGE(OFFSET($H$3,0,0,'Données projet'!$E$10+1,1))</f>
        <v>331.52724290297675</v>
      </c>
      <c r="AO167" s="59">
        <f t="shared" si="144"/>
        <v>322.79102610158054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11.677210997688428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11.677210997688428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367.99999999999972</v>
      </c>
      <c r="BE167" s="13">
        <f>BD167*VLOOKUP('Données projet'!$B$11,Paramètres!$A$1:$I$89,3,0)*VLOOKUP('Données projet'!$B$11,Paramètres!$A$1:$I$89,5,0)</f>
        <v>246.8543999999998</v>
      </c>
      <c r="BF167" s="13">
        <f t="shared" si="167"/>
        <v>59.911862368716115</v>
      </c>
      <c r="BG167" s="20">
        <f t="shared" si="168"/>
        <v>534.28457362551353</v>
      </c>
      <c r="BH167" s="59">
        <f t="shared" si="116"/>
        <v>827.61790695884679</v>
      </c>
      <c r="BI167" s="59">
        <f ca="1">AVERAGE(OFFSET($BH$3,0,0,'Données projet'!$E$11+1,1))-AVERAGE(OFFSET($H$3,0,0,'Données projet'!$E$11+1,1))</f>
        <v>273.84349636755343</v>
      </c>
      <c r="BJ167" s="59">
        <f t="shared" si="146"/>
        <v>268.10688874775451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9.8454916255020031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9.8454916255020031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852.00000000000011</v>
      </c>
      <c r="O168" s="13">
        <f>N168*VLOOKUP('Données projet'!$B$9,Paramètres!$A$1:$I$89,3,0)*VLOOKUP('Données projet'!$B$9,Paramètres!$A$1:$I$89,5,0)</f>
        <v>420.88800000000009</v>
      </c>
      <c r="P168" s="13">
        <f t="shared" si="141"/>
        <v>95.998759891259041</v>
      </c>
      <c r="Q168" s="20">
        <f t="shared" si="162"/>
        <v>900.24444014394294</v>
      </c>
      <c r="R168" s="59">
        <f t="shared" si="109"/>
        <v>1193.5777734772762</v>
      </c>
      <c r="S168" s="59">
        <f ca="1">AVERAGE(OFFSET($R$3,0,0,'Données projet'!$E$9+1,1))-AVERAGE(OFFSET($H$3,0,0,'Données projet'!$E$9+1,1))</f>
        <v>434.08297999735811</v>
      </c>
      <c r="T168" s="59">
        <f t="shared" si="142"/>
        <v>371.04090283546122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29.53712290537921</v>
      </c>
      <c r="AA168" s="21">
        <f>EXP(-LN(2)/25)*AA167+(1-EXP(-LN(2)/25))/(LN(2)/25)*Calculateur!V168*Calculateur!X168*VLOOKUP('Données projet'!$B$9,Paramètres!$A$1:$I$89,3,0)*0.475*44/12</f>
        <v>1.2246242004499366</v>
      </c>
      <c r="AB168" s="21">
        <f>EXP(-LN(2)/2)*AB167+(1-EXP(-LN(2)/2))/(LN(2)/2)*V168*Y168*VLOOKUP('Données projet'!$B$9,Paramètres!$A$1:$I$89,3,0)*0.475*44/12</f>
        <v>3.6012747670303545E-21</v>
      </c>
      <c r="AC168" s="22">
        <f t="shared" si="163"/>
        <v>30.761747105829148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367.99999999999972</v>
      </c>
      <c r="AJ168" s="13">
        <f>AI168*VLOOKUP('Données projet'!$B$10,Paramètres!$A$1:$I$89,3,0)*VLOOKUP('Données projet'!$B$10,Paramètres!$A$1:$I$89,5,0)</f>
        <v>292.78079999999977</v>
      </c>
      <c r="AK168" s="13">
        <f t="shared" si="164"/>
        <v>69.660903052386217</v>
      </c>
      <c r="AL168" s="20">
        <f t="shared" si="165"/>
        <v>631.25263281623893</v>
      </c>
      <c r="AM168" s="59">
        <f t="shared" si="113"/>
        <v>924.58596614957219</v>
      </c>
      <c r="AN168" s="59">
        <f ca="1">AVERAGE(OFFSET($AM$3,0,0,'Données projet'!$E$10+1,1))-AVERAGE(OFFSET($H$3,0,0,'Données projet'!$E$10+1,1))</f>
        <v>331.52724290297675</v>
      </c>
      <c r="AO168" s="59">
        <f t="shared" si="144"/>
        <v>322.79102610158054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11.44822801241919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11.44822801241919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367.99999999999972</v>
      </c>
      <c r="BE168" s="13">
        <f>BD168*VLOOKUP('Données projet'!$B$11,Paramètres!$A$1:$I$89,3,0)*VLOOKUP('Données projet'!$B$11,Paramètres!$A$1:$I$89,5,0)</f>
        <v>246.8543999999998</v>
      </c>
      <c r="BF168" s="13">
        <f t="shared" si="167"/>
        <v>59.911862368716115</v>
      </c>
      <c r="BG168" s="20">
        <f t="shared" si="168"/>
        <v>534.28457362551353</v>
      </c>
      <c r="BH168" s="59">
        <f t="shared" si="116"/>
        <v>827.61790695884679</v>
      </c>
      <c r="BI168" s="59">
        <f ca="1">AVERAGE(OFFSET($BH$3,0,0,'Données projet'!$E$11+1,1))-AVERAGE(OFFSET($H$3,0,0,'Données projet'!$E$11+1,1))</f>
        <v>273.84349636755343</v>
      </c>
      <c r="BJ168" s="59">
        <f t="shared" si="146"/>
        <v>268.10688874775451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9.6524275398828401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9.6524275398828401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852.00000000000011</v>
      </c>
      <c r="O169" s="13">
        <f>N169*VLOOKUP('Données projet'!$B$9,Paramètres!$A$1:$I$89,3,0)*VLOOKUP('Données projet'!$B$9,Paramètres!$A$1:$I$89,5,0)</f>
        <v>420.88800000000009</v>
      </c>
      <c r="P169" s="13">
        <f t="shared" si="141"/>
        <v>95.998759891259041</v>
      </c>
      <c r="Q169" s="20">
        <f t="shared" si="162"/>
        <v>900.24444014394294</v>
      </c>
      <c r="R169" s="59">
        <f t="shared" si="109"/>
        <v>1193.5777734772762</v>
      </c>
      <c r="S169" s="59">
        <f ca="1">AVERAGE(OFFSET($R$3,0,0,'Données projet'!$E$9+1,1))-AVERAGE(OFFSET($H$3,0,0,'Données projet'!$E$9+1,1))</f>
        <v>434.08297999735811</v>
      </c>
      <c r="T169" s="59">
        <f t="shared" si="142"/>
        <v>371.04090283546122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28.957917941070775</v>
      </c>
      <c r="AA169" s="21">
        <f>EXP(-LN(2)/25)*AA168+(1-EXP(-LN(2)/25))/(LN(2)/25)*Calculateur!V169*Calculateur!X169*VLOOKUP('Données projet'!$B$9,Paramètres!$A$1:$I$89,3,0)*0.475*44/12</f>
        <v>1.1911367872884453</v>
      </c>
      <c r="AB169" s="21">
        <f>EXP(-LN(2)/2)*AB168+(1-EXP(-LN(2)/2))/(LN(2)/2)*V169*Y169*VLOOKUP('Données projet'!$B$9,Paramètres!$A$1:$I$89,3,0)*0.475*44/12</f>
        <v>2.5464858086831679E-21</v>
      </c>
      <c r="AC169" s="22">
        <f t="shared" si="163"/>
        <v>30.149054728359221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367.99999999999972</v>
      </c>
      <c r="AJ169" s="13">
        <f>AI169*VLOOKUP('Données projet'!$B$10,Paramètres!$A$1:$I$89,3,0)*VLOOKUP('Données projet'!$B$10,Paramètres!$A$1:$I$89,5,0)</f>
        <v>292.78079999999977</v>
      </c>
      <c r="AK169" s="13">
        <f t="shared" si="164"/>
        <v>69.660903052386217</v>
      </c>
      <c r="AL169" s="20">
        <f t="shared" si="165"/>
        <v>631.25263281623893</v>
      </c>
      <c r="AM169" s="59">
        <f t="shared" si="113"/>
        <v>924.58596614957219</v>
      </c>
      <c r="AN169" s="59">
        <f ca="1">AVERAGE(OFFSET($AM$3,0,0,'Données projet'!$E$10+1,1))-AVERAGE(OFFSET($H$3,0,0,'Données projet'!$E$10+1,1))</f>
        <v>331.52724290297675</v>
      </c>
      <c r="AO169" s="59">
        <f t="shared" si="144"/>
        <v>322.79102610158054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11.223735243825249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11.223735243825249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367.99999999999972</v>
      </c>
      <c r="BE169" s="13">
        <f>BD169*VLOOKUP('Données projet'!$B$11,Paramètres!$A$1:$I$89,3,0)*VLOOKUP('Données projet'!$B$11,Paramètres!$A$1:$I$89,5,0)</f>
        <v>246.8543999999998</v>
      </c>
      <c r="BF169" s="13">
        <f t="shared" si="167"/>
        <v>59.911862368716115</v>
      </c>
      <c r="BG169" s="20">
        <f t="shared" si="168"/>
        <v>534.28457362551353</v>
      </c>
      <c r="BH169" s="59">
        <f t="shared" si="116"/>
        <v>827.61790695884679</v>
      </c>
      <c r="BI169" s="59">
        <f ca="1">AVERAGE(OFFSET($BH$3,0,0,'Données projet'!$E$11+1,1))-AVERAGE(OFFSET($H$3,0,0,'Données projet'!$E$11+1,1))</f>
        <v>273.84349636755343</v>
      </c>
      <c r="BJ169" s="59">
        <f t="shared" si="146"/>
        <v>268.10688874775451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9.4631493232252044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9.4631493232252044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852.00000000000011</v>
      </c>
      <c r="O170" s="13">
        <f>N170*VLOOKUP('Données projet'!$B$9,Paramètres!$A$1:$I$89,3,0)*VLOOKUP('Données projet'!$B$9,Paramètres!$A$1:$I$89,5,0)</f>
        <v>420.88800000000009</v>
      </c>
      <c r="P170" s="13">
        <f t="shared" si="141"/>
        <v>95.998759891259041</v>
      </c>
      <c r="Q170" s="20">
        <f t="shared" si="162"/>
        <v>900.24444014394294</v>
      </c>
      <c r="R170" s="59">
        <f t="shared" si="109"/>
        <v>1193.5777734772762</v>
      </c>
      <c r="S170" s="59">
        <f ca="1">AVERAGE(OFFSET($R$3,0,0,'Données projet'!$E$9+1,1))-AVERAGE(OFFSET($H$3,0,0,'Données projet'!$E$9+1,1))</f>
        <v>434.08297999735811</v>
      </c>
      <c r="T170" s="59">
        <f t="shared" si="142"/>
        <v>371.04090283546122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28.390070832832286</v>
      </c>
      <c r="AA170" s="21">
        <f>EXP(-LN(2)/25)*AA169+(1-EXP(-LN(2)/25))/(LN(2)/25)*Calculateur!V170*Calculateur!X170*VLOOKUP('Données projet'!$B$9,Paramètres!$A$1:$I$89,3,0)*0.475*44/12</f>
        <v>1.1585650892008814</v>
      </c>
      <c r="AB170" s="21">
        <f>EXP(-LN(2)/2)*AB169+(1-EXP(-LN(2)/2))/(LN(2)/2)*V170*Y170*VLOOKUP('Données projet'!$B$9,Paramètres!$A$1:$I$89,3,0)*0.475*44/12</f>
        <v>1.8006373835151773E-21</v>
      </c>
      <c r="AC170" s="22">
        <f t="shared" si="163"/>
        <v>29.548635922033167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367.99999999999972</v>
      </c>
      <c r="AJ170" s="13">
        <f>AI170*VLOOKUP('Données projet'!$B$10,Paramètres!$A$1:$I$89,3,0)*VLOOKUP('Données projet'!$B$10,Paramètres!$A$1:$I$89,5,0)</f>
        <v>292.78079999999977</v>
      </c>
      <c r="AK170" s="13">
        <f t="shared" si="164"/>
        <v>69.660903052386217</v>
      </c>
      <c r="AL170" s="20">
        <f t="shared" si="165"/>
        <v>631.25263281623893</v>
      </c>
      <c r="AM170" s="59">
        <f t="shared" si="113"/>
        <v>924.58596614957219</v>
      </c>
      <c r="AN170" s="59">
        <f ca="1">AVERAGE(OFFSET($AM$3,0,0,'Données projet'!$E$10+1,1))-AVERAGE(OFFSET($H$3,0,0,'Données projet'!$E$10+1,1))</f>
        <v>331.52724290297675</v>
      </c>
      <c r="AO170" s="59">
        <f t="shared" si="144"/>
        <v>322.79102610158054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11.003644641496368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11.003644641496368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367.99999999999972</v>
      </c>
      <c r="BE170" s="13">
        <f>BD170*VLOOKUP('Données projet'!$B$11,Paramètres!$A$1:$I$89,3,0)*VLOOKUP('Données projet'!$B$11,Paramètres!$A$1:$I$89,5,0)</f>
        <v>246.8543999999998</v>
      </c>
      <c r="BF170" s="13">
        <f t="shared" si="167"/>
        <v>59.911862368716115</v>
      </c>
      <c r="BG170" s="20">
        <f t="shared" si="168"/>
        <v>534.28457362551353</v>
      </c>
      <c r="BH170" s="59">
        <f t="shared" si="116"/>
        <v>827.61790695884679</v>
      </c>
      <c r="BI170" s="59">
        <f ca="1">AVERAGE(OFFSET($BH$3,0,0,'Données projet'!$E$11+1,1))-AVERAGE(OFFSET($H$3,0,0,'Données projet'!$E$11+1,1))</f>
        <v>273.84349636755343</v>
      </c>
      <c r="BJ170" s="59">
        <f t="shared" si="146"/>
        <v>268.10688874775451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9.2775827369479131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9.2775827369479131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852.00000000000011</v>
      </c>
      <c r="O171" s="13">
        <f>N171*VLOOKUP('Données projet'!$B$9,Paramètres!$A$1:$I$89,3,0)*VLOOKUP('Données projet'!$B$9,Paramètres!$A$1:$I$89,5,0)</f>
        <v>420.88800000000009</v>
      </c>
      <c r="P171" s="13">
        <f t="shared" si="141"/>
        <v>95.998759891259041</v>
      </c>
      <c r="Q171" s="20">
        <f t="shared" si="162"/>
        <v>900.24444014394294</v>
      </c>
      <c r="R171" s="59">
        <f t="shared" si="109"/>
        <v>1193.5777734772762</v>
      </c>
      <c r="S171" s="59">
        <f ca="1">AVERAGE(OFFSET($R$3,0,0,'Données projet'!$E$9+1,1))-AVERAGE(OFFSET($H$3,0,0,'Données projet'!$E$9+1,1))</f>
        <v>434.08297999735811</v>
      </c>
      <c r="T171" s="59">
        <f t="shared" si="142"/>
        <v>371.04090283546122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27.833358860033819</v>
      </c>
      <c r="AA171" s="21">
        <f>EXP(-LN(2)/25)*AA170+(1-EXP(-LN(2)/25))/(LN(2)/25)*Calculateur!V171*Calculateur!X171*VLOOKUP('Données projet'!$B$9,Paramètres!$A$1:$I$89,3,0)*0.475*44/12</f>
        <v>1.1268840659103931</v>
      </c>
      <c r="AB171" s="21">
        <f>EXP(-LN(2)/2)*AB170+(1-EXP(-LN(2)/2))/(LN(2)/2)*V171*Y171*VLOOKUP('Données projet'!$B$9,Paramètres!$A$1:$I$89,3,0)*0.475*44/12</f>
        <v>1.273242904341584E-21</v>
      </c>
      <c r="AC171" s="22">
        <f t="shared" si="163"/>
        <v>28.960242925944211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367.99999999999972</v>
      </c>
      <c r="AJ171" s="13">
        <f>AI171*VLOOKUP('Données projet'!$B$10,Paramètres!$A$1:$I$89,3,0)*VLOOKUP('Données projet'!$B$10,Paramètres!$A$1:$I$89,5,0)</f>
        <v>292.78079999999977</v>
      </c>
      <c r="AK171" s="13">
        <f t="shared" si="164"/>
        <v>69.660903052386217</v>
      </c>
      <c r="AL171" s="20">
        <f t="shared" si="165"/>
        <v>631.25263281623893</v>
      </c>
      <c r="AM171" s="59">
        <f t="shared" si="113"/>
        <v>924.58596614957219</v>
      </c>
      <c r="AN171" s="59">
        <f ca="1">AVERAGE(OFFSET($AM$3,0,0,'Données projet'!$E$10+1,1))-AVERAGE(OFFSET($H$3,0,0,'Données projet'!$E$10+1,1))</f>
        <v>331.52724290297675</v>
      </c>
      <c r="AO171" s="59">
        <f t="shared" si="144"/>
        <v>322.79102610158054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10.787869881637144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10.787869881637144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367.99999999999972</v>
      </c>
      <c r="BE171" s="13">
        <f>BD171*VLOOKUP('Données projet'!$B$11,Paramètres!$A$1:$I$89,3,0)*VLOOKUP('Données projet'!$B$11,Paramètres!$A$1:$I$89,5,0)</f>
        <v>246.8543999999998</v>
      </c>
      <c r="BF171" s="13">
        <f t="shared" si="167"/>
        <v>59.911862368716115</v>
      </c>
      <c r="BG171" s="20">
        <f t="shared" si="168"/>
        <v>534.28457362551353</v>
      </c>
      <c r="BH171" s="59">
        <f t="shared" si="116"/>
        <v>827.61790695884679</v>
      </c>
      <c r="BI171" s="59">
        <f ca="1">AVERAGE(OFFSET($BH$3,0,0,'Données projet'!$E$11+1,1))-AVERAGE(OFFSET($H$3,0,0,'Données projet'!$E$11+1,1))</f>
        <v>273.84349636755343</v>
      </c>
      <c r="BJ171" s="59">
        <f t="shared" si="146"/>
        <v>268.10688874775451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9.0956549982430772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9.0956549982430772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852.00000000000011</v>
      </c>
      <c r="O172" s="13">
        <f>N172*VLOOKUP('Données projet'!$B$9,Paramètres!$A$1:$I$89,3,0)*VLOOKUP('Données projet'!$B$9,Paramètres!$A$1:$I$89,5,0)</f>
        <v>420.88800000000009</v>
      </c>
      <c r="P172" s="13">
        <f t="shared" si="141"/>
        <v>95.998759891259041</v>
      </c>
      <c r="Q172" s="20">
        <f t="shared" si="162"/>
        <v>900.24444014394294</v>
      </c>
      <c r="R172" s="59">
        <f t="shared" si="109"/>
        <v>1193.5777734772762</v>
      </c>
      <c r="S172" s="59">
        <f ca="1">AVERAGE(OFFSET($R$3,0,0,'Données projet'!$E$9+1,1))-AVERAGE(OFFSET($H$3,0,0,'Données projet'!$E$9+1,1))</f>
        <v>434.08297999735811</v>
      </c>
      <c r="T172" s="59">
        <f t="shared" si="142"/>
        <v>371.04090283546122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27.287563669461154</v>
      </c>
      <c r="AA172" s="21">
        <f>EXP(-LN(2)/25)*AA171+(1-EXP(-LN(2)/25))/(LN(2)/25)*Calculateur!V172*Calculateur!X172*VLOOKUP('Données projet'!$B$9,Paramètres!$A$1:$I$89,3,0)*0.475*44/12</f>
        <v>1.0960693618678159</v>
      </c>
      <c r="AB172" s="21">
        <f>EXP(-LN(2)/2)*AB171+(1-EXP(-LN(2)/2))/(LN(2)/2)*V172*Y172*VLOOKUP('Données projet'!$B$9,Paramètres!$A$1:$I$89,3,0)*0.475*44/12</f>
        <v>9.0031869175758864E-22</v>
      </c>
      <c r="AC172" s="22">
        <f t="shared" si="163"/>
        <v>28.383633031328969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367.99999999999972</v>
      </c>
      <c r="AJ172" s="13">
        <f>AI172*VLOOKUP('Données projet'!$B$10,Paramètres!$A$1:$I$89,3,0)*VLOOKUP('Données projet'!$B$10,Paramètres!$A$1:$I$89,5,0)</f>
        <v>292.78079999999977</v>
      </c>
      <c r="AK172" s="13">
        <f t="shared" si="164"/>
        <v>69.660903052386217</v>
      </c>
      <c r="AL172" s="20">
        <f t="shared" si="165"/>
        <v>631.25263281623893</v>
      </c>
      <c r="AM172" s="59">
        <f t="shared" si="113"/>
        <v>924.58596614957219</v>
      </c>
      <c r="AN172" s="59">
        <f ca="1">AVERAGE(OFFSET($AM$3,0,0,'Données projet'!$E$10+1,1))-AVERAGE(OFFSET($H$3,0,0,'Données projet'!$E$10+1,1))</f>
        <v>331.52724290297675</v>
      </c>
      <c r="AO172" s="59">
        <f t="shared" si="144"/>
        <v>322.79102610158054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10.576326333209151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10.576326333209151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367.99999999999972</v>
      </c>
      <c r="BE172" s="13">
        <f>BD172*VLOOKUP('Données projet'!$B$11,Paramètres!$A$1:$I$89,3,0)*VLOOKUP('Données projet'!$B$11,Paramètres!$A$1:$I$89,5,0)</f>
        <v>246.8543999999998</v>
      </c>
      <c r="BF172" s="13">
        <f t="shared" si="167"/>
        <v>59.911862368716115</v>
      </c>
      <c r="BG172" s="20">
        <f t="shared" si="168"/>
        <v>534.28457362551353</v>
      </c>
      <c r="BH172" s="59">
        <f t="shared" si="116"/>
        <v>827.61790695884679</v>
      </c>
      <c r="BI172" s="59">
        <f ca="1">AVERAGE(OFFSET($BH$3,0,0,'Données projet'!$E$11+1,1))-AVERAGE(OFFSET($H$3,0,0,'Données projet'!$E$11+1,1))</f>
        <v>273.84349636755343</v>
      </c>
      <c r="BJ172" s="59">
        <f t="shared" si="146"/>
        <v>268.10688874775451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8.9172947515292798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8.9172947515292798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852.00000000000011</v>
      </c>
      <c r="O173" s="13">
        <f>N173*VLOOKUP('Données projet'!$B$9,Paramètres!$A$1:$I$89,3,0)*VLOOKUP('Données projet'!$B$9,Paramètres!$A$1:$I$89,5,0)</f>
        <v>420.88800000000009</v>
      </c>
      <c r="P173" s="13">
        <f t="shared" si="141"/>
        <v>95.998759891259041</v>
      </c>
      <c r="Q173" s="20">
        <f t="shared" si="162"/>
        <v>900.24444014394294</v>
      </c>
      <c r="R173" s="59">
        <f t="shared" si="109"/>
        <v>1193.5777734772762</v>
      </c>
      <c r="S173" s="59">
        <f ca="1">AVERAGE(OFFSET($R$3,0,0,'Données projet'!$E$9+1,1))-AVERAGE(OFFSET($H$3,0,0,'Données projet'!$E$9+1,1))</f>
        <v>434.08297999735811</v>
      </c>
      <c r="T173" s="59">
        <f t="shared" si="142"/>
        <v>371.04090283546122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26.752471189673422</v>
      </c>
      <c r="AA173" s="21">
        <f>EXP(-LN(2)/25)*AA172+(1-EXP(-LN(2)/25))/(LN(2)/25)*Calculateur!V173*Calculateur!X173*VLOOKUP('Données projet'!$B$9,Paramètres!$A$1:$I$89,3,0)*0.475*44/12</f>
        <v>1.0660972875277579</v>
      </c>
      <c r="AB173" s="21">
        <f>EXP(-LN(2)/2)*AB172+(1-EXP(-LN(2)/2))/(LN(2)/2)*V173*Y173*VLOOKUP('Données projet'!$B$9,Paramètres!$A$1:$I$89,3,0)*0.475*44/12</f>
        <v>6.3662145217079198E-22</v>
      </c>
      <c r="AC173" s="22">
        <f t="shared" si="163"/>
        <v>27.818568477201179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367.99999999999972</v>
      </c>
      <c r="AJ173" s="13">
        <f>AI173*VLOOKUP('Données projet'!$B$10,Paramètres!$A$1:$I$89,3,0)*VLOOKUP('Données projet'!$B$10,Paramètres!$A$1:$I$89,5,0)</f>
        <v>292.78079999999977</v>
      </c>
      <c r="AK173" s="13">
        <f t="shared" si="164"/>
        <v>69.660903052386217</v>
      </c>
      <c r="AL173" s="20">
        <f t="shared" si="165"/>
        <v>631.25263281623893</v>
      </c>
      <c r="AM173" s="59">
        <f t="shared" si="113"/>
        <v>924.58596614957219</v>
      </c>
      <c r="AN173" s="59">
        <f ca="1">AVERAGE(OFFSET($AM$3,0,0,'Données projet'!$E$10+1,1))-AVERAGE(OFFSET($H$3,0,0,'Données projet'!$E$10+1,1))</f>
        <v>331.52724290297675</v>
      </c>
      <c r="AO173" s="59">
        <f t="shared" si="144"/>
        <v>322.79102610158054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10.368931024737007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10.368931024737007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367.99999999999972</v>
      </c>
      <c r="BE173" s="13">
        <f>BD173*VLOOKUP('Données projet'!$B$11,Paramètres!$A$1:$I$89,3,0)*VLOOKUP('Données projet'!$B$11,Paramètres!$A$1:$I$89,5,0)</f>
        <v>246.8543999999998</v>
      </c>
      <c r="BF173" s="13">
        <f t="shared" si="167"/>
        <v>59.911862368716115</v>
      </c>
      <c r="BG173" s="20">
        <f t="shared" si="168"/>
        <v>534.28457362551353</v>
      </c>
      <c r="BH173" s="59">
        <f t="shared" si="116"/>
        <v>827.61790695884679</v>
      </c>
      <c r="BI173" s="59">
        <f ca="1">AVERAGE(OFFSET($BH$3,0,0,'Données projet'!$E$11+1,1))-AVERAGE(OFFSET($H$3,0,0,'Données projet'!$E$11+1,1))</f>
        <v>273.84349636755343</v>
      </c>
      <c r="BJ173" s="59">
        <f t="shared" si="146"/>
        <v>268.10688874775451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8.7424320404645304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8.7424320404645304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852.00000000000011</v>
      </c>
      <c r="O174" s="13">
        <f>N174*VLOOKUP('Données projet'!$B$9,Paramètres!$A$1:$I$89,3,0)*VLOOKUP('Données projet'!$B$9,Paramètres!$A$1:$I$89,5,0)</f>
        <v>420.88800000000009</v>
      </c>
      <c r="P174" s="13">
        <f t="shared" si="141"/>
        <v>95.998759891259041</v>
      </c>
      <c r="Q174" s="20">
        <f t="shared" si="162"/>
        <v>900.24444014394294</v>
      </c>
      <c r="R174" s="59">
        <f t="shared" si="109"/>
        <v>1193.5777734772762</v>
      </c>
      <c r="S174" s="59">
        <f ca="1">AVERAGE(OFFSET($R$3,0,0,'Données projet'!$E$9+1,1))-AVERAGE(OFFSET($H$3,0,0,'Données projet'!$E$9+1,1))</f>
        <v>434.08297999735811</v>
      </c>
      <c r="T174" s="59">
        <f t="shared" si="142"/>
        <v>371.04090283546122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26.227871547040142</v>
      </c>
      <c r="AA174" s="21">
        <f>EXP(-LN(2)/25)*AA173+(1-EXP(-LN(2)/25))/(LN(2)/25)*Calculateur!V174*Calculateur!X174*VLOOKUP('Données projet'!$B$9,Paramètres!$A$1:$I$89,3,0)*0.475*44/12</f>
        <v>1.0369448011366915</v>
      </c>
      <c r="AB174" s="21">
        <f>EXP(-LN(2)/2)*AB173+(1-EXP(-LN(2)/2))/(LN(2)/2)*V174*Y174*VLOOKUP('Données projet'!$B$9,Paramètres!$A$1:$I$89,3,0)*0.475*44/12</f>
        <v>4.5015934587879432E-22</v>
      </c>
      <c r="AC174" s="22">
        <f t="shared" si="163"/>
        <v>27.264816348176833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367.99999999999972</v>
      </c>
      <c r="AJ174" s="13">
        <f>AI174*VLOOKUP('Données projet'!$B$10,Paramètres!$A$1:$I$89,3,0)*VLOOKUP('Données projet'!$B$10,Paramètres!$A$1:$I$89,5,0)</f>
        <v>292.78079999999977</v>
      </c>
      <c r="AK174" s="13">
        <f t="shared" si="164"/>
        <v>69.660903052386217</v>
      </c>
      <c r="AL174" s="20">
        <f t="shared" si="165"/>
        <v>631.25263281623893</v>
      </c>
      <c r="AM174" s="59">
        <f t="shared" si="113"/>
        <v>924.58596614957219</v>
      </c>
      <c r="AN174" s="59">
        <f ca="1">AVERAGE(OFFSET($AM$3,0,0,'Données projet'!$E$10+1,1))-AVERAGE(OFFSET($H$3,0,0,'Données projet'!$E$10+1,1))</f>
        <v>331.52724290297675</v>
      </c>
      <c r="AO174" s="59">
        <f t="shared" si="144"/>
        <v>322.79102610158054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10.165602611765355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10.165602611765355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367.99999999999972</v>
      </c>
      <c r="BE174" s="13">
        <f>BD174*VLOOKUP('Données projet'!$B$11,Paramètres!$A$1:$I$89,3,0)*VLOOKUP('Données projet'!$B$11,Paramètres!$A$1:$I$89,5,0)</f>
        <v>246.8543999999998</v>
      </c>
      <c r="BF174" s="13">
        <f t="shared" si="167"/>
        <v>59.911862368716115</v>
      </c>
      <c r="BG174" s="20">
        <f t="shared" si="168"/>
        <v>534.28457362551353</v>
      </c>
      <c r="BH174" s="59">
        <f t="shared" si="116"/>
        <v>827.61790695884679</v>
      </c>
      <c r="BI174" s="59">
        <f ca="1">AVERAGE(OFFSET($BH$3,0,0,'Données projet'!$E$11+1,1))-AVERAGE(OFFSET($H$3,0,0,'Données projet'!$E$11+1,1))</f>
        <v>273.84349636755343</v>
      </c>
      <c r="BJ174" s="59">
        <f t="shared" si="146"/>
        <v>268.10688874775451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8.5709982805080394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8.5709982805080394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852.00000000000011</v>
      </c>
      <c r="O175" s="13">
        <f>N175*VLOOKUP('Données projet'!$B$9,Paramètres!$A$1:$I$89,3,0)*VLOOKUP('Données projet'!$B$9,Paramètres!$A$1:$I$89,5,0)</f>
        <v>420.88800000000009</v>
      </c>
      <c r="P175" s="13">
        <f t="shared" si="141"/>
        <v>95.998759891259041</v>
      </c>
      <c r="Q175" s="20">
        <f t="shared" si="162"/>
        <v>900.24444014394294</v>
      </c>
      <c r="R175" s="59">
        <f t="shared" si="109"/>
        <v>1193.5777734772762</v>
      </c>
      <c r="S175" s="59">
        <f ca="1">AVERAGE(OFFSET($R$3,0,0,'Données projet'!$E$9+1,1))-AVERAGE(OFFSET($H$3,0,0,'Données projet'!$E$9+1,1))</f>
        <v>434.08297999735811</v>
      </c>
      <c r="T175" s="59">
        <f t="shared" si="142"/>
        <v>371.04090283546122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25.713558983424715</v>
      </c>
      <c r="AA175" s="21">
        <f>EXP(-LN(2)/25)*AA174+(1-EXP(-LN(2)/25))/(LN(2)/25)*Calculateur!V175*Calculateur!X175*VLOOKUP('Données projet'!$B$9,Paramètres!$A$1:$I$89,3,0)*0.475*44/12</f>
        <v>1.0085894910190516</v>
      </c>
      <c r="AB175" s="21">
        <f>EXP(-LN(2)/2)*AB174+(1-EXP(-LN(2)/2))/(LN(2)/2)*V175*Y175*VLOOKUP('Données projet'!$B$9,Paramètres!$A$1:$I$89,3,0)*0.475*44/12</f>
        <v>3.1831072608539599E-22</v>
      </c>
      <c r="AC175" s="22">
        <f t="shared" si="163"/>
        <v>26.722148474443767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367.99999999999972</v>
      </c>
      <c r="AJ175" s="13">
        <f>AI175*VLOOKUP('Données projet'!$B$10,Paramètres!$A$1:$I$89,3,0)*VLOOKUP('Données projet'!$B$10,Paramètres!$A$1:$I$89,5,0)</f>
        <v>292.78079999999977</v>
      </c>
      <c r="AK175" s="13">
        <f t="shared" si="164"/>
        <v>69.660903052386217</v>
      </c>
      <c r="AL175" s="20">
        <f t="shared" si="165"/>
        <v>631.25263281623893</v>
      </c>
      <c r="AM175" s="59">
        <f t="shared" si="113"/>
        <v>924.58596614957219</v>
      </c>
      <c r="AN175" s="59">
        <f ca="1">AVERAGE(OFFSET($AM$3,0,0,'Données projet'!$E$10+1,1))-AVERAGE(OFFSET($H$3,0,0,'Données projet'!$E$10+1,1))</f>
        <v>331.52724290297675</v>
      </c>
      <c r="AO175" s="59">
        <f t="shared" si="144"/>
        <v>322.79102610158054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9.9662613449539901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9.9662613449539901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367.99999999999972</v>
      </c>
      <c r="BE175" s="13">
        <f>BD175*VLOOKUP('Données projet'!$B$11,Paramètres!$A$1:$I$89,3,0)*VLOOKUP('Données projet'!$B$11,Paramètres!$A$1:$I$89,5,0)</f>
        <v>246.8543999999998</v>
      </c>
      <c r="BF175" s="13">
        <f t="shared" si="167"/>
        <v>59.911862368716115</v>
      </c>
      <c r="BG175" s="20">
        <f t="shared" si="168"/>
        <v>534.28457362551353</v>
      </c>
      <c r="BH175" s="59">
        <f t="shared" si="116"/>
        <v>827.61790695884679</v>
      </c>
      <c r="BI175" s="59">
        <f ca="1">AVERAGE(OFFSET($BH$3,0,0,'Données projet'!$E$11+1,1))-AVERAGE(OFFSET($H$3,0,0,'Données projet'!$E$11+1,1))</f>
        <v>273.84349636755343</v>
      </c>
      <c r="BJ175" s="59">
        <f t="shared" si="146"/>
        <v>268.10688874775451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8.4029262320200253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8.4029262320200253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852.00000000000011</v>
      </c>
      <c r="O176" s="13">
        <f>N176*VLOOKUP('Données projet'!$B$9,Paramètres!$A$1:$I$89,3,0)*VLOOKUP('Données projet'!$B$9,Paramètres!$A$1:$I$89,5,0)</f>
        <v>420.88800000000009</v>
      </c>
      <c r="P176" s="13">
        <f t="shared" si="141"/>
        <v>95.998759891259041</v>
      </c>
      <c r="Q176" s="20">
        <f t="shared" si="162"/>
        <v>900.24444014394294</v>
      </c>
      <c r="R176" s="59">
        <f t="shared" si="109"/>
        <v>1193.5777734772762</v>
      </c>
      <c r="S176" s="59">
        <f ca="1">AVERAGE(OFFSET($R$3,0,0,'Données projet'!$E$9+1,1))-AVERAGE(OFFSET($H$3,0,0,'Données projet'!$E$9+1,1))</f>
        <v>434.08297999735811</v>
      </c>
      <c r="T176" s="59">
        <f t="shared" si="142"/>
        <v>371.04090283546122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25.209331775482099</v>
      </c>
      <c r="AA176" s="21">
        <f>EXP(-LN(2)/25)*AA175+(1-EXP(-LN(2)/25))/(LN(2)/25)*Calculateur!V176*Calculateur!X176*VLOOKUP('Données projet'!$B$9,Paramètres!$A$1:$I$89,3,0)*0.475*44/12</f>
        <v>0.98100955834771941</v>
      </c>
      <c r="AB176" s="21">
        <f>EXP(-LN(2)/2)*AB175+(1-EXP(-LN(2)/2))/(LN(2)/2)*V176*Y176*VLOOKUP('Données projet'!$B$9,Paramètres!$A$1:$I$89,3,0)*0.475*44/12</f>
        <v>2.2507967293939716E-22</v>
      </c>
      <c r="AC176" s="22">
        <f t="shared" si="163"/>
        <v>26.190341333829817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367.99999999999972</v>
      </c>
      <c r="AJ176" s="13">
        <f>AI176*VLOOKUP('Données projet'!$B$10,Paramètres!$A$1:$I$89,3,0)*VLOOKUP('Données projet'!$B$10,Paramètres!$A$1:$I$89,5,0)</f>
        <v>292.78079999999977</v>
      </c>
      <c r="AK176" s="13">
        <f t="shared" si="164"/>
        <v>69.660903052386217</v>
      </c>
      <c r="AL176" s="20">
        <f t="shared" si="165"/>
        <v>631.25263281623893</v>
      </c>
      <c r="AM176" s="59">
        <f t="shared" si="113"/>
        <v>924.58596614957219</v>
      </c>
      <c r="AN176" s="59">
        <f ca="1">AVERAGE(OFFSET($AM$3,0,0,'Données projet'!$E$10+1,1))-AVERAGE(OFFSET($H$3,0,0,'Données projet'!$E$10+1,1))</f>
        <v>331.52724290297675</v>
      </c>
      <c r="AO176" s="59">
        <f t="shared" si="144"/>
        <v>322.79102610158054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9.7708290387986292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9.7708290387986292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367.99999999999972</v>
      </c>
      <c r="BE176" s="13">
        <f>BD176*VLOOKUP('Données projet'!$B$11,Paramètres!$A$1:$I$89,3,0)*VLOOKUP('Données projet'!$B$11,Paramètres!$A$1:$I$89,5,0)</f>
        <v>246.8543999999998</v>
      </c>
      <c r="BF176" s="13">
        <f t="shared" si="167"/>
        <v>59.911862368716115</v>
      </c>
      <c r="BG176" s="20">
        <f t="shared" si="168"/>
        <v>534.28457362551353</v>
      </c>
      <c r="BH176" s="59">
        <f t="shared" si="116"/>
        <v>827.61790695884679</v>
      </c>
      <c r="BI176" s="59">
        <f ca="1">AVERAGE(OFFSET($BH$3,0,0,'Données projet'!$E$11+1,1))-AVERAGE(OFFSET($H$3,0,0,'Données projet'!$E$11+1,1))</f>
        <v>273.84349636755343</v>
      </c>
      <c r="BJ176" s="59">
        <f t="shared" si="146"/>
        <v>268.10688874775451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8.2381499738890351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8.2381499738890351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852.00000000000011</v>
      </c>
      <c r="O177" s="13">
        <f>N177*VLOOKUP('Données projet'!$B$9,Paramètres!$A$1:$I$89,3,0)*VLOOKUP('Données projet'!$B$9,Paramètres!$A$1:$I$89,5,0)</f>
        <v>420.88800000000009</v>
      </c>
      <c r="P177" s="13">
        <f t="shared" si="141"/>
        <v>95.998759891259041</v>
      </c>
      <c r="Q177" s="20">
        <f t="shared" si="162"/>
        <v>900.24444014394294</v>
      </c>
      <c r="R177" s="59">
        <f t="shared" si="109"/>
        <v>1193.5777734772762</v>
      </c>
      <c r="S177" s="59">
        <f ca="1">AVERAGE(OFFSET($R$3,0,0,'Données projet'!$E$9+1,1))-AVERAGE(OFFSET($H$3,0,0,'Données projet'!$E$9+1,1))</f>
        <v>434.08297999735811</v>
      </c>
      <c r="T177" s="59">
        <f t="shared" si="142"/>
        <v>371.04090283546122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24.714992155539008</v>
      </c>
      <c r="AA177" s="21">
        <f>EXP(-LN(2)/25)*AA176+(1-EXP(-LN(2)/25))/(LN(2)/25)*Calculateur!V177*Calculateur!X177*VLOOKUP('Données projet'!$B$9,Paramètres!$A$1:$I$89,3,0)*0.475*44/12</f>
        <v>0.95418380038565043</v>
      </c>
      <c r="AB177" s="21">
        <f>EXP(-LN(2)/2)*AB176+(1-EXP(-LN(2)/2))/(LN(2)/2)*V177*Y177*VLOOKUP('Données projet'!$B$9,Paramètres!$A$1:$I$89,3,0)*0.475*44/12</f>
        <v>1.5915536304269799E-22</v>
      </c>
      <c r="AC177" s="22">
        <f t="shared" si="163"/>
        <v>25.669175955924658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367.99999999999972</v>
      </c>
      <c r="AJ177" s="13">
        <f>AI177*VLOOKUP('Données projet'!$B$10,Paramètres!$A$1:$I$89,3,0)*VLOOKUP('Données projet'!$B$10,Paramètres!$A$1:$I$89,5,0)</f>
        <v>292.78079999999977</v>
      </c>
      <c r="AK177" s="13">
        <f t="shared" si="164"/>
        <v>69.660903052386217</v>
      </c>
      <c r="AL177" s="20">
        <f t="shared" si="165"/>
        <v>631.25263281623893</v>
      </c>
      <c r="AM177" s="59">
        <f t="shared" si="113"/>
        <v>924.58596614957219</v>
      </c>
      <c r="AN177" s="59">
        <f ca="1">AVERAGE(OFFSET($AM$3,0,0,'Données projet'!$E$10+1,1))-AVERAGE(OFFSET($H$3,0,0,'Données projet'!$E$10+1,1))</f>
        <v>331.52724290297675</v>
      </c>
      <c r="AO177" s="59">
        <f t="shared" si="144"/>
        <v>322.79102610158054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9.5792290409650391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9.5792290409650391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367.99999999999972</v>
      </c>
      <c r="BE177" s="13">
        <f>BD177*VLOOKUP('Données projet'!$B$11,Paramètres!$A$1:$I$89,3,0)*VLOOKUP('Données projet'!$B$11,Paramètres!$A$1:$I$89,5,0)</f>
        <v>246.8543999999998</v>
      </c>
      <c r="BF177" s="13">
        <f t="shared" si="167"/>
        <v>59.911862368716115</v>
      </c>
      <c r="BG177" s="20">
        <f t="shared" si="168"/>
        <v>534.28457362551353</v>
      </c>
      <c r="BH177" s="59">
        <f t="shared" si="116"/>
        <v>827.61790695884679</v>
      </c>
      <c r="BI177" s="59">
        <f ca="1">AVERAGE(OFFSET($BH$3,0,0,'Données projet'!$E$11+1,1))-AVERAGE(OFFSET($H$3,0,0,'Données projet'!$E$11+1,1))</f>
        <v>273.84349636755343</v>
      </c>
      <c r="BJ177" s="59">
        <f t="shared" si="146"/>
        <v>268.10688874775451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8.0766048776764006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8.0766048776764006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852.00000000000011</v>
      </c>
      <c r="O178" s="13">
        <f>N178*VLOOKUP('Données projet'!$B$9,Paramètres!$A$1:$I$89,3,0)*VLOOKUP('Données projet'!$B$9,Paramètres!$A$1:$I$89,5,0)</f>
        <v>420.88800000000009</v>
      </c>
      <c r="P178" s="13">
        <f t="shared" si="141"/>
        <v>95.998759891259041</v>
      </c>
      <c r="Q178" s="20">
        <f t="shared" si="162"/>
        <v>900.24444014394294</v>
      </c>
      <c r="R178" s="59">
        <f t="shared" si="109"/>
        <v>1193.5777734772762</v>
      </c>
      <c r="S178" s="59">
        <f ca="1">AVERAGE(OFFSET($R$3,0,0,'Données projet'!$E$9+1,1))-AVERAGE(OFFSET($H$3,0,0,'Données projet'!$E$9+1,1))</f>
        <v>434.08297999735811</v>
      </c>
      <c r="T178" s="59">
        <f t="shared" si="142"/>
        <v>371.04090283546122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24.230346234025603</v>
      </c>
      <c r="AA178" s="21">
        <f>EXP(-LN(2)/25)*AA177+(1-EXP(-LN(2)/25))/(LN(2)/25)*Calculateur!V178*Calculateur!X178*VLOOKUP('Données projet'!$B$9,Paramètres!$A$1:$I$89,3,0)*0.475*44/12</f>
        <v>0.92809159418575959</v>
      </c>
      <c r="AB178" s="21">
        <f>EXP(-LN(2)/2)*AB177+(1-EXP(-LN(2)/2))/(LN(2)/2)*V178*Y178*VLOOKUP('Données projet'!$B$9,Paramètres!$A$1:$I$89,3,0)*0.475*44/12</f>
        <v>1.1253983646969858E-22</v>
      </c>
      <c r="AC178" s="22">
        <f t="shared" si="163"/>
        <v>25.158437828211362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367.99999999999972</v>
      </c>
      <c r="AJ178" s="13">
        <f>AI178*VLOOKUP('Données projet'!$B$10,Paramètres!$A$1:$I$89,3,0)*VLOOKUP('Données projet'!$B$10,Paramètres!$A$1:$I$89,5,0)</f>
        <v>292.78079999999977</v>
      </c>
      <c r="AK178" s="13">
        <f t="shared" si="164"/>
        <v>69.660903052386217</v>
      </c>
      <c r="AL178" s="20">
        <f t="shared" si="165"/>
        <v>631.25263281623893</v>
      </c>
      <c r="AM178" s="59">
        <f t="shared" si="113"/>
        <v>924.58596614957219</v>
      </c>
      <c r="AN178" s="59">
        <f ca="1">AVERAGE(OFFSET($AM$3,0,0,'Données projet'!$E$10+1,1))-AVERAGE(OFFSET($H$3,0,0,'Données projet'!$E$10+1,1))</f>
        <v>331.52724290297675</v>
      </c>
      <c r="AO178" s="59">
        <f t="shared" si="144"/>
        <v>322.79102610158054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9.3913862022245063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9.3913862022245063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367.99999999999972</v>
      </c>
      <c r="BE178" s="13">
        <f>BD178*VLOOKUP('Données projet'!$B$11,Paramètres!$A$1:$I$89,3,0)*VLOOKUP('Données projet'!$B$11,Paramètres!$A$1:$I$89,5,0)</f>
        <v>246.8543999999998</v>
      </c>
      <c r="BF178" s="13">
        <f t="shared" si="167"/>
        <v>59.911862368716115</v>
      </c>
      <c r="BG178" s="20">
        <f t="shared" si="168"/>
        <v>534.28457362551353</v>
      </c>
      <c r="BH178" s="59">
        <f t="shared" si="116"/>
        <v>827.61790695884679</v>
      </c>
      <c r="BI178" s="59">
        <f ca="1">AVERAGE(OFFSET($BH$3,0,0,'Données projet'!$E$11+1,1))-AVERAGE(OFFSET($H$3,0,0,'Données projet'!$E$11+1,1))</f>
        <v>273.84349636755343</v>
      </c>
      <c r="BJ178" s="59">
        <f t="shared" si="146"/>
        <v>268.10688874775451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7.9182275822677157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7.9182275822677157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852.00000000000011</v>
      </c>
      <c r="O179" s="13">
        <f>N179*VLOOKUP('Données projet'!$B$9,Paramètres!$A$1:$I$89,3,0)*VLOOKUP('Données projet'!$B$9,Paramètres!$A$1:$I$89,5,0)</f>
        <v>420.88800000000009</v>
      </c>
      <c r="P179" s="13">
        <f t="shared" si="141"/>
        <v>95.998759891259041</v>
      </c>
      <c r="Q179" s="20">
        <f t="shared" si="162"/>
        <v>900.24444014394294</v>
      </c>
      <c r="R179" s="59">
        <f t="shared" si="109"/>
        <v>1193.5777734772762</v>
      </c>
      <c r="S179" s="59">
        <f ca="1">AVERAGE(OFFSET($R$3,0,0,'Données projet'!$E$9+1,1))-AVERAGE(OFFSET($H$3,0,0,'Données projet'!$E$9+1,1))</f>
        <v>434.08297999735811</v>
      </c>
      <c r="T179" s="59">
        <f t="shared" si="142"/>
        <v>371.04090283546122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23.755203923428255</v>
      </c>
      <c r="AA179" s="21">
        <f>EXP(-LN(2)/25)*AA178+(1-EXP(-LN(2)/25))/(LN(2)/25)*Calculateur!V179*Calculateur!X179*VLOOKUP('Données projet'!$B$9,Paramètres!$A$1:$I$89,3,0)*0.475*44/12</f>
        <v>0.90271288073653422</v>
      </c>
      <c r="AB179" s="21">
        <f>EXP(-LN(2)/2)*AB178+(1-EXP(-LN(2)/2))/(LN(2)/2)*V179*Y179*VLOOKUP('Données projet'!$B$9,Paramètres!$A$1:$I$89,3,0)*0.475*44/12</f>
        <v>7.9577681521348997E-23</v>
      </c>
      <c r="AC179" s="22">
        <f t="shared" si="163"/>
        <v>24.657916804164788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367.99999999999972</v>
      </c>
      <c r="AJ179" s="13">
        <f>AI179*VLOOKUP('Données projet'!$B$10,Paramètres!$A$1:$I$89,3,0)*VLOOKUP('Données projet'!$B$10,Paramètres!$A$1:$I$89,5,0)</f>
        <v>292.78079999999977</v>
      </c>
      <c r="AK179" s="13">
        <f t="shared" si="164"/>
        <v>69.660903052386217</v>
      </c>
      <c r="AL179" s="20">
        <f t="shared" si="165"/>
        <v>631.25263281623893</v>
      </c>
      <c r="AM179" s="59">
        <f t="shared" si="113"/>
        <v>924.58596614957219</v>
      </c>
      <c r="AN179" s="59">
        <f ca="1">AVERAGE(OFFSET($AM$3,0,0,'Données projet'!$E$10+1,1))-AVERAGE(OFFSET($H$3,0,0,'Données projet'!$E$10+1,1))</f>
        <v>331.52724290297675</v>
      </c>
      <c r="AO179" s="59">
        <f t="shared" si="144"/>
        <v>322.79102610158054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9.2072268469788554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9.2072268469788554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367.99999999999972</v>
      </c>
      <c r="BE179" s="13">
        <f>BD179*VLOOKUP('Données projet'!$B$11,Paramètres!$A$1:$I$89,3,0)*VLOOKUP('Données projet'!$B$11,Paramètres!$A$1:$I$89,5,0)</f>
        <v>246.8543999999998</v>
      </c>
      <c r="BF179" s="13">
        <f t="shared" si="167"/>
        <v>59.911862368716115</v>
      </c>
      <c r="BG179" s="20">
        <f t="shared" si="168"/>
        <v>534.28457362551353</v>
      </c>
      <c r="BH179" s="59">
        <f t="shared" si="116"/>
        <v>827.61790695884679</v>
      </c>
      <c r="BI179" s="59">
        <f ca="1">AVERAGE(OFFSET($BH$3,0,0,'Données projet'!$E$11+1,1))-AVERAGE(OFFSET($H$3,0,0,'Données projet'!$E$11+1,1))</f>
        <v>273.84349636755343</v>
      </c>
      <c r="BJ179" s="59">
        <f t="shared" si="146"/>
        <v>268.10688874775451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7.7629559690213839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7.7629559690213839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852.00000000000011</v>
      </c>
      <c r="O180" s="13">
        <f>N180*VLOOKUP('Données projet'!$B$9,Paramètres!$A$1:$I$89,3,0)*VLOOKUP('Données projet'!$B$9,Paramètres!$A$1:$I$89,5,0)</f>
        <v>420.88800000000009</v>
      </c>
      <c r="P180" s="13">
        <f t="shared" si="141"/>
        <v>95.998759891259041</v>
      </c>
      <c r="Q180" s="20">
        <f t="shared" si="162"/>
        <v>900.24444014394294</v>
      </c>
      <c r="R180" s="59">
        <f t="shared" si="109"/>
        <v>1193.5777734772762</v>
      </c>
      <c r="S180" s="59">
        <f ca="1">AVERAGE(OFFSET($R$3,0,0,'Données projet'!$E$9+1,1))-AVERAGE(OFFSET($H$3,0,0,'Données projet'!$E$9+1,1))</f>
        <v>434.08297999735811</v>
      </c>
      <c r="T180" s="59">
        <f t="shared" si="142"/>
        <v>371.04090283546122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23.289378863733525</v>
      </c>
      <c r="AA180" s="21">
        <f>EXP(-LN(2)/25)*AA179+(1-EXP(-LN(2)/25))/(LN(2)/25)*Calculateur!V180*Calculateur!X180*VLOOKUP('Données projet'!$B$9,Paramètres!$A$1:$I$89,3,0)*0.475*44/12</f>
        <v>0.87802814954118646</v>
      </c>
      <c r="AB180" s="21">
        <f>EXP(-LN(2)/2)*AB179+(1-EXP(-LN(2)/2))/(LN(2)/2)*V180*Y180*VLOOKUP('Données projet'!$B$9,Paramètres!$A$1:$I$89,3,0)*0.475*44/12</f>
        <v>5.626991823484929E-23</v>
      </c>
      <c r="AC180" s="22">
        <f t="shared" si="163"/>
        <v>24.167407013274712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367.99999999999972</v>
      </c>
      <c r="AJ180" s="13">
        <f>AI180*VLOOKUP('Données projet'!$B$10,Paramètres!$A$1:$I$89,3,0)*VLOOKUP('Données projet'!$B$10,Paramètres!$A$1:$I$89,5,0)</f>
        <v>292.78079999999977</v>
      </c>
      <c r="AK180" s="13">
        <f t="shared" si="164"/>
        <v>69.660903052386217</v>
      </c>
      <c r="AL180" s="20">
        <f t="shared" si="165"/>
        <v>631.25263281623893</v>
      </c>
      <c r="AM180" s="59">
        <f t="shared" si="113"/>
        <v>924.58596614957219</v>
      </c>
      <c r="AN180" s="59">
        <f ca="1">AVERAGE(OFFSET($AM$3,0,0,'Données projet'!$E$10+1,1))-AVERAGE(OFFSET($H$3,0,0,'Données projet'!$E$10+1,1))</f>
        <v>331.52724290297675</v>
      </c>
      <c r="AO180" s="59">
        <f t="shared" si="144"/>
        <v>322.79102610158054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9.0266787443634566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9.0266787443634566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367.99999999999972</v>
      </c>
      <c r="BE180" s="13">
        <f>BD180*VLOOKUP('Données projet'!$B$11,Paramètres!$A$1:$I$89,3,0)*VLOOKUP('Données projet'!$B$11,Paramètres!$A$1:$I$89,5,0)</f>
        <v>246.8543999999998</v>
      </c>
      <c r="BF180" s="13">
        <f t="shared" si="167"/>
        <v>59.911862368716115</v>
      </c>
      <c r="BG180" s="20">
        <f t="shared" si="168"/>
        <v>534.28457362551353</v>
      </c>
      <c r="BH180" s="59">
        <f t="shared" si="116"/>
        <v>827.61790695884679</v>
      </c>
      <c r="BI180" s="59">
        <f ca="1">AVERAGE(OFFSET($BH$3,0,0,'Données projet'!$E$11+1,1))-AVERAGE(OFFSET($H$3,0,0,'Données projet'!$E$11+1,1))</f>
        <v>273.84349636755343</v>
      </c>
      <c r="BJ180" s="59">
        <f t="shared" si="146"/>
        <v>268.10688874775451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7.6107291374044799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7.6107291374044799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852.00000000000011</v>
      </c>
      <c r="O181" s="13">
        <f>N181*VLOOKUP('Données projet'!$B$9,Paramètres!$A$1:$I$89,3,0)*VLOOKUP('Données projet'!$B$9,Paramètres!$A$1:$I$89,5,0)</f>
        <v>420.88800000000009</v>
      </c>
      <c r="P181" s="13">
        <f t="shared" si="141"/>
        <v>95.998759891259041</v>
      </c>
      <c r="Q181" s="20">
        <f t="shared" si="162"/>
        <v>900.24444014394294</v>
      </c>
      <c r="R181" s="59">
        <f t="shared" si="109"/>
        <v>1193.5777734772762</v>
      </c>
      <c r="S181" s="59">
        <f ca="1">AVERAGE(OFFSET($R$3,0,0,'Données projet'!$E$9+1,1))-AVERAGE(OFFSET($H$3,0,0,'Données projet'!$E$9+1,1))</f>
        <v>434.08297999735811</v>
      </c>
      <c r="T181" s="59">
        <f t="shared" si="142"/>
        <v>371.04090283546122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22.832688349334177</v>
      </c>
      <c r="AA181" s="21">
        <f>EXP(-LN(2)/25)*AA180+(1-EXP(-LN(2)/25))/(LN(2)/25)*Calculateur!V181*Calculateur!X181*VLOOKUP('Données projet'!$B$9,Paramètres!$A$1:$I$89,3,0)*0.475*44/12</f>
        <v>0.85401842361848912</v>
      </c>
      <c r="AB181" s="21">
        <f>EXP(-LN(2)/2)*AB180+(1-EXP(-LN(2)/2))/(LN(2)/2)*V181*Y181*VLOOKUP('Données projet'!$B$9,Paramètres!$A$1:$I$89,3,0)*0.475*44/12</f>
        <v>3.9788840760674499E-23</v>
      </c>
      <c r="AC181" s="22">
        <f t="shared" si="163"/>
        <v>23.686706772952665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367.99999999999972</v>
      </c>
      <c r="AJ181" s="13">
        <f>AI181*VLOOKUP('Données projet'!$B$10,Paramètres!$A$1:$I$89,3,0)*VLOOKUP('Données projet'!$B$10,Paramètres!$A$1:$I$89,5,0)</f>
        <v>292.78079999999977</v>
      </c>
      <c r="AK181" s="13">
        <f t="shared" si="164"/>
        <v>69.660903052386217</v>
      </c>
      <c r="AL181" s="20">
        <f t="shared" si="165"/>
        <v>631.25263281623893</v>
      </c>
      <c r="AM181" s="59">
        <f t="shared" si="113"/>
        <v>924.58596614957219</v>
      </c>
      <c r="AN181" s="59">
        <f ca="1">AVERAGE(OFFSET($AM$3,0,0,'Données projet'!$E$10+1,1))-AVERAGE(OFFSET($H$3,0,0,'Données projet'!$E$10+1,1))</f>
        <v>331.52724290297675</v>
      </c>
      <c r="AO181" s="59">
        <f t="shared" si="144"/>
        <v>322.79102610158054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8.8496710799168774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8.8496710799168774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367.99999999999972</v>
      </c>
      <c r="BE181" s="13">
        <f>BD181*VLOOKUP('Données projet'!$B$11,Paramètres!$A$1:$I$89,3,0)*VLOOKUP('Données projet'!$B$11,Paramètres!$A$1:$I$89,5,0)</f>
        <v>246.8543999999998</v>
      </c>
      <c r="BF181" s="13">
        <f t="shared" si="167"/>
        <v>59.911862368716115</v>
      </c>
      <c r="BG181" s="20">
        <f t="shared" si="168"/>
        <v>534.28457362551353</v>
      </c>
      <c r="BH181" s="59">
        <f t="shared" si="116"/>
        <v>827.61790695884679</v>
      </c>
      <c r="BI181" s="59">
        <f ca="1">AVERAGE(OFFSET($BH$3,0,0,'Données projet'!$E$11+1,1))-AVERAGE(OFFSET($H$3,0,0,'Données projet'!$E$11+1,1))</f>
        <v>273.84349636755343</v>
      </c>
      <c r="BJ181" s="59">
        <f t="shared" si="146"/>
        <v>268.10688874775451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7.4614873811063838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7.4614873811063838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852.00000000000011</v>
      </c>
      <c r="O182" s="13">
        <f>N182*VLOOKUP('Données projet'!$B$9,Paramètres!$A$1:$I$89,3,0)*VLOOKUP('Données projet'!$B$9,Paramètres!$A$1:$I$89,5,0)</f>
        <v>420.88800000000009</v>
      </c>
      <c r="P182" s="13">
        <f t="shared" si="141"/>
        <v>95.998759891259041</v>
      </c>
      <c r="Q182" s="20">
        <f t="shared" si="162"/>
        <v>900.24444014394294</v>
      </c>
      <c r="R182" s="59">
        <f t="shared" si="109"/>
        <v>1193.5777734772762</v>
      </c>
      <c r="S182" s="59">
        <f ca="1">AVERAGE(OFFSET($R$3,0,0,'Données projet'!$E$9+1,1))-AVERAGE(OFFSET($H$3,0,0,'Données projet'!$E$9+1,1))</f>
        <v>434.08297999735811</v>
      </c>
      <c r="T182" s="59">
        <f t="shared" si="142"/>
        <v>371.04090283546122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22.384953257368494</v>
      </c>
      <c r="AA182" s="21">
        <f>EXP(-LN(2)/25)*AA181+(1-EXP(-LN(2)/25))/(LN(2)/25)*Calculateur!V182*Calculateur!X182*VLOOKUP('Données projet'!$B$9,Paramètres!$A$1:$I$89,3,0)*0.475*44/12</f>
        <v>0.83066524491376448</v>
      </c>
      <c r="AB182" s="21">
        <f>EXP(-LN(2)/2)*AB181+(1-EXP(-LN(2)/2))/(LN(2)/2)*V182*Y182*VLOOKUP('Données projet'!$B$9,Paramètres!$A$1:$I$89,3,0)*0.475*44/12</f>
        <v>2.8134959117424645E-23</v>
      </c>
      <c r="AC182" s="22">
        <f t="shared" si="163"/>
        <v>23.215618502282258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367.99999999999972</v>
      </c>
      <c r="AJ182" s="13">
        <f>AI182*VLOOKUP('Données projet'!$B$10,Paramètres!$A$1:$I$89,3,0)*VLOOKUP('Données projet'!$B$10,Paramètres!$A$1:$I$89,5,0)</f>
        <v>292.78079999999977</v>
      </c>
      <c r="AK182" s="13">
        <f t="shared" si="164"/>
        <v>69.660903052386217</v>
      </c>
      <c r="AL182" s="20">
        <f t="shared" si="165"/>
        <v>631.25263281623893</v>
      </c>
      <c r="AM182" s="59">
        <f t="shared" si="113"/>
        <v>924.58596614957219</v>
      </c>
      <c r="AN182" s="59">
        <f ca="1">AVERAGE(OFFSET($AM$3,0,0,'Données projet'!$E$10+1,1))-AVERAGE(OFFSET($H$3,0,0,'Données projet'!$E$10+1,1))</f>
        <v>331.52724290297675</v>
      </c>
      <c r="AO182" s="59">
        <f t="shared" si="144"/>
        <v>322.79102610158054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8.6761344278060815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8.6761344278060815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367.99999999999972</v>
      </c>
      <c r="BE182" s="13">
        <f>BD182*VLOOKUP('Données projet'!$B$11,Paramètres!$A$1:$I$89,3,0)*VLOOKUP('Données projet'!$B$11,Paramètres!$A$1:$I$89,5,0)</f>
        <v>246.8543999999998</v>
      </c>
      <c r="BF182" s="13">
        <f t="shared" si="167"/>
        <v>59.911862368716115</v>
      </c>
      <c r="BG182" s="20">
        <f t="shared" si="168"/>
        <v>534.28457362551353</v>
      </c>
      <c r="BH182" s="59">
        <f t="shared" si="116"/>
        <v>827.61790695884679</v>
      </c>
      <c r="BI182" s="59">
        <f ca="1">AVERAGE(OFFSET($BH$3,0,0,'Données projet'!$E$11+1,1))-AVERAGE(OFFSET($H$3,0,0,'Données projet'!$E$11+1,1))</f>
        <v>273.84349636755343</v>
      </c>
      <c r="BJ182" s="59">
        <f t="shared" si="146"/>
        <v>268.10688874775451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7.3151721646208108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7.3151721646208108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852.00000000000011</v>
      </c>
      <c r="O183" s="13">
        <f>N183*VLOOKUP('Données projet'!$B$9,Paramètres!$A$1:$I$89,3,0)*VLOOKUP('Données projet'!$B$9,Paramètres!$A$1:$I$89,5,0)</f>
        <v>420.88800000000009</v>
      </c>
      <c r="P183" s="13">
        <f t="shared" si="141"/>
        <v>95.998759891259041</v>
      </c>
      <c r="Q183" s="20">
        <f t="shared" si="162"/>
        <v>900.24444014394294</v>
      </c>
      <c r="R183" s="59">
        <f t="shared" si="109"/>
        <v>1193.5777734772762</v>
      </c>
      <c r="S183" s="59">
        <f ca="1">AVERAGE(OFFSET($R$3,0,0,'Données projet'!$E$9+1,1))-AVERAGE(OFFSET($H$3,0,0,'Données projet'!$E$9+1,1))</f>
        <v>434.08297999735811</v>
      </c>
      <c r="T183" s="59">
        <f t="shared" si="142"/>
        <v>371.04090283546122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21.945997977464817</v>
      </c>
      <c r="AA183" s="21">
        <f>EXP(-LN(2)/25)*AA182+(1-EXP(-LN(2)/25))/(LN(2)/25)*Calculateur!V183*Calculateur!X183*VLOOKUP('Données projet'!$B$9,Paramètres!$A$1:$I$89,3,0)*0.475*44/12</f>
        <v>0.80795066010881089</v>
      </c>
      <c r="AB183" s="21">
        <f>EXP(-LN(2)/2)*AB182+(1-EXP(-LN(2)/2))/(LN(2)/2)*V183*Y183*VLOOKUP('Données projet'!$B$9,Paramètres!$A$1:$I$89,3,0)*0.475*44/12</f>
        <v>1.9894420380337249E-23</v>
      </c>
      <c r="AC183" s="22">
        <f t="shared" si="163"/>
        <v>22.753948637573629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367.99999999999972</v>
      </c>
      <c r="AJ183" s="13">
        <f>AI183*VLOOKUP('Données projet'!$B$10,Paramètres!$A$1:$I$89,3,0)*VLOOKUP('Données projet'!$B$10,Paramètres!$A$1:$I$89,5,0)</f>
        <v>292.78079999999977</v>
      </c>
      <c r="AK183" s="13">
        <f t="shared" si="164"/>
        <v>69.660903052386217</v>
      </c>
      <c r="AL183" s="20">
        <f t="shared" si="165"/>
        <v>631.25263281623893</v>
      </c>
      <c r="AM183" s="59">
        <f t="shared" si="113"/>
        <v>924.58596614957219</v>
      </c>
      <c r="AN183" s="59">
        <f ca="1">AVERAGE(OFFSET($AM$3,0,0,'Données projet'!$E$10+1,1))-AVERAGE(OFFSET($H$3,0,0,'Données projet'!$E$10+1,1))</f>
        <v>331.52724290297675</v>
      </c>
      <c r="AO183" s="59">
        <f t="shared" si="144"/>
        <v>322.79102610158054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8.5060007235962711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8.5060007235962711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367.99999999999972</v>
      </c>
      <c r="BE183" s="13">
        <f>BD183*VLOOKUP('Données projet'!$B$11,Paramètres!$A$1:$I$89,3,0)*VLOOKUP('Données projet'!$B$11,Paramètres!$A$1:$I$89,5,0)</f>
        <v>246.8543999999998</v>
      </c>
      <c r="BF183" s="13">
        <f t="shared" si="167"/>
        <v>59.911862368716115</v>
      </c>
      <c r="BG183" s="20">
        <f t="shared" si="168"/>
        <v>534.28457362551353</v>
      </c>
      <c r="BH183" s="59">
        <f t="shared" si="116"/>
        <v>827.61790695884679</v>
      </c>
      <c r="BI183" s="59">
        <f ca="1">AVERAGE(OFFSET($BH$3,0,0,'Données projet'!$E$11+1,1))-AVERAGE(OFFSET($H$3,0,0,'Données projet'!$E$11+1,1))</f>
        <v>273.84349636755343</v>
      </c>
      <c r="BJ183" s="59">
        <f t="shared" si="146"/>
        <v>268.10688874775451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7.1717261002870494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7.1717261002870494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852.00000000000011</v>
      </c>
      <c r="O184" s="13">
        <f>N184*VLOOKUP('Données projet'!$B$9,Paramètres!$A$1:$I$89,3,0)*VLOOKUP('Données projet'!$B$9,Paramètres!$A$1:$I$89,5,0)</f>
        <v>420.88800000000009</v>
      </c>
      <c r="P184" s="13">
        <f t="shared" si="141"/>
        <v>95.998759891259041</v>
      </c>
      <c r="Q184" s="20">
        <f t="shared" si="162"/>
        <v>900.24444014394294</v>
      </c>
      <c r="R184" s="59">
        <f t="shared" si="109"/>
        <v>1193.5777734772762</v>
      </c>
      <c r="S184" s="59">
        <f ca="1">AVERAGE(OFFSET($R$3,0,0,'Données projet'!$E$9+1,1))-AVERAGE(OFFSET($H$3,0,0,'Données projet'!$E$9+1,1))</f>
        <v>434.08297999735811</v>
      </c>
      <c r="T184" s="59">
        <f t="shared" si="142"/>
        <v>371.04090283546122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21.515650342863765</v>
      </c>
      <c r="AA184" s="21">
        <f>EXP(-LN(2)/25)*AA183+(1-EXP(-LN(2)/25))/(LN(2)/25)*Calculateur!V184*Calculateur!X184*VLOOKUP('Données projet'!$B$9,Paramètres!$A$1:$I$89,3,0)*0.475*44/12</f>
        <v>0.78585720681985682</v>
      </c>
      <c r="AB184" s="21">
        <f>EXP(-LN(2)/2)*AB183+(1-EXP(-LN(2)/2))/(LN(2)/2)*V184*Y184*VLOOKUP('Données projet'!$B$9,Paramètres!$A$1:$I$89,3,0)*0.475*44/12</f>
        <v>1.4067479558712322E-23</v>
      </c>
      <c r="AC184" s="22">
        <f t="shared" si="163"/>
        <v>22.30150754968362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367.99999999999972</v>
      </c>
      <c r="AJ184" s="13">
        <f>AI184*VLOOKUP('Données projet'!$B$10,Paramètres!$A$1:$I$89,3,0)*VLOOKUP('Données projet'!$B$10,Paramètres!$A$1:$I$89,5,0)</f>
        <v>292.78079999999977</v>
      </c>
      <c r="AK184" s="13">
        <f t="shared" si="164"/>
        <v>69.660903052386217</v>
      </c>
      <c r="AL184" s="20">
        <f t="shared" si="165"/>
        <v>631.25263281623893</v>
      </c>
      <c r="AM184" s="59">
        <f t="shared" si="113"/>
        <v>924.58596614957219</v>
      </c>
      <c r="AN184" s="59">
        <f ca="1">AVERAGE(OFFSET($AM$3,0,0,'Données projet'!$E$10+1,1))-AVERAGE(OFFSET($H$3,0,0,'Données projet'!$E$10+1,1))</f>
        <v>331.52724290297675</v>
      </c>
      <c r="AO184" s="59">
        <f t="shared" si="144"/>
        <v>322.79102610158054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8.3392032375547025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8.3392032375547025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367.99999999999972</v>
      </c>
      <c r="BE184" s="13">
        <f>BD184*VLOOKUP('Données projet'!$B$11,Paramètres!$A$1:$I$89,3,0)*VLOOKUP('Données projet'!$B$11,Paramètres!$A$1:$I$89,5,0)</f>
        <v>246.8543999999998</v>
      </c>
      <c r="BF184" s="13">
        <f t="shared" si="167"/>
        <v>59.911862368716115</v>
      </c>
      <c r="BG184" s="20">
        <f t="shared" si="168"/>
        <v>534.28457362551353</v>
      </c>
      <c r="BH184" s="59">
        <f t="shared" si="116"/>
        <v>827.61790695884679</v>
      </c>
      <c r="BI184" s="59">
        <f ca="1">AVERAGE(OFFSET($BH$3,0,0,'Données projet'!$E$11+1,1))-AVERAGE(OFFSET($H$3,0,0,'Données projet'!$E$11+1,1))</f>
        <v>273.84349636755343</v>
      </c>
      <c r="BJ184" s="59">
        <f t="shared" si="146"/>
        <v>268.10688874775451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7.0310929257814134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7.0310929257814134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852.00000000000011</v>
      </c>
      <c r="O185" s="13">
        <f>N185*VLOOKUP('Données projet'!$B$9,Paramètres!$A$1:$I$89,3,0)*VLOOKUP('Données projet'!$B$9,Paramètres!$A$1:$I$89,5,0)</f>
        <v>420.88800000000009</v>
      </c>
      <c r="P185" s="13">
        <f t="shared" si="141"/>
        <v>95.998759891259041</v>
      </c>
      <c r="Q185" s="20">
        <f t="shared" si="162"/>
        <v>900.24444014394294</v>
      </c>
      <c r="R185" s="59">
        <f t="shared" si="109"/>
        <v>1193.5777734772762</v>
      </c>
      <c r="S185" s="59">
        <f ca="1">AVERAGE(OFFSET($R$3,0,0,'Données projet'!$E$9+1,1))-AVERAGE(OFFSET($H$3,0,0,'Données projet'!$E$9+1,1))</f>
        <v>434.08297999735811</v>
      </c>
      <c r="T185" s="59">
        <f t="shared" si="142"/>
        <v>371.04090283546122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21.0937415628911</v>
      </c>
      <c r="AA185" s="21">
        <f>EXP(-LN(2)/25)*AA184+(1-EXP(-LN(2)/25))/(LN(2)/25)*Calculateur!V185*Calculateur!X185*VLOOKUP('Données projet'!$B$9,Paramètres!$A$1:$I$89,3,0)*0.475*44/12</f>
        <v>0.76436790017293343</v>
      </c>
      <c r="AB185" s="21">
        <f>EXP(-LN(2)/2)*AB184+(1-EXP(-LN(2)/2))/(LN(2)/2)*V185*Y185*VLOOKUP('Données projet'!$B$9,Paramètres!$A$1:$I$89,3,0)*0.475*44/12</f>
        <v>9.9472101901686246E-24</v>
      </c>
      <c r="AC185" s="22">
        <f t="shared" si="163"/>
        <v>21.858109463064032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367.99999999999972</v>
      </c>
      <c r="AJ185" s="13">
        <f>AI185*VLOOKUP('Données projet'!$B$10,Paramètres!$A$1:$I$89,3,0)*VLOOKUP('Données projet'!$B$10,Paramètres!$A$1:$I$89,5,0)</f>
        <v>292.78079999999977</v>
      </c>
      <c r="AK185" s="13">
        <f t="shared" si="164"/>
        <v>69.660903052386217</v>
      </c>
      <c r="AL185" s="20">
        <f t="shared" si="165"/>
        <v>631.25263281623893</v>
      </c>
      <c r="AM185" s="59">
        <f t="shared" si="113"/>
        <v>924.58596614957219</v>
      </c>
      <c r="AN185" s="59">
        <f ca="1">AVERAGE(OFFSET($AM$3,0,0,'Données projet'!$E$10+1,1))-AVERAGE(OFFSET($H$3,0,0,'Données projet'!$E$10+1,1))</f>
        <v>331.52724290297675</v>
      </c>
      <c r="AO185" s="59">
        <f t="shared" si="144"/>
        <v>322.79102610158054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8.1756765484779876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8.1756765484779876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367.99999999999972</v>
      </c>
      <c r="BE185" s="13">
        <f>BD185*VLOOKUP('Données projet'!$B$11,Paramètres!$A$1:$I$89,3,0)*VLOOKUP('Données projet'!$B$11,Paramètres!$A$1:$I$89,5,0)</f>
        <v>246.8543999999998</v>
      </c>
      <c r="BF185" s="13">
        <f t="shared" si="167"/>
        <v>59.911862368716115</v>
      </c>
      <c r="BG185" s="20">
        <f t="shared" si="168"/>
        <v>534.28457362551353</v>
      </c>
      <c r="BH185" s="59">
        <f t="shared" si="116"/>
        <v>827.61790695884679</v>
      </c>
      <c r="BI185" s="59">
        <f ca="1">AVERAGE(OFFSET($BH$3,0,0,'Données projet'!$E$11+1,1))-AVERAGE(OFFSET($H$3,0,0,'Données projet'!$E$11+1,1))</f>
        <v>273.84349636755343</v>
      </c>
      <c r="BJ185" s="59">
        <f t="shared" si="146"/>
        <v>268.10688874775451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6.8932174820500665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6.8932174820500665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852.00000000000011</v>
      </c>
      <c r="O186" s="13">
        <f>N186*VLOOKUP('Données projet'!$B$9,Paramètres!$A$1:$I$89,3,0)*VLOOKUP('Données projet'!$B$9,Paramètres!$A$1:$I$89,5,0)</f>
        <v>420.88800000000009</v>
      </c>
      <c r="P186" s="13">
        <f t="shared" si="141"/>
        <v>95.998759891259041</v>
      </c>
      <c r="Q186" s="20">
        <f t="shared" si="162"/>
        <v>900.24444014394294</v>
      </c>
      <c r="R186" s="59">
        <f t="shared" si="109"/>
        <v>1193.5777734772762</v>
      </c>
      <c r="S186" s="59">
        <f ca="1">AVERAGE(OFFSET($R$3,0,0,'Données projet'!$E$9+1,1))-AVERAGE(OFFSET($H$3,0,0,'Données projet'!$E$9+1,1))</f>
        <v>434.08297999735811</v>
      </c>
      <c r="T186" s="59">
        <f t="shared" si="142"/>
        <v>371.04090283546122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20.680106156754757</v>
      </c>
      <c r="AA186" s="21">
        <f>EXP(-LN(2)/25)*AA185+(1-EXP(-LN(2)/25))/(LN(2)/25)*Calculateur!V186*Calculateur!X186*VLOOKUP('Données projet'!$B$9,Paramètres!$A$1:$I$89,3,0)*0.475*44/12</f>
        <v>0.74346621974634364</v>
      </c>
      <c r="AB186" s="21">
        <f>EXP(-LN(2)/2)*AB185+(1-EXP(-LN(2)/2))/(LN(2)/2)*V186*Y186*VLOOKUP('Données projet'!$B$9,Paramètres!$A$1:$I$89,3,0)*0.475*44/12</f>
        <v>7.0337397793561612E-24</v>
      </c>
      <c r="AC186" s="22">
        <f t="shared" si="163"/>
        <v>21.423572376501102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367.99999999999972</v>
      </c>
      <c r="AJ186" s="13">
        <f>AI186*VLOOKUP('Données projet'!$B$10,Paramètres!$A$1:$I$89,3,0)*VLOOKUP('Données projet'!$B$10,Paramètres!$A$1:$I$89,5,0)</f>
        <v>292.78079999999977</v>
      </c>
      <c r="AK186" s="13">
        <f t="shared" si="164"/>
        <v>69.660903052386217</v>
      </c>
      <c r="AL186" s="20">
        <f t="shared" si="165"/>
        <v>631.25263281623893</v>
      </c>
      <c r="AM186" s="59">
        <f t="shared" si="113"/>
        <v>924.58596614957219</v>
      </c>
      <c r="AN186" s="59">
        <f ca="1">AVERAGE(OFFSET($AM$3,0,0,'Données projet'!$E$10+1,1))-AVERAGE(OFFSET($H$3,0,0,'Données projet'!$E$10+1,1))</f>
        <v>331.52724290297675</v>
      </c>
      <c r="AO186" s="59">
        <f t="shared" si="144"/>
        <v>322.79102610158054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8.015356518032636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8.015356518032636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367.99999999999972</v>
      </c>
      <c r="BE186" s="13">
        <f>BD186*VLOOKUP('Données projet'!$B$11,Paramètres!$A$1:$I$89,3,0)*VLOOKUP('Données projet'!$B$11,Paramètres!$A$1:$I$89,5,0)</f>
        <v>246.8543999999998</v>
      </c>
      <c r="BF186" s="13">
        <f t="shared" si="167"/>
        <v>59.911862368716115</v>
      </c>
      <c r="BG186" s="20">
        <f t="shared" si="168"/>
        <v>534.28457362551353</v>
      </c>
      <c r="BH186" s="59">
        <f t="shared" si="116"/>
        <v>827.61790695884679</v>
      </c>
      <c r="BI186" s="59">
        <f ca="1">AVERAGE(OFFSET($BH$3,0,0,'Données projet'!$E$11+1,1))-AVERAGE(OFFSET($H$3,0,0,'Données projet'!$E$11+1,1))</f>
        <v>273.84349636755343</v>
      </c>
      <c r="BJ186" s="59">
        <f t="shared" si="146"/>
        <v>268.10688874775451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6.7580456916745737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6.7580456916745737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852.00000000000011</v>
      </c>
      <c r="O187" s="13">
        <f>N187*VLOOKUP('Données projet'!$B$9,Paramètres!$A$1:$I$89,3,0)*VLOOKUP('Données projet'!$B$9,Paramètres!$A$1:$I$89,5,0)</f>
        <v>420.88800000000009</v>
      </c>
      <c r="P187" s="13">
        <f t="shared" si="141"/>
        <v>95.998759891259041</v>
      </c>
      <c r="Q187" s="20">
        <f t="shared" si="162"/>
        <v>900.24444014394294</v>
      </c>
      <c r="R187" s="59">
        <f t="shared" si="109"/>
        <v>1193.5777734772762</v>
      </c>
      <c r="S187" s="59">
        <f ca="1">AVERAGE(OFFSET($R$3,0,0,'Données projet'!$E$9+1,1))-AVERAGE(OFFSET($H$3,0,0,'Données projet'!$E$9+1,1))</f>
        <v>434.08297999735811</v>
      </c>
      <c r="T187" s="59">
        <f t="shared" si="142"/>
        <v>371.04090283546122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20.274581888640061</v>
      </c>
      <c r="AA187" s="21">
        <f>EXP(-LN(2)/25)*AA186+(1-EXP(-LN(2)/25))/(LN(2)/25)*Calculateur!V187*Calculateur!X187*VLOOKUP('Données projet'!$B$9,Paramètres!$A$1:$I$89,3,0)*0.475*44/12</f>
        <v>0.72313609687019054</v>
      </c>
      <c r="AB187" s="21">
        <f>EXP(-LN(2)/2)*AB186+(1-EXP(-LN(2)/2))/(LN(2)/2)*V187*Y187*VLOOKUP('Données projet'!$B$9,Paramètres!$A$1:$I$89,3,0)*0.475*44/12</f>
        <v>4.9736050950843123E-24</v>
      </c>
      <c r="AC187" s="22">
        <f t="shared" si="163"/>
        <v>20.997717985510253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367.99999999999972</v>
      </c>
      <c r="AJ187" s="13">
        <f>AI187*VLOOKUP('Données projet'!$B$10,Paramètres!$A$1:$I$89,3,0)*VLOOKUP('Données projet'!$B$10,Paramètres!$A$1:$I$89,5,0)</f>
        <v>292.78079999999977</v>
      </c>
      <c r="AK187" s="13">
        <f t="shared" si="164"/>
        <v>69.660903052386217</v>
      </c>
      <c r="AL187" s="20">
        <f t="shared" si="165"/>
        <v>631.25263281623893</v>
      </c>
      <c r="AM187" s="59">
        <f t="shared" si="113"/>
        <v>924.58596614957219</v>
      </c>
      <c r="AN187" s="59">
        <f ca="1">AVERAGE(OFFSET($AM$3,0,0,'Données projet'!$E$10+1,1))-AVERAGE(OFFSET($H$3,0,0,'Données projet'!$E$10+1,1))</f>
        <v>331.52724290297675</v>
      </c>
      <c r="AO187" s="59">
        <f t="shared" si="144"/>
        <v>322.79102610158054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7.8581802655987545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7.8581802655987545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367.99999999999972</v>
      </c>
      <c r="BE187" s="13">
        <f>BD187*VLOOKUP('Données projet'!$B$11,Paramètres!$A$1:$I$89,3,0)*VLOOKUP('Données projet'!$B$11,Paramètres!$A$1:$I$89,5,0)</f>
        <v>246.8543999999998</v>
      </c>
      <c r="BF187" s="13">
        <f t="shared" si="167"/>
        <v>59.911862368716115</v>
      </c>
      <c r="BG187" s="20">
        <f t="shared" si="168"/>
        <v>534.28457362551353</v>
      </c>
      <c r="BH187" s="59">
        <f t="shared" si="116"/>
        <v>827.61790695884679</v>
      </c>
      <c r="BI187" s="59">
        <f ca="1">AVERAGE(OFFSET($BH$3,0,0,'Données projet'!$E$11+1,1))-AVERAGE(OFFSET($H$3,0,0,'Données projet'!$E$11+1,1))</f>
        <v>273.84349636755343</v>
      </c>
      <c r="BJ187" s="59">
        <f t="shared" si="146"/>
        <v>268.10688874775451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6.6255245376616934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6.6255245376616934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852.00000000000011</v>
      </c>
      <c r="O188" s="13">
        <f>N188*VLOOKUP('Données projet'!$B$9,Paramètres!$A$1:$I$89,3,0)*VLOOKUP('Données projet'!$B$9,Paramètres!$A$1:$I$89,5,0)</f>
        <v>420.88800000000009</v>
      </c>
      <c r="P188" s="13">
        <f t="shared" si="141"/>
        <v>95.998759891259041</v>
      </c>
      <c r="Q188" s="20">
        <f t="shared" si="162"/>
        <v>900.24444014394294</v>
      </c>
      <c r="R188" s="59">
        <f t="shared" si="109"/>
        <v>1193.5777734772762</v>
      </c>
      <c r="S188" s="59">
        <f ca="1">AVERAGE(OFFSET($R$3,0,0,'Données projet'!$E$9+1,1))-AVERAGE(OFFSET($H$3,0,0,'Données projet'!$E$9+1,1))</f>
        <v>434.08297999735811</v>
      </c>
      <c r="T188" s="59">
        <f t="shared" si="142"/>
        <v>371.04090283546122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19.877009704077715</v>
      </c>
      <c r="AA188" s="21">
        <f>EXP(-LN(2)/25)*AA187+(1-EXP(-LN(2)/25))/(LN(2)/25)*Calculateur!V188*Calculateur!X188*VLOOKUP('Données projet'!$B$9,Paramètres!$A$1:$I$89,3,0)*0.475*44/12</f>
        <v>0.70336190227320061</v>
      </c>
      <c r="AB188" s="21">
        <f>EXP(-LN(2)/2)*AB187+(1-EXP(-LN(2)/2))/(LN(2)/2)*V188*Y188*VLOOKUP('Données projet'!$B$9,Paramètres!$A$1:$I$89,3,0)*0.475*44/12</f>
        <v>3.5168698896780806E-24</v>
      </c>
      <c r="AC188" s="22">
        <f t="shared" si="163"/>
        <v>20.580371606350916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367.99999999999972</v>
      </c>
      <c r="AJ188" s="13">
        <f>AI188*VLOOKUP('Données projet'!$B$10,Paramètres!$A$1:$I$89,3,0)*VLOOKUP('Données projet'!$B$10,Paramètres!$A$1:$I$89,5,0)</f>
        <v>292.78079999999977</v>
      </c>
      <c r="AK188" s="13">
        <f t="shared" si="164"/>
        <v>69.660903052386217</v>
      </c>
      <c r="AL188" s="20">
        <f t="shared" si="165"/>
        <v>631.25263281623893</v>
      </c>
      <c r="AM188" s="59">
        <f t="shared" si="113"/>
        <v>924.58596614957219</v>
      </c>
      <c r="AN188" s="59">
        <f ca="1">AVERAGE(OFFSET($AM$3,0,0,'Données projet'!$E$10+1,1))-AVERAGE(OFFSET($H$3,0,0,'Données projet'!$E$10+1,1))</f>
        <v>331.52724290297675</v>
      </c>
      <c r="AO188" s="59">
        <f t="shared" si="144"/>
        <v>322.79102610158054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7.7040861436070536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7.7040861436070536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367.99999999999972</v>
      </c>
      <c r="BE188" s="13">
        <f>BD188*VLOOKUP('Données projet'!$B$11,Paramètres!$A$1:$I$89,3,0)*VLOOKUP('Données projet'!$B$11,Paramètres!$A$1:$I$89,5,0)</f>
        <v>246.8543999999998</v>
      </c>
      <c r="BF188" s="13">
        <f t="shared" si="167"/>
        <v>59.911862368716115</v>
      </c>
      <c r="BG188" s="20">
        <f t="shared" si="168"/>
        <v>534.28457362551353</v>
      </c>
      <c r="BH188" s="59">
        <f t="shared" si="116"/>
        <v>827.61790695884679</v>
      </c>
      <c r="BI188" s="59">
        <f ca="1">AVERAGE(OFFSET($BH$3,0,0,'Données projet'!$E$11+1,1))-AVERAGE(OFFSET($H$3,0,0,'Données projet'!$E$11+1,1))</f>
        <v>273.84349636755343</v>
      </c>
      <c r="BJ188" s="59">
        <f t="shared" si="146"/>
        <v>268.10688874775451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6.4956020426490833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6.4956020426490833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852.00000000000011</v>
      </c>
      <c r="O189" s="13">
        <f>N189*VLOOKUP('Données projet'!$B$9,Paramètres!$A$1:$I$89,3,0)*VLOOKUP('Données projet'!$B$9,Paramètres!$A$1:$I$89,5,0)</f>
        <v>420.88800000000009</v>
      </c>
      <c r="P189" s="13">
        <f t="shared" si="141"/>
        <v>95.998759891259041</v>
      </c>
      <c r="Q189" s="20">
        <f t="shared" si="162"/>
        <v>900.24444014394294</v>
      </c>
      <c r="R189" s="59">
        <f t="shared" si="109"/>
        <v>1193.5777734772762</v>
      </c>
      <c r="S189" s="59">
        <f ca="1">AVERAGE(OFFSET($R$3,0,0,'Données projet'!$E$9+1,1))-AVERAGE(OFFSET($H$3,0,0,'Données projet'!$E$9+1,1))</f>
        <v>434.08297999735811</v>
      </c>
      <c r="T189" s="59">
        <f t="shared" si="142"/>
        <v>371.04090283546122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19.487233667559547</v>
      </c>
      <c r="AA189" s="21">
        <f>EXP(-LN(2)/25)*AA188+(1-EXP(-LN(2)/25))/(LN(2)/25)*Calculateur!V189*Calculateur!X189*VLOOKUP('Données projet'!$B$9,Paramètres!$A$1:$I$89,3,0)*0.475*44/12</f>
        <v>0.68412843406734503</v>
      </c>
      <c r="AB189" s="21">
        <f>EXP(-LN(2)/2)*AB188+(1-EXP(-LN(2)/2))/(LN(2)/2)*V189*Y189*VLOOKUP('Données projet'!$B$9,Paramètres!$A$1:$I$89,3,0)*0.475*44/12</f>
        <v>2.4868025475421562E-24</v>
      </c>
      <c r="AC189" s="22">
        <f t="shared" si="163"/>
        <v>20.17136210162689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367.99999999999972</v>
      </c>
      <c r="AJ189" s="13">
        <f>AI189*VLOOKUP('Données projet'!$B$10,Paramètres!$A$1:$I$89,3,0)*VLOOKUP('Données projet'!$B$10,Paramètres!$A$1:$I$89,5,0)</f>
        <v>292.78079999999977</v>
      </c>
      <c r="AK189" s="13">
        <f t="shared" si="164"/>
        <v>69.660903052386217</v>
      </c>
      <c r="AL189" s="20">
        <f t="shared" si="165"/>
        <v>631.25263281623893</v>
      </c>
      <c r="AM189" s="59">
        <f t="shared" si="113"/>
        <v>924.58596614957219</v>
      </c>
      <c r="AN189" s="59">
        <f ca="1">AVERAGE(OFFSET($AM$3,0,0,'Données projet'!$E$10+1,1))-AVERAGE(OFFSET($H$3,0,0,'Données projet'!$E$10+1,1))</f>
        <v>331.52724290297675</v>
      </c>
      <c r="AO189" s="59">
        <f t="shared" si="144"/>
        <v>322.79102610158054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7.5530137133594764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7.5530137133594764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367.99999999999972</v>
      </c>
      <c r="BE189" s="13">
        <f>BD189*VLOOKUP('Données projet'!$B$11,Paramètres!$A$1:$I$89,3,0)*VLOOKUP('Données projet'!$B$11,Paramètres!$A$1:$I$89,5,0)</f>
        <v>246.8543999999998</v>
      </c>
      <c r="BF189" s="13">
        <f t="shared" si="167"/>
        <v>59.911862368716115</v>
      </c>
      <c r="BG189" s="20">
        <f t="shared" si="168"/>
        <v>534.28457362551353</v>
      </c>
      <c r="BH189" s="59">
        <f t="shared" si="116"/>
        <v>827.61790695884679</v>
      </c>
      <c r="BI189" s="59">
        <f ca="1">AVERAGE(OFFSET($BH$3,0,0,'Données projet'!$E$11+1,1))-AVERAGE(OFFSET($H$3,0,0,'Données projet'!$E$11+1,1))</f>
        <v>273.84349636755343</v>
      </c>
      <c r="BJ189" s="59">
        <f t="shared" si="146"/>
        <v>268.10688874775451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6.3682272485187728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6.3682272485187728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852.00000000000011</v>
      </c>
      <c r="O190" s="13">
        <f>N190*VLOOKUP('Données projet'!$B$9,Paramètres!$A$1:$I$89,3,0)*VLOOKUP('Données projet'!$B$9,Paramètres!$A$1:$I$89,5,0)</f>
        <v>420.88800000000009</v>
      </c>
      <c r="P190" s="13">
        <f t="shared" si="141"/>
        <v>95.998759891259041</v>
      </c>
      <c r="Q190" s="20">
        <f t="shared" si="162"/>
        <v>900.24444014394294</v>
      </c>
      <c r="R190" s="59">
        <f t="shared" si="109"/>
        <v>1193.5777734772762</v>
      </c>
      <c r="S190" s="59">
        <f ca="1">AVERAGE(OFFSET($R$3,0,0,'Données projet'!$E$9+1,1))-AVERAGE(OFFSET($H$3,0,0,'Données projet'!$E$9+1,1))</f>
        <v>434.08297999735811</v>
      </c>
      <c r="T190" s="59">
        <f t="shared" si="142"/>
        <v>371.04090283546122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19.105100901377593</v>
      </c>
      <c r="AA190" s="21">
        <f>EXP(-LN(2)/25)*AA189+(1-EXP(-LN(2)/25))/(LN(2)/25)*Calculateur!V190*Calculateur!X190*VLOOKUP('Données projet'!$B$9,Paramètres!$A$1:$I$89,3,0)*0.475*44/12</f>
        <v>0.66542090606102278</v>
      </c>
      <c r="AB190" s="21">
        <f>EXP(-LN(2)/2)*AB189+(1-EXP(-LN(2)/2))/(LN(2)/2)*V190*Y190*VLOOKUP('Données projet'!$B$9,Paramètres!$A$1:$I$89,3,0)*0.475*44/12</f>
        <v>1.7584349448390403E-24</v>
      </c>
      <c r="AC190" s="22">
        <f t="shared" si="163"/>
        <v>19.770521807438616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367.99999999999972</v>
      </c>
      <c r="AJ190" s="13">
        <f>AI190*VLOOKUP('Données projet'!$B$10,Paramètres!$A$1:$I$89,3,0)*VLOOKUP('Données projet'!$B$10,Paramètres!$A$1:$I$89,5,0)</f>
        <v>292.78079999999977</v>
      </c>
      <c r="AK190" s="13">
        <f t="shared" si="164"/>
        <v>69.660903052386217</v>
      </c>
      <c r="AL190" s="20">
        <f t="shared" si="165"/>
        <v>631.25263281623893</v>
      </c>
      <c r="AM190" s="59">
        <f t="shared" si="113"/>
        <v>924.58596614957219</v>
      </c>
      <c r="AN190" s="59">
        <f ca="1">AVERAGE(OFFSET($AM$3,0,0,'Données projet'!$E$10+1,1))-AVERAGE(OFFSET($H$3,0,0,'Données projet'!$E$10+1,1))</f>
        <v>331.52724290297675</v>
      </c>
      <c r="AO190" s="59">
        <f t="shared" si="144"/>
        <v>322.79102610158054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7.4049037213239703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7.4049037213239703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367.99999999999972</v>
      </c>
      <c r="BE190" s="13">
        <f>BD190*VLOOKUP('Données projet'!$B$11,Paramètres!$A$1:$I$89,3,0)*VLOOKUP('Données projet'!$B$11,Paramètres!$A$1:$I$89,5,0)</f>
        <v>246.8543999999998</v>
      </c>
      <c r="BF190" s="13">
        <f t="shared" si="167"/>
        <v>59.911862368716115</v>
      </c>
      <c r="BG190" s="20">
        <f t="shared" si="168"/>
        <v>534.28457362551353</v>
      </c>
      <c r="BH190" s="59">
        <f t="shared" si="116"/>
        <v>827.61790695884679</v>
      </c>
      <c r="BI190" s="59">
        <f ca="1">AVERAGE(OFFSET($BH$3,0,0,'Données projet'!$E$11+1,1))-AVERAGE(OFFSET($H$3,0,0,'Données projet'!$E$11+1,1))</f>
        <v>273.84349636755343</v>
      </c>
      <c r="BJ190" s="59">
        <f t="shared" si="146"/>
        <v>268.10688874775451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6.2433501964104048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6.2433501964104048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852.00000000000011</v>
      </c>
      <c r="O191" s="13">
        <f>N191*VLOOKUP('Données projet'!$B$9,Paramètres!$A$1:$I$89,3,0)*VLOOKUP('Données projet'!$B$9,Paramètres!$A$1:$I$89,5,0)</f>
        <v>420.88800000000009</v>
      </c>
      <c r="P191" s="13">
        <f t="shared" si="141"/>
        <v>95.998759891259041</v>
      </c>
      <c r="Q191" s="20">
        <f t="shared" si="162"/>
        <v>900.24444014394294</v>
      </c>
      <c r="R191" s="59">
        <f t="shared" si="109"/>
        <v>1193.5777734772762</v>
      </c>
      <c r="S191" s="59">
        <f ca="1">AVERAGE(OFFSET($R$3,0,0,'Données projet'!$E$9+1,1))-AVERAGE(OFFSET($H$3,0,0,'Données projet'!$E$9+1,1))</f>
        <v>434.08297999735811</v>
      </c>
      <c r="T191" s="59">
        <f t="shared" si="142"/>
        <v>371.04090283546122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18.730461525662495</v>
      </c>
      <c r="AA191" s="21">
        <f>EXP(-LN(2)/25)*AA190+(1-EXP(-LN(2)/25))/(LN(2)/25)*Calculateur!V191*Calculateur!X191*VLOOKUP('Données projet'!$B$9,Paramètres!$A$1:$I$89,3,0)*0.475*44/12</f>
        <v>0.64722493639181955</v>
      </c>
      <c r="AB191" s="21">
        <f>EXP(-LN(2)/2)*AB190+(1-EXP(-LN(2)/2))/(LN(2)/2)*V191*Y191*VLOOKUP('Données projet'!$B$9,Paramètres!$A$1:$I$89,3,0)*0.475*44/12</f>
        <v>1.2434012737710781E-24</v>
      </c>
      <c r="AC191" s="22">
        <f t="shared" si="163"/>
        <v>19.377686462054314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367.99999999999972</v>
      </c>
      <c r="AJ191" s="13">
        <f>AI191*VLOOKUP('Données projet'!$B$10,Paramètres!$A$1:$I$89,3,0)*VLOOKUP('Données projet'!$B$10,Paramètres!$A$1:$I$89,5,0)</f>
        <v>292.78079999999977</v>
      </c>
      <c r="AK191" s="13">
        <f t="shared" si="164"/>
        <v>69.660903052386217</v>
      </c>
      <c r="AL191" s="20">
        <f t="shared" si="165"/>
        <v>631.25263281623893</v>
      </c>
      <c r="AM191" s="59">
        <f t="shared" si="113"/>
        <v>924.58596614957219</v>
      </c>
      <c r="AN191" s="59">
        <f ca="1">AVERAGE(OFFSET($AM$3,0,0,'Données projet'!$E$10+1,1))-AVERAGE(OFFSET($H$3,0,0,'Données projet'!$E$10+1,1))</f>
        <v>331.52724290297675</v>
      </c>
      <c r="AO191" s="59">
        <f t="shared" si="144"/>
        <v>322.79102610158054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7.2596980758941054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7.2596980758941054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367.99999999999972</v>
      </c>
      <c r="BE191" s="13">
        <f>BD191*VLOOKUP('Données projet'!$B$11,Paramètres!$A$1:$I$89,3,0)*VLOOKUP('Données projet'!$B$11,Paramètres!$A$1:$I$89,5,0)</f>
        <v>246.8543999999998</v>
      </c>
      <c r="BF191" s="13">
        <f t="shared" si="167"/>
        <v>59.911862368716115</v>
      </c>
      <c r="BG191" s="20">
        <f t="shared" si="168"/>
        <v>534.28457362551353</v>
      </c>
      <c r="BH191" s="59">
        <f t="shared" si="116"/>
        <v>827.61790695884679</v>
      </c>
      <c r="BI191" s="59">
        <f ca="1">AVERAGE(OFFSET($BH$3,0,0,'Données projet'!$E$11+1,1))-AVERAGE(OFFSET($H$3,0,0,'Données projet'!$E$11+1,1))</f>
        <v>273.84349636755343</v>
      </c>
      <c r="BJ191" s="59">
        <f t="shared" si="146"/>
        <v>268.10688874775451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6.1209219071264007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6.1209219071264007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852.00000000000011</v>
      </c>
      <c r="O192" s="13">
        <f>N192*VLOOKUP('Données projet'!$B$9,Paramètres!$A$1:$I$89,3,0)*VLOOKUP('Données projet'!$B$9,Paramètres!$A$1:$I$89,5,0)</f>
        <v>420.88800000000009</v>
      </c>
      <c r="P192" s="13">
        <f t="shared" si="141"/>
        <v>95.998759891259041</v>
      </c>
      <c r="Q192" s="20">
        <f t="shared" si="162"/>
        <v>900.24444014394294</v>
      </c>
      <c r="R192" s="59">
        <f t="shared" si="109"/>
        <v>1193.5777734772762</v>
      </c>
      <c r="S192" s="59">
        <f ca="1">AVERAGE(OFFSET($R$3,0,0,'Données projet'!$E$9+1,1))-AVERAGE(OFFSET($H$3,0,0,'Données projet'!$E$9+1,1))</f>
        <v>434.08297999735811</v>
      </c>
      <c r="T192" s="59">
        <f t="shared" si="142"/>
        <v>371.04090283546122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18.363168599597714</v>
      </c>
      <c r="AA192" s="21">
        <f>EXP(-LN(2)/25)*AA191+(1-EXP(-LN(2)/25))/(LN(2)/25)*Calculateur!V192*Calculateur!X192*VLOOKUP('Données projet'!$B$9,Paramètres!$A$1:$I$89,3,0)*0.475*44/12</f>
        <v>0.62952653647010515</v>
      </c>
      <c r="AB192" s="21">
        <f>EXP(-LN(2)/2)*AB191+(1-EXP(-LN(2)/2))/(LN(2)/2)*V192*Y192*VLOOKUP('Données projet'!$B$9,Paramètres!$A$1:$I$89,3,0)*0.475*44/12</f>
        <v>8.7921747241952015E-25</v>
      </c>
      <c r="AC192" s="22">
        <f t="shared" si="163"/>
        <v>18.99269513606782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367.99999999999972</v>
      </c>
      <c r="AJ192" s="13">
        <f>AI192*VLOOKUP('Données projet'!$B$10,Paramètres!$A$1:$I$89,3,0)*VLOOKUP('Données projet'!$B$10,Paramètres!$A$1:$I$89,5,0)</f>
        <v>292.78079999999977</v>
      </c>
      <c r="AK192" s="13">
        <f t="shared" si="164"/>
        <v>69.660903052386217</v>
      </c>
      <c r="AL192" s="20">
        <f t="shared" si="165"/>
        <v>631.25263281623893</v>
      </c>
      <c r="AM192" s="59">
        <f t="shared" si="113"/>
        <v>924.58596614957219</v>
      </c>
      <c r="AN192" s="59">
        <f ca="1">AVERAGE(OFFSET($AM$3,0,0,'Données projet'!$E$10+1,1))-AVERAGE(OFFSET($H$3,0,0,'Données projet'!$E$10+1,1))</f>
        <v>331.52724290297675</v>
      </c>
      <c r="AO192" s="59">
        <f t="shared" si="144"/>
        <v>322.79102610158054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7.1173398246044215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7.1173398246044215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367.99999999999972</v>
      </c>
      <c r="BE192" s="13">
        <f>BD192*VLOOKUP('Données projet'!$B$11,Paramètres!$A$1:$I$89,3,0)*VLOOKUP('Données projet'!$B$11,Paramètres!$A$1:$I$89,5,0)</f>
        <v>246.8543999999998</v>
      </c>
      <c r="BF192" s="13">
        <f t="shared" si="167"/>
        <v>59.911862368716115</v>
      </c>
      <c r="BG192" s="20">
        <f t="shared" si="168"/>
        <v>534.28457362551353</v>
      </c>
      <c r="BH192" s="59">
        <f t="shared" si="116"/>
        <v>827.61790695884679</v>
      </c>
      <c r="BI192" s="59">
        <f ca="1">AVERAGE(OFFSET($BH$3,0,0,'Données projet'!$E$11+1,1))-AVERAGE(OFFSET($H$3,0,0,'Données projet'!$E$11+1,1))</f>
        <v>273.84349636755343</v>
      </c>
      <c r="BJ192" s="59">
        <f t="shared" si="146"/>
        <v>268.10688874775451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6.0008943619213735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6.0008943619213735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852.00000000000011</v>
      </c>
      <c r="O193" s="13">
        <f>N193*VLOOKUP('Données projet'!$B$9,Paramètres!$A$1:$I$89,3,0)*VLOOKUP('Données projet'!$B$9,Paramètres!$A$1:$I$89,5,0)</f>
        <v>420.88800000000009</v>
      </c>
      <c r="P193" s="13">
        <f t="shared" si="141"/>
        <v>95.998759891259041</v>
      </c>
      <c r="Q193" s="20">
        <f t="shared" si="162"/>
        <v>900.24444014394294</v>
      </c>
      <c r="R193" s="59">
        <f t="shared" si="109"/>
        <v>1193.5777734772762</v>
      </c>
      <c r="S193" s="59">
        <f ca="1">AVERAGE(OFFSET($R$3,0,0,'Données projet'!$E$9+1,1))-AVERAGE(OFFSET($H$3,0,0,'Données projet'!$E$9+1,1))</f>
        <v>434.08297999735811</v>
      </c>
      <c r="T193" s="59">
        <f t="shared" si="142"/>
        <v>371.04090283546122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18.003078063786496</v>
      </c>
      <c r="AA193" s="21">
        <f>EXP(-LN(2)/25)*AA192+(1-EXP(-LN(2)/25))/(LN(2)/25)*Calculateur!V193*Calculateur!X193*VLOOKUP('Données projet'!$B$9,Paramètres!$A$1:$I$89,3,0)*0.475*44/12</f>
        <v>0.6123121002249684</v>
      </c>
      <c r="AB193" s="21">
        <f>EXP(-LN(2)/2)*AB192+(1-EXP(-LN(2)/2))/(LN(2)/2)*V193*Y193*VLOOKUP('Données projet'!$B$9,Paramètres!$A$1:$I$89,3,0)*0.475*44/12</f>
        <v>6.2170063688553904E-25</v>
      </c>
      <c r="AC193" s="22">
        <f t="shared" si="163"/>
        <v>18.615390164011465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367.99999999999972</v>
      </c>
      <c r="AJ193" s="13">
        <f>AI193*VLOOKUP('Données projet'!$B$10,Paramètres!$A$1:$I$89,3,0)*VLOOKUP('Données projet'!$B$10,Paramètres!$A$1:$I$89,5,0)</f>
        <v>292.78079999999977</v>
      </c>
      <c r="AK193" s="13">
        <f t="shared" si="164"/>
        <v>69.660903052386217</v>
      </c>
      <c r="AL193" s="20">
        <f t="shared" si="165"/>
        <v>631.25263281623893</v>
      </c>
      <c r="AM193" s="59">
        <f t="shared" si="113"/>
        <v>924.58596614957219</v>
      </c>
      <c r="AN193" s="59">
        <f ca="1">AVERAGE(OFFSET($AM$3,0,0,'Données projet'!$E$10+1,1))-AVERAGE(OFFSET($H$3,0,0,'Données projet'!$E$10+1,1))</f>
        <v>331.52724290297675</v>
      </c>
      <c r="AO193" s="59">
        <f t="shared" si="144"/>
        <v>322.79102610158054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6.9777731317925689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6.9777731317925689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367.99999999999972</v>
      </c>
      <c r="BE193" s="13">
        <f>BD193*VLOOKUP('Données projet'!$B$11,Paramètres!$A$1:$I$89,3,0)*VLOOKUP('Données projet'!$B$11,Paramètres!$A$1:$I$89,5,0)</f>
        <v>246.8543999999998</v>
      </c>
      <c r="BF193" s="13">
        <f t="shared" si="167"/>
        <v>59.911862368716115</v>
      </c>
      <c r="BG193" s="20">
        <f t="shared" si="168"/>
        <v>534.28457362551353</v>
      </c>
      <c r="BH193" s="59">
        <f t="shared" si="116"/>
        <v>827.61790695884679</v>
      </c>
      <c r="BI193" s="59">
        <f ca="1">AVERAGE(OFFSET($BH$3,0,0,'Données projet'!$E$11+1,1))-AVERAGE(OFFSET($H$3,0,0,'Données projet'!$E$11+1,1))</f>
        <v>273.84349636755343</v>
      </c>
      <c r="BJ193" s="59">
        <f t="shared" si="146"/>
        <v>268.10688874775451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5.8832204836682429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5.8832204836682429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852.00000000000011</v>
      </c>
      <c r="O194" s="13">
        <f>N194*VLOOKUP('Données projet'!$B$9,Paramètres!$A$1:$I$89,3,0)*VLOOKUP('Données projet'!$B$9,Paramètres!$A$1:$I$89,5,0)</f>
        <v>420.88800000000009</v>
      </c>
      <c r="P194" s="13">
        <f t="shared" si="141"/>
        <v>95.998759891259041</v>
      </c>
      <c r="Q194" s="20">
        <f t="shared" si="162"/>
        <v>900.24444014394294</v>
      </c>
      <c r="R194" s="59">
        <f t="shared" si="109"/>
        <v>1193.5777734772762</v>
      </c>
      <c r="S194" s="59">
        <f ca="1">AVERAGE(OFFSET($R$3,0,0,'Données projet'!$E$9+1,1))-AVERAGE(OFFSET($H$3,0,0,'Données projet'!$E$9+1,1))</f>
        <v>434.08297999735811</v>
      </c>
      <c r="T194" s="59">
        <f t="shared" si="142"/>
        <v>371.04090283546122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17.650048683748999</v>
      </c>
      <c r="AA194" s="21">
        <f>EXP(-LN(2)/25)*AA193+(1-EXP(-LN(2)/25))/(LN(2)/25)*Calculateur!V194*Calculateur!X194*VLOOKUP('Données projet'!$B$9,Paramètres!$A$1:$I$89,3,0)*0.475*44/12</f>
        <v>0.59556839364422276</v>
      </c>
      <c r="AB194" s="21">
        <f>EXP(-LN(2)/2)*AB193+(1-EXP(-LN(2)/2))/(LN(2)/2)*V194*Y194*VLOOKUP('Données projet'!$B$9,Paramètres!$A$1:$I$89,3,0)*0.475*44/12</f>
        <v>4.3960873620976008E-25</v>
      </c>
      <c r="AC194" s="22">
        <f t="shared" si="163"/>
        <v>18.24561707739322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367.99999999999972</v>
      </c>
      <c r="AJ194" s="13">
        <f>AI194*VLOOKUP('Données projet'!$B$10,Paramètres!$A$1:$I$89,3,0)*VLOOKUP('Données projet'!$B$10,Paramètres!$A$1:$I$89,5,0)</f>
        <v>292.78079999999977</v>
      </c>
      <c r="AK194" s="13">
        <f t="shared" si="164"/>
        <v>69.660903052386217</v>
      </c>
      <c r="AL194" s="20">
        <f t="shared" si="165"/>
        <v>631.25263281623893</v>
      </c>
      <c r="AM194" s="59">
        <f t="shared" si="113"/>
        <v>924.58596614957219</v>
      </c>
      <c r="AN194" s="59">
        <f ca="1">AVERAGE(OFFSET($AM$3,0,0,'Données projet'!$E$10+1,1))-AVERAGE(OFFSET($H$3,0,0,'Données projet'!$E$10+1,1))</f>
        <v>331.52724290297675</v>
      </c>
      <c r="AO194" s="59">
        <f t="shared" si="144"/>
        <v>322.79102610158054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6.8409432566994797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6.8409432566994797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367.99999999999972</v>
      </c>
      <c r="BE194" s="13">
        <f>BD194*VLOOKUP('Données projet'!$B$11,Paramètres!$A$1:$I$89,3,0)*VLOOKUP('Données projet'!$B$11,Paramètres!$A$1:$I$89,5,0)</f>
        <v>246.8543999999998</v>
      </c>
      <c r="BF194" s="13">
        <f t="shared" si="167"/>
        <v>59.911862368716115</v>
      </c>
      <c r="BG194" s="20">
        <f t="shared" si="168"/>
        <v>534.28457362551353</v>
      </c>
      <c r="BH194" s="59">
        <f t="shared" si="116"/>
        <v>827.61790695884679</v>
      </c>
      <c r="BI194" s="59">
        <f ca="1">AVERAGE(OFFSET($BH$3,0,0,'Données projet'!$E$11+1,1))-AVERAGE(OFFSET($H$3,0,0,'Données projet'!$E$11+1,1))</f>
        <v>273.84349636755343</v>
      </c>
      <c r="BJ194" s="59">
        <f t="shared" si="146"/>
        <v>268.10688874775451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5.7678541183936778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5.7678541183936778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852.00000000000011</v>
      </c>
      <c r="O195" s="13">
        <f>N195*VLOOKUP('Données projet'!$B$9,Paramètres!$A$1:$I$89,3,0)*VLOOKUP('Données projet'!$B$9,Paramètres!$A$1:$I$89,5,0)</f>
        <v>420.88800000000009</v>
      </c>
      <c r="P195" s="13">
        <f t="shared" si="141"/>
        <v>95.998759891259041</v>
      </c>
      <c r="Q195" s="20">
        <f t="shared" si="162"/>
        <v>900.24444014394294</v>
      </c>
      <c r="R195" s="59">
        <f t="shared" ref="R195:R203" si="191">Q195+(I195+J195)*44/12</f>
        <v>1193.5777734772762</v>
      </c>
      <c r="S195" s="59">
        <f ca="1">AVERAGE(OFFSET($R$3,0,0,'Données projet'!$E$9+1,1))-AVERAGE(OFFSET($H$3,0,0,'Données projet'!$E$9+1,1))</f>
        <v>434.08297999735811</v>
      </c>
      <c r="T195" s="59">
        <f t="shared" si="142"/>
        <v>371.04090283546122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17.303941994527378</v>
      </c>
      <c r="AA195" s="21">
        <f>EXP(-LN(2)/25)*AA194+(1-EXP(-LN(2)/25))/(LN(2)/25)*Calculateur!V195*Calculateur!X195*VLOOKUP('Données projet'!$B$9,Paramètres!$A$1:$I$89,3,0)*0.475*44/12</f>
        <v>0.57928254460044082</v>
      </c>
      <c r="AB195" s="21">
        <f>EXP(-LN(2)/2)*AB194+(1-EXP(-LN(2)/2))/(LN(2)/2)*V195*Y195*VLOOKUP('Données projet'!$B$9,Paramètres!$A$1:$I$89,3,0)*0.475*44/12</f>
        <v>3.1085031844276952E-25</v>
      </c>
      <c r="AC195" s="22">
        <f t="shared" si="163"/>
        <v>17.88322453912782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367.99999999999972</v>
      </c>
      <c r="AJ195" s="13">
        <f>AI195*VLOOKUP('Données projet'!$B$10,Paramètres!$A$1:$I$89,3,0)*VLOOKUP('Données projet'!$B$10,Paramètres!$A$1:$I$89,5,0)</f>
        <v>292.78079999999977</v>
      </c>
      <c r="AK195" s="13">
        <f t="shared" si="164"/>
        <v>69.660903052386217</v>
      </c>
      <c r="AL195" s="20">
        <f t="shared" si="165"/>
        <v>631.25263281623893</v>
      </c>
      <c r="AM195" s="59">
        <f t="shared" si="113"/>
        <v>924.58596614957219</v>
      </c>
      <c r="AN195" s="59">
        <f ca="1">AVERAGE(OFFSET($AM$3,0,0,'Données projet'!$E$10+1,1))-AVERAGE(OFFSET($H$3,0,0,'Données projet'!$E$10+1,1))</f>
        <v>331.52724290297675</v>
      </c>
      <c r="AO195" s="59">
        <f t="shared" si="144"/>
        <v>322.79102610158054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6.7067965319989833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6.7067965319989833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367.99999999999972</v>
      </c>
      <c r="BE195" s="13">
        <f>BD195*VLOOKUP('Données projet'!$B$11,Paramètres!$A$1:$I$89,3,0)*VLOOKUP('Données projet'!$B$11,Paramètres!$A$1:$I$89,5,0)</f>
        <v>246.8543999999998</v>
      </c>
      <c r="BF195" s="13">
        <f t="shared" si="167"/>
        <v>59.911862368716115</v>
      </c>
      <c r="BG195" s="20">
        <f t="shared" si="168"/>
        <v>534.28457362551353</v>
      </c>
      <c r="BH195" s="59">
        <f t="shared" si="116"/>
        <v>827.61790695884679</v>
      </c>
      <c r="BI195" s="59">
        <f ca="1">AVERAGE(OFFSET($BH$3,0,0,'Données projet'!$E$11+1,1))-AVERAGE(OFFSET($H$3,0,0,'Données projet'!$E$11+1,1))</f>
        <v>273.84349636755343</v>
      </c>
      <c r="BJ195" s="59">
        <f t="shared" si="146"/>
        <v>268.10688874775451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5.654750017175612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5.654750017175612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852.00000000000011</v>
      </c>
      <c r="O196" s="13">
        <f>N196*VLOOKUP('Données projet'!$B$9,Paramètres!$A$1:$I$89,3,0)*VLOOKUP('Données projet'!$B$9,Paramètres!$A$1:$I$89,5,0)</f>
        <v>420.88800000000009</v>
      </c>
      <c r="P196" s="13">
        <f t="shared" si="141"/>
        <v>95.998759891259041</v>
      </c>
      <c r="Q196" s="20">
        <f t="shared" si="162"/>
        <v>900.24444014394294</v>
      </c>
      <c r="R196" s="59">
        <f t="shared" si="191"/>
        <v>1193.5777734772762</v>
      </c>
      <c r="S196" s="59">
        <f ca="1">AVERAGE(OFFSET($R$3,0,0,'Données projet'!$E$9+1,1))-AVERAGE(OFFSET($H$3,0,0,'Données projet'!$E$9+1,1))</f>
        <v>434.08297999735811</v>
      </c>
      <c r="T196" s="59">
        <f t="shared" si="142"/>
        <v>371.04090283546122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16.964622246377157</v>
      </c>
      <c r="AA196" s="21">
        <f>EXP(-LN(2)/25)*AA195+(1-EXP(-LN(2)/25))/(LN(2)/25)*Calculateur!V196*Calculateur!X196*VLOOKUP('Données projet'!$B$9,Paramètres!$A$1:$I$89,3,0)*0.475*44/12</f>
        <v>0.56344203295519668</v>
      </c>
      <c r="AB196" s="21">
        <f>EXP(-LN(2)/2)*AB195+(1-EXP(-LN(2)/2))/(LN(2)/2)*V196*Y196*VLOOKUP('Données projet'!$B$9,Paramètres!$A$1:$I$89,3,0)*0.475*44/12</f>
        <v>2.1980436810488004E-25</v>
      </c>
      <c r="AC196" s="22">
        <f t="shared" si="163"/>
        <v>17.528064279332355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367.99999999999972</v>
      </c>
      <c r="AJ196" s="13">
        <f>AI196*VLOOKUP('Données projet'!$B$10,Paramètres!$A$1:$I$89,3,0)*VLOOKUP('Données projet'!$B$10,Paramètres!$A$1:$I$89,5,0)</f>
        <v>292.78079999999977</v>
      </c>
      <c r="AK196" s="13">
        <f t="shared" si="164"/>
        <v>69.660903052386217</v>
      </c>
      <c r="AL196" s="20">
        <f t="shared" si="165"/>
        <v>631.25263281623893</v>
      </c>
      <c r="AM196" s="59">
        <f t="shared" ref="AM196:AM203" si="193">AL196+(AD196+AE196)*44/12</f>
        <v>924.58596614957219</v>
      </c>
      <c r="AN196" s="59">
        <f ca="1">AVERAGE(OFFSET($AM$3,0,0,'Données projet'!$E$10+1,1))-AVERAGE(OFFSET($H$3,0,0,'Données projet'!$E$10+1,1))</f>
        <v>331.52724290297675</v>
      </c>
      <c r="AO196" s="59">
        <f t="shared" si="144"/>
        <v>322.79102610158054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6.5752803427484405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6.5752803427484405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367.99999999999972</v>
      </c>
      <c r="BE196" s="13">
        <f>BD196*VLOOKUP('Données projet'!$B$11,Paramètres!$A$1:$I$89,3,0)*VLOOKUP('Données projet'!$B$11,Paramètres!$A$1:$I$89,5,0)</f>
        <v>246.8543999999998</v>
      </c>
      <c r="BF196" s="13">
        <f t="shared" si="167"/>
        <v>59.911862368716115</v>
      </c>
      <c r="BG196" s="20">
        <f t="shared" si="168"/>
        <v>534.28457362551353</v>
      </c>
      <c r="BH196" s="59">
        <f t="shared" ref="BH196:BH203" si="194">BG196+(AY196+AZ196)*44/12</f>
        <v>827.61790695884679</v>
      </c>
      <c r="BI196" s="59">
        <f ca="1">AVERAGE(OFFSET($BH$3,0,0,'Données projet'!$E$11+1,1))-AVERAGE(OFFSET($H$3,0,0,'Données projet'!$E$11+1,1))</f>
        <v>273.84349636755343</v>
      </c>
      <c r="BJ196" s="59">
        <f t="shared" si="146"/>
        <v>268.10688874775451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5.5438638183957423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5.5438638183957423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852.00000000000011</v>
      </c>
      <c r="O197" s="13">
        <f>N197*VLOOKUP('Données projet'!$B$9,Paramètres!$A$1:$I$89,3,0)*VLOOKUP('Données projet'!$B$9,Paramètres!$A$1:$I$89,5,0)</f>
        <v>420.88800000000009</v>
      </c>
      <c r="P197" s="13">
        <f t="shared" ref="P197:P203" si="203">EXP(-1.0587+0.8836*LN(O197)+0.284)</f>
        <v>95.998759891259041</v>
      </c>
      <c r="Q197" s="20">
        <f t="shared" si="162"/>
        <v>900.24444014394294</v>
      </c>
      <c r="R197" s="59">
        <f t="shared" si="191"/>
        <v>1193.5777734772762</v>
      </c>
      <c r="S197" s="59">
        <f ca="1">AVERAGE(OFFSET($R$3,0,0,'Données projet'!$E$9+1,1))-AVERAGE(OFFSET($H$3,0,0,'Données projet'!$E$9+1,1))</f>
        <v>434.08297999735811</v>
      </c>
      <c r="T197" s="59">
        <f t="shared" ref="T197:T203" si="204">$T$3</f>
        <v>371.04090283546122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16.631956351523552</v>
      </c>
      <c r="AA197" s="21">
        <f>EXP(-LN(2)/25)*AA196+(1-EXP(-LN(2)/25))/(LN(2)/25)*Calculateur!V197*Calculateur!X197*VLOOKUP('Données projet'!$B$9,Paramètres!$A$1:$I$89,3,0)*0.475*44/12</f>
        <v>0.54803468093390806</v>
      </c>
      <c r="AB197" s="21">
        <f>EXP(-LN(2)/2)*AB196+(1-EXP(-LN(2)/2))/(LN(2)/2)*V197*Y197*VLOOKUP('Données projet'!$B$9,Paramètres!$A$1:$I$89,3,0)*0.475*44/12</f>
        <v>1.5542515922138476E-25</v>
      </c>
      <c r="AC197" s="22">
        <f t="shared" si="163"/>
        <v>17.179991032457462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367.99999999999972</v>
      </c>
      <c r="AJ197" s="13">
        <f>AI197*VLOOKUP('Données projet'!$B$10,Paramètres!$A$1:$I$89,3,0)*VLOOKUP('Données projet'!$B$10,Paramètres!$A$1:$I$89,5,0)</f>
        <v>292.78079999999977</v>
      </c>
      <c r="AK197" s="13">
        <f t="shared" si="164"/>
        <v>69.660903052386217</v>
      </c>
      <c r="AL197" s="20">
        <f t="shared" si="165"/>
        <v>631.25263281623893</v>
      </c>
      <c r="AM197" s="59">
        <f t="shared" si="193"/>
        <v>924.58596614957219</v>
      </c>
      <c r="AN197" s="59">
        <f ca="1">AVERAGE(OFFSET($AM$3,0,0,'Données projet'!$E$10+1,1))-AVERAGE(OFFSET($H$3,0,0,'Données projet'!$E$10+1,1))</f>
        <v>331.52724290297675</v>
      </c>
      <c r="AO197" s="59">
        <f t="shared" ref="AO197:AO203" si="205">$AO$3</f>
        <v>322.79102610158054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6.4463431057521463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6.4463431057521463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367.99999999999972</v>
      </c>
      <c r="BE197" s="13">
        <f>BD197*VLOOKUP('Données projet'!$B$11,Paramètres!$A$1:$I$89,3,0)*VLOOKUP('Données projet'!$B$11,Paramètres!$A$1:$I$89,5,0)</f>
        <v>246.8543999999998</v>
      </c>
      <c r="BF197" s="13">
        <f t="shared" si="167"/>
        <v>59.911862368716115</v>
      </c>
      <c r="BG197" s="20">
        <f t="shared" si="168"/>
        <v>534.28457362551353</v>
      </c>
      <c r="BH197" s="59">
        <f t="shared" si="194"/>
        <v>827.61790695884679</v>
      </c>
      <c r="BI197" s="59">
        <f ca="1">AVERAGE(OFFSET($BH$3,0,0,'Données projet'!$E$11+1,1))-AVERAGE(OFFSET($H$3,0,0,'Données projet'!$E$11+1,1))</f>
        <v>273.84349636755343</v>
      </c>
      <c r="BJ197" s="59">
        <f t="shared" ref="BJ197:BJ203" si="206">$BJ$3</f>
        <v>268.10688874775451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5.4351520303400429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5.4351520303400429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852.00000000000011</v>
      </c>
      <c r="O198" s="13">
        <f>N198*VLOOKUP('Données projet'!$B$9,Paramètres!$A$1:$I$89,3,0)*VLOOKUP('Données projet'!$B$9,Paramètres!$A$1:$I$89,5,0)</f>
        <v>420.88800000000009</v>
      </c>
      <c r="P198" s="13">
        <f t="shared" si="203"/>
        <v>95.998759891259041</v>
      </c>
      <c r="Q198" s="20">
        <f t="shared" si="162"/>
        <v>900.24444014394294</v>
      </c>
      <c r="R198" s="59">
        <f t="shared" si="191"/>
        <v>1193.5777734772762</v>
      </c>
      <c r="S198" s="59">
        <f ca="1">AVERAGE(OFFSET($R$3,0,0,'Données projet'!$E$9+1,1))-AVERAGE(OFFSET($H$3,0,0,'Données projet'!$E$9+1,1))</f>
        <v>434.08297999735811</v>
      </c>
      <c r="T198" s="59">
        <f t="shared" si="204"/>
        <v>371.04090283546122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16.305813831961864</v>
      </c>
      <c r="AA198" s="21">
        <f>EXP(-LN(2)/25)*AA197+(1-EXP(-LN(2)/25))/(LN(2)/25)*Calculateur!V198*Calculateur!X198*VLOOKUP('Données projet'!$B$9,Paramètres!$A$1:$I$89,3,0)*0.475*44/12</f>
        <v>0.53304864376387906</v>
      </c>
      <c r="AB198" s="21">
        <f>EXP(-LN(2)/2)*AB197+(1-EXP(-LN(2)/2))/(LN(2)/2)*V198*Y198*VLOOKUP('Données projet'!$B$9,Paramètres!$A$1:$I$89,3,0)*0.475*44/12</f>
        <v>1.0990218405244002E-25</v>
      </c>
      <c r="AC198" s="22">
        <f t="shared" si="163"/>
        <v>16.838862475725744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367.99999999999972</v>
      </c>
      <c r="AJ198" s="13">
        <f>AI198*VLOOKUP('Données projet'!$B$10,Paramètres!$A$1:$I$89,3,0)*VLOOKUP('Données projet'!$B$10,Paramètres!$A$1:$I$89,5,0)</f>
        <v>292.78079999999977</v>
      </c>
      <c r="AK198" s="13">
        <f t="shared" si="164"/>
        <v>69.660903052386217</v>
      </c>
      <c r="AL198" s="20">
        <f t="shared" si="165"/>
        <v>631.25263281623893</v>
      </c>
      <c r="AM198" s="59">
        <f t="shared" si="193"/>
        <v>924.58596614957219</v>
      </c>
      <c r="AN198" s="59">
        <f ca="1">AVERAGE(OFFSET($AM$3,0,0,'Données projet'!$E$10+1,1))-AVERAGE(OFFSET($H$3,0,0,'Données projet'!$E$10+1,1))</f>
        <v>331.52724290297675</v>
      </c>
      <c r="AO198" s="59">
        <f t="shared" si="205"/>
        <v>322.79102610158054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6.3199342493294006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6.3199342493294006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367.99999999999972</v>
      </c>
      <c r="BE198" s="13">
        <f>BD198*VLOOKUP('Données projet'!$B$11,Paramètres!$A$1:$I$89,3,0)*VLOOKUP('Données projet'!$B$11,Paramètres!$A$1:$I$89,5,0)</f>
        <v>246.8543999999998</v>
      </c>
      <c r="BF198" s="13">
        <f t="shared" si="167"/>
        <v>59.911862368716115</v>
      </c>
      <c r="BG198" s="20">
        <f t="shared" si="168"/>
        <v>534.28457362551353</v>
      </c>
      <c r="BH198" s="59">
        <f t="shared" si="194"/>
        <v>827.61790695884679</v>
      </c>
      <c r="BI198" s="59">
        <f ca="1">AVERAGE(OFFSET($BH$3,0,0,'Données projet'!$E$11+1,1))-AVERAGE(OFFSET($H$3,0,0,'Données projet'!$E$11+1,1))</f>
        <v>273.84349636755343</v>
      </c>
      <c r="BJ198" s="59">
        <f t="shared" si="206"/>
        <v>268.10688874775451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5.3285720141404731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5.3285720141404731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852.00000000000011</v>
      </c>
      <c r="O199" s="13">
        <f>N199*VLOOKUP('Données projet'!$B$9,Paramètres!$A$1:$I$89,3,0)*VLOOKUP('Données projet'!$B$9,Paramètres!$A$1:$I$89,5,0)</f>
        <v>420.88800000000009</v>
      </c>
      <c r="P199" s="13">
        <f t="shared" si="203"/>
        <v>95.998759891259041</v>
      </c>
      <c r="Q199" s="20">
        <f t="shared" si="162"/>
        <v>900.24444014394294</v>
      </c>
      <c r="R199" s="59">
        <f t="shared" si="191"/>
        <v>1193.5777734772762</v>
      </c>
      <c r="S199" s="59">
        <f ca="1">AVERAGE(OFFSET($R$3,0,0,'Données projet'!$E$9+1,1))-AVERAGE(OFFSET($H$3,0,0,'Données projet'!$E$9+1,1))</f>
        <v>434.08297999735811</v>
      </c>
      <c r="T199" s="59">
        <f t="shared" si="204"/>
        <v>371.04090283546122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15.986066768281486</v>
      </c>
      <c r="AA199" s="21">
        <f>EXP(-LN(2)/25)*AA198+(1-EXP(-LN(2)/25))/(LN(2)/25)*Calculateur!V199*Calculateur!X199*VLOOKUP('Données projet'!$B$9,Paramètres!$A$1:$I$89,3,0)*0.475*44/12</f>
        <v>0.51847240056834587</v>
      </c>
      <c r="AB199" s="21">
        <f>EXP(-LN(2)/2)*AB198+(1-EXP(-LN(2)/2))/(LN(2)/2)*V199*Y199*VLOOKUP('Données projet'!$B$9,Paramètres!$A$1:$I$89,3,0)*0.475*44/12</f>
        <v>7.771257961069238E-26</v>
      </c>
      <c r="AC199" s="22">
        <f t="shared" si="163"/>
        <v>16.504539168849831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367.99999999999972</v>
      </c>
      <c r="AJ199" s="13">
        <f>AI199*VLOOKUP('Données projet'!$B$10,Paramètres!$A$1:$I$89,3,0)*VLOOKUP('Données projet'!$B$10,Paramètres!$A$1:$I$89,5,0)</f>
        <v>292.78079999999977</v>
      </c>
      <c r="AK199" s="13">
        <f t="shared" si="164"/>
        <v>69.660903052386217</v>
      </c>
      <c r="AL199" s="20">
        <f t="shared" si="165"/>
        <v>631.25263281623893</v>
      </c>
      <c r="AM199" s="59">
        <f t="shared" si="193"/>
        <v>924.58596614957219</v>
      </c>
      <c r="AN199" s="59">
        <f ca="1">AVERAGE(OFFSET($AM$3,0,0,'Données projet'!$E$10+1,1))-AVERAGE(OFFSET($H$3,0,0,'Données projet'!$E$10+1,1))</f>
        <v>331.52724290297675</v>
      </c>
      <c r="AO199" s="59">
        <f t="shared" si="205"/>
        <v>322.79102610158054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6.1960041934793155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6.1960041934793155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367.99999999999972</v>
      </c>
      <c r="BE199" s="13">
        <f>BD199*VLOOKUP('Données projet'!$B$11,Paramètres!$A$1:$I$89,3,0)*VLOOKUP('Données projet'!$B$11,Paramètres!$A$1:$I$89,5,0)</f>
        <v>246.8543999999998</v>
      </c>
      <c r="BF199" s="13">
        <f t="shared" si="167"/>
        <v>59.911862368716115</v>
      </c>
      <c r="BG199" s="20">
        <f t="shared" si="168"/>
        <v>534.28457362551353</v>
      </c>
      <c r="BH199" s="59">
        <f t="shared" si="194"/>
        <v>827.61790695884679</v>
      </c>
      <c r="BI199" s="59">
        <f ca="1">AVERAGE(OFFSET($BH$3,0,0,'Données projet'!$E$11+1,1))-AVERAGE(OFFSET($H$3,0,0,'Données projet'!$E$11+1,1))</f>
        <v>273.84349636755343</v>
      </c>
      <c r="BJ199" s="59">
        <f t="shared" si="206"/>
        <v>268.10688874775451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5.2240819670511858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5.2240819670511858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852.00000000000011</v>
      </c>
      <c r="O200" s="13">
        <f>N200*VLOOKUP('Données projet'!$B$9,Paramètres!$A$1:$I$89,3,0)*VLOOKUP('Données projet'!$B$9,Paramètres!$A$1:$I$89,5,0)</f>
        <v>420.88800000000009</v>
      </c>
      <c r="P200" s="13">
        <f t="shared" si="203"/>
        <v>95.998759891259041</v>
      </c>
      <c r="Q200" s="20">
        <f t="shared" si="162"/>
        <v>900.24444014394294</v>
      </c>
      <c r="R200" s="59">
        <f t="shared" si="191"/>
        <v>1193.5777734772762</v>
      </c>
      <c r="S200" s="59">
        <f ca="1">AVERAGE(OFFSET($R$3,0,0,'Données projet'!$E$9+1,1))-AVERAGE(OFFSET($H$3,0,0,'Données projet'!$E$9+1,1))</f>
        <v>434.08297999735811</v>
      </c>
      <c r="T200" s="59">
        <f t="shared" si="204"/>
        <v>371.04090283546122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15.672589749493429</v>
      </c>
      <c r="AA200" s="21">
        <f>EXP(-LN(2)/25)*AA199+(1-EXP(-LN(2)/25))/(LN(2)/25)*Calculateur!V200*Calculateur!X200*VLOOKUP('Données projet'!$B$9,Paramètres!$A$1:$I$89,3,0)*0.475*44/12</f>
        <v>0.50429474550952591</v>
      </c>
      <c r="AB200" s="21">
        <f>EXP(-LN(2)/2)*AB199+(1-EXP(-LN(2)/2))/(LN(2)/2)*V200*Y200*VLOOKUP('Données projet'!$B$9,Paramètres!$A$1:$I$89,3,0)*0.475*44/12</f>
        <v>5.4951092026220009E-26</v>
      </c>
      <c r="AC200" s="22">
        <f t="shared" si="163"/>
        <v>16.176884495002955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367.99999999999972</v>
      </c>
      <c r="AJ200" s="13">
        <f>AI200*VLOOKUP('Données projet'!$B$10,Paramètres!$A$1:$I$89,3,0)*VLOOKUP('Données projet'!$B$10,Paramètres!$A$1:$I$89,5,0)</f>
        <v>292.78079999999977</v>
      </c>
      <c r="AK200" s="13">
        <f t="shared" si="164"/>
        <v>69.660903052386217</v>
      </c>
      <c r="AL200" s="20">
        <f t="shared" si="165"/>
        <v>631.25263281623893</v>
      </c>
      <c r="AM200" s="59">
        <f t="shared" si="193"/>
        <v>924.58596614957219</v>
      </c>
      <c r="AN200" s="59">
        <f ca="1">AVERAGE(OFFSET($AM$3,0,0,'Données projet'!$E$10+1,1))-AVERAGE(OFFSET($H$3,0,0,'Données projet'!$E$10+1,1))</f>
        <v>331.52724290297675</v>
      </c>
      <c r="AO200" s="59">
        <f t="shared" si="205"/>
        <v>322.79102610158054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6.0745043304345803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6.0745043304345803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367.99999999999972</v>
      </c>
      <c r="BE200" s="13">
        <f>BD200*VLOOKUP('Données projet'!$B$11,Paramètres!$A$1:$I$89,3,0)*VLOOKUP('Données projet'!$B$11,Paramètres!$A$1:$I$89,5,0)</f>
        <v>246.8543999999998</v>
      </c>
      <c r="BF200" s="13">
        <f t="shared" si="167"/>
        <v>59.911862368716115</v>
      </c>
      <c r="BG200" s="20">
        <f t="shared" si="168"/>
        <v>534.28457362551353</v>
      </c>
      <c r="BH200" s="59">
        <f t="shared" si="194"/>
        <v>827.61790695884679</v>
      </c>
      <c r="BI200" s="59">
        <f ca="1">AVERAGE(OFFSET($BH$3,0,0,'Données projet'!$E$11+1,1))-AVERAGE(OFFSET($H$3,0,0,'Données projet'!$E$11+1,1))</f>
        <v>273.84349636755343</v>
      </c>
      <c r="BJ200" s="59">
        <f t="shared" si="206"/>
        <v>268.10688874775451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5.1216409060526837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5.1216409060526837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852.00000000000011</v>
      </c>
      <c r="O201" s="13">
        <f>N201*VLOOKUP('Données projet'!$B$9,Paramètres!$A$1:$I$89,3,0)*VLOOKUP('Données projet'!$B$9,Paramètres!$A$1:$I$89,5,0)</f>
        <v>420.88800000000009</v>
      </c>
      <c r="P201" s="13">
        <f t="shared" si="203"/>
        <v>95.998759891259041</v>
      </c>
      <c r="Q201" s="20">
        <f t="shared" si="162"/>
        <v>900.24444014394294</v>
      </c>
      <c r="R201" s="59">
        <f t="shared" si="191"/>
        <v>1193.5777734772762</v>
      </c>
      <c r="S201" s="59">
        <f ca="1">AVERAGE(OFFSET($R$3,0,0,'Données projet'!$E$9+1,1))-AVERAGE(OFFSET($H$3,0,0,'Données projet'!$E$9+1,1))</f>
        <v>434.08297999735811</v>
      </c>
      <c r="T201" s="59">
        <f t="shared" si="204"/>
        <v>371.04090283546122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15.365259823841704</v>
      </c>
      <c r="AA201" s="21">
        <f>EXP(-LN(2)/25)*AA200+(1-EXP(-LN(2)/25))/(LN(2)/25)*Calculateur!V201*Calculateur!X201*VLOOKUP('Données projet'!$B$9,Paramètres!$A$1:$I$89,3,0)*0.475*44/12</f>
        <v>0.49050477917385982</v>
      </c>
      <c r="AB201" s="21">
        <f>EXP(-LN(2)/2)*AB200+(1-EXP(-LN(2)/2))/(LN(2)/2)*V201*Y201*VLOOKUP('Données projet'!$B$9,Paramètres!$A$1:$I$89,3,0)*0.475*44/12</f>
        <v>3.885628980534619E-26</v>
      </c>
      <c r="AC201" s="22">
        <f t="shared" si="163"/>
        <v>15.855764603015563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367.99999999999972</v>
      </c>
      <c r="AJ201" s="13">
        <f>AI201*VLOOKUP('Données projet'!$B$10,Paramètres!$A$1:$I$89,3,0)*VLOOKUP('Données projet'!$B$10,Paramètres!$A$1:$I$89,5,0)</f>
        <v>292.78079999999977</v>
      </c>
      <c r="AK201" s="13">
        <f t="shared" si="164"/>
        <v>69.660903052386217</v>
      </c>
      <c r="AL201" s="20">
        <f t="shared" si="165"/>
        <v>631.25263281623893</v>
      </c>
      <c r="AM201" s="59">
        <f t="shared" si="193"/>
        <v>924.58596614957219</v>
      </c>
      <c r="AN201" s="59">
        <f ca="1">AVERAGE(OFFSET($AM$3,0,0,'Données projet'!$E$10+1,1))-AVERAGE(OFFSET($H$3,0,0,'Données projet'!$E$10+1,1))</f>
        <v>331.52724290297675</v>
      </c>
      <c r="AO201" s="59">
        <f t="shared" si="205"/>
        <v>322.79102610158054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5.9553870055965534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5.9553870055965534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367.99999999999972</v>
      </c>
      <c r="BE201" s="13">
        <f>BD201*VLOOKUP('Données projet'!$B$11,Paramètres!$A$1:$I$89,3,0)*VLOOKUP('Données projet'!$B$11,Paramètres!$A$1:$I$89,5,0)</f>
        <v>246.8543999999998</v>
      </c>
      <c r="BF201" s="13">
        <f t="shared" si="167"/>
        <v>59.911862368716115</v>
      </c>
      <c r="BG201" s="20">
        <f t="shared" si="168"/>
        <v>534.28457362551353</v>
      </c>
      <c r="BH201" s="59">
        <f t="shared" si="194"/>
        <v>827.61790695884679</v>
      </c>
      <c r="BI201" s="59">
        <f ca="1">AVERAGE(OFFSET($BH$3,0,0,'Données projet'!$E$11+1,1))-AVERAGE(OFFSET($H$3,0,0,'Données projet'!$E$11+1,1))</f>
        <v>273.84349636755343</v>
      </c>
      <c r="BJ201" s="59">
        <f t="shared" si="206"/>
        <v>268.10688874775451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5.0212086517774841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5.0212086517774841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852.00000000000011</v>
      </c>
      <c r="O202" s="13">
        <f>N202*VLOOKUP('Données projet'!$B$9,Paramètres!$A$1:$I$89,3,0)*VLOOKUP('Données projet'!$B$9,Paramètres!$A$1:$I$89,5,0)</f>
        <v>420.88800000000009</v>
      </c>
      <c r="P202" s="13">
        <f t="shared" si="203"/>
        <v>95.998759891259041</v>
      </c>
      <c r="Q202" s="20">
        <f t="shared" si="162"/>
        <v>900.24444014394294</v>
      </c>
      <c r="R202" s="59">
        <f t="shared" si="191"/>
        <v>1193.5777734772762</v>
      </c>
      <c r="S202" s="59">
        <f ca="1">AVERAGE(OFFSET($R$3,0,0,'Données projet'!$E$9+1,1))-AVERAGE(OFFSET($H$3,0,0,'Données projet'!$E$9+1,1))</f>
        <v>434.08297999735811</v>
      </c>
      <c r="T202" s="59">
        <f t="shared" si="204"/>
        <v>371.04090283546122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15.063956450579264</v>
      </c>
      <c r="AA202" s="21">
        <f>EXP(-LN(2)/25)*AA201+(1-EXP(-LN(2)/25))/(LN(2)/25)*Calculateur!V202*Calculateur!X202*VLOOKUP('Données projet'!$B$9,Paramètres!$A$1:$I$89,3,0)*0.475*44/12</f>
        <v>0.47709190019282532</v>
      </c>
      <c r="AB202" s="21">
        <f>EXP(-LN(2)/2)*AB201+(1-EXP(-LN(2)/2))/(LN(2)/2)*V202*Y202*VLOOKUP('Données projet'!$B$9,Paramètres!$A$1:$I$89,3,0)*0.475*44/12</f>
        <v>2.7475546013110005E-26</v>
      </c>
      <c r="AC202" s="22">
        <f t="shared" si="163"/>
        <v>15.541048350772089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367.99999999999972</v>
      </c>
      <c r="AJ202" s="13">
        <f>AI202*VLOOKUP('Données projet'!$B$10,Paramètres!$A$1:$I$89,3,0)*VLOOKUP('Données projet'!$B$10,Paramètres!$A$1:$I$89,5,0)</f>
        <v>292.78079999999977</v>
      </c>
      <c r="AK202" s="13">
        <f t="shared" si="164"/>
        <v>69.660903052386217</v>
      </c>
      <c r="AL202" s="20">
        <f t="shared" si="165"/>
        <v>631.25263281623893</v>
      </c>
      <c r="AM202" s="59">
        <f t="shared" si="193"/>
        <v>924.58596614957219</v>
      </c>
      <c r="AN202" s="59">
        <f ca="1">AVERAGE(OFFSET($AM$3,0,0,'Données projet'!$E$10+1,1))-AVERAGE(OFFSET($H$3,0,0,'Données projet'!$E$10+1,1))</f>
        <v>331.52724290297675</v>
      </c>
      <c r="AO202" s="59">
        <f t="shared" si="205"/>
        <v>322.79102610158054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5.8386054988442062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5.8386054988442062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367.99999999999972</v>
      </c>
      <c r="BE202" s="13">
        <f>BD202*VLOOKUP('Données projet'!$B$11,Paramètres!$A$1:$I$89,3,0)*VLOOKUP('Données projet'!$B$11,Paramètres!$A$1:$I$89,5,0)</f>
        <v>246.8543999999998</v>
      </c>
      <c r="BF202" s="13">
        <f t="shared" si="167"/>
        <v>59.911862368716115</v>
      </c>
      <c r="BG202" s="20">
        <f t="shared" si="168"/>
        <v>534.28457362551353</v>
      </c>
      <c r="BH202" s="59">
        <f t="shared" si="194"/>
        <v>827.61790695884679</v>
      </c>
      <c r="BI202" s="59">
        <f ca="1">AVERAGE(OFFSET($BH$3,0,0,'Données projet'!$E$11+1,1))-AVERAGE(OFFSET($H$3,0,0,'Données projet'!$E$11+1,1))</f>
        <v>273.84349636755343</v>
      </c>
      <c r="BJ202" s="59">
        <f t="shared" si="206"/>
        <v>268.10688874775451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4.9227458127509953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4.9227458127509953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852.00000000000011</v>
      </c>
      <c r="O203" s="13">
        <f>N203*VLOOKUP('Données projet'!$B$9,Paramètres!$A$1:$I$89,3,0)*VLOOKUP('Données projet'!$B$9,Paramètres!$A$1:$I$89,5,0)</f>
        <v>420.88800000000009</v>
      </c>
      <c r="P203" s="13">
        <f t="shared" si="203"/>
        <v>95.998759891259041</v>
      </c>
      <c r="Q203" s="20">
        <f t="shared" si="162"/>
        <v>900.24444014394294</v>
      </c>
      <c r="R203" s="59">
        <f t="shared" si="191"/>
        <v>1193.5777734772762</v>
      </c>
      <c r="S203" s="59">
        <f ca="1">AVERAGE(OFFSET($R$3,0,0,'Données projet'!$E$9+1,1))-AVERAGE(OFFSET($H$3,0,0,'Données projet'!$E$9+1,1))</f>
        <v>434.08297999735811</v>
      </c>
      <c r="T203" s="59">
        <f t="shared" si="204"/>
        <v>371.04090283546122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14.768561452689589</v>
      </c>
      <c r="AA203" s="21">
        <f>EXP(-LN(2)/25)*AA202+(1-EXP(-LN(2)/25))/(LN(2)/25)*Calculateur!V203*Calculateur!X203*VLOOKUP('Données projet'!$B$9,Paramètres!$A$1:$I$89,3,0)*0.475*44/12</f>
        <v>0.46404579709287991</v>
      </c>
      <c r="AB203" s="21">
        <f>EXP(-LN(2)/2)*AB202+(1-EXP(-LN(2)/2))/(LN(2)/2)*V203*Y203*VLOOKUP('Données projet'!$B$9,Paramètres!$A$1:$I$89,3,0)*0.475*44/12</f>
        <v>1.9428144902673095E-26</v>
      </c>
      <c r="AC203" s="22">
        <f t="shared" si="163"/>
        <v>15.232607249782468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367.99999999999972</v>
      </c>
      <c r="AJ203" s="13">
        <f>AI203*VLOOKUP('Données projet'!$B$10,Paramètres!$A$1:$I$89,3,0)*VLOOKUP('Données projet'!$B$10,Paramètres!$A$1:$I$89,5,0)</f>
        <v>292.78079999999977</v>
      </c>
      <c r="AK203" s="13">
        <f t="shared" si="164"/>
        <v>69.660903052386217</v>
      </c>
      <c r="AL203" s="20">
        <f t="shared" si="165"/>
        <v>631.25263281623893</v>
      </c>
      <c r="AM203" s="59">
        <f t="shared" si="193"/>
        <v>924.58596614957219</v>
      </c>
      <c r="AN203" s="59">
        <f ca="1">AVERAGE(OFFSET($AM$3,0,0,'Données projet'!$E$10+1,1))-AVERAGE(OFFSET($H$3,0,0,'Données projet'!$E$10+1,1))</f>
        <v>331.52724290297675</v>
      </c>
      <c r="AO203" s="59">
        <f t="shared" si="205"/>
        <v>322.79102610158054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5.7241140062095868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5.7241140062095868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367.99999999999972</v>
      </c>
      <c r="BE203" s="13">
        <f>BD203*VLOOKUP('Données projet'!$B$11,Paramètres!$A$1:$I$89,3,0)*VLOOKUP('Données projet'!$B$11,Paramètres!$A$1:$I$89,5,0)</f>
        <v>246.8543999999998</v>
      </c>
      <c r="BF203" s="13">
        <f t="shared" si="167"/>
        <v>59.911862368716115</v>
      </c>
      <c r="BG203" s="20">
        <f t="shared" si="168"/>
        <v>534.28457362551353</v>
      </c>
      <c r="BH203" s="59">
        <f t="shared" si="194"/>
        <v>827.61790695884679</v>
      </c>
      <c r="BI203" s="59">
        <f ca="1">AVERAGE(OFFSET($BH$3,0,0,'Données projet'!$E$11+1,1))-AVERAGE(OFFSET($H$3,0,0,'Données projet'!$E$11+1,1))</f>
        <v>273.84349636755343</v>
      </c>
      <c r="BJ203" s="59">
        <f t="shared" si="206"/>
        <v>268.10688874775451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4.8262137699414138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4.8262137699414138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1.3078136577370625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1.3423796509621049</v>
      </c>
      <c r="BA205" s="81">
        <f>EXP(LN('Données projet'!B88)/'Données projet'!A88)</f>
        <v>1.3423796509621049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7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8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7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9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9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8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7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8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8" t="s">
        <v>271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80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Sapin pectiné</v>
      </c>
      <c r="B6" s="144">
        <f>'Données projet'!D9</f>
        <v>0.57599999999999996</v>
      </c>
      <c r="C6" s="145">
        <f ca="1">IF(OR('Données projet'!B9="",'Données projet'!C9="",'Données projet'!C9=0%),0,Calculateur!S3)</f>
        <v>434.08297999735811</v>
      </c>
      <c r="D6" s="145">
        <f>IF(OR('Données projet'!B9="",'Données projet'!C9="",'Données projet'!C9=0%),0,Calculateur!T3)</f>
        <v>371.04090283546122</v>
      </c>
      <c r="E6" s="145">
        <f ca="1">MIN(C6,D6)</f>
        <v>371.04090283546122</v>
      </c>
      <c r="F6" s="145">
        <f ca="1">E6*B6</f>
        <v>213.71956003322566</v>
      </c>
      <c r="G6" s="145">
        <f ca="1">F6*(100%-'Données projet'!$C$24)*(100%-'Données projet'!$C$25)*(100%-'Données projet'!$C$26)*(100%-'Données projet'!$C$27)</f>
        <v>192.3476040299031</v>
      </c>
      <c r="H6" s="146">
        <f>IF(OR('Données projet'!B9="",'Données projet'!C9="",'Données projet'!C9=0%),0,AVERAGE(Calculateur!$AC$3:$AC$33)*B6)</f>
        <v>4.884334075345949</v>
      </c>
      <c r="I6" s="147">
        <f>H6*(100%-'Données projet'!$C$24)*(100%-'Données projet'!$C$25)*(100%-'Données projet'!$C$26)*(100%-'Données projet'!$C$27)</f>
        <v>4.3959006678113539</v>
      </c>
      <c r="J6" s="148">
        <f>IF(OR('Données projet'!B9="",'Données projet'!C9="",'Données projet'!C9=0%),0,SUM(Calculateur!$V$3:$V$33)*VLOOKUP('Données projet'!$B$9,Paramètres!$A$1:$I$89,9,0)*B6)</f>
        <v>48.792959999999994</v>
      </c>
      <c r="K6" s="149">
        <f>J6*(100%-'Données projet'!$C$24)*(100%-'Données projet'!$C$25)*(100%-'Données projet'!$C$26)*(100%-'Données projet'!$C$27)</f>
        <v>43.913663999999997</v>
      </c>
      <c r="L6" s="150">
        <f ca="1">G6+I6+K6</f>
        <v>240.65716869771444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Erable sycomore</v>
      </c>
      <c r="B7" s="152">
        <f>'Données projet'!D10</f>
        <v>0.57599999999999996</v>
      </c>
      <c r="C7" s="145">
        <f ca="1">IF(OR('Données projet'!B10="",'Données projet'!C10="",'Données projet'!C10=0%),0,Calculateur!AN3)</f>
        <v>331.52724290297675</v>
      </c>
      <c r="D7" s="145">
        <f>IF(OR('Données projet'!B10="",'Données projet'!C10="",'Données projet'!C10=0%),0,Calculateur!AO3)</f>
        <v>322.79102610158054</v>
      </c>
      <c r="E7" s="145">
        <f t="shared" ref="E7:E15" ca="1" si="0">MIN(C7,D7)</f>
        <v>322.79102610158054</v>
      </c>
      <c r="F7" s="145">
        <f t="shared" ref="F7:F15" ca="1" si="1">E7*B7</f>
        <v>185.92763103451037</v>
      </c>
      <c r="G7" s="145">
        <f ca="1">F7*(100%-'Données projet'!$C$24)*(100%-'Données projet'!$C$25)*(100%-'Données projet'!$C$26)*(100%-'Données projet'!$C$27)</f>
        <v>167.33486793105934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25.2</v>
      </c>
      <c r="K7" s="149">
        <f>J7*(100%-'Données projet'!$C$24)*(100%-'Données projet'!$C$25)*(100%-'Données projet'!$C$26)*(100%-'Données projet'!$C$27)</f>
        <v>22.68</v>
      </c>
      <c r="L7" s="150">
        <f t="shared" ref="L7:L15" ca="1" si="2">G7+I7+K7</f>
        <v>190.01486793105934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Tilleul</v>
      </c>
      <c r="B8" s="152">
        <f>'Données projet'!D11</f>
        <v>0.28799999999999998</v>
      </c>
      <c r="C8" s="145">
        <f ca="1">IF(OR('Données projet'!B11="",'Données projet'!C11="",'Données projet'!C11=0%),0,Calculateur!BI3)</f>
        <v>273.84349636755343</v>
      </c>
      <c r="D8" s="145">
        <f>IF(OR('Données projet'!B11="",'Données projet'!C11="",'Données projet'!C11=0%),0,Calculateur!BJ3)</f>
        <v>268.10688874775451</v>
      </c>
      <c r="E8" s="145">
        <f t="shared" ca="1" si="0"/>
        <v>268.10688874775451</v>
      </c>
      <c r="F8" s="145">
        <f t="shared" ca="1" si="1"/>
        <v>77.214783959353298</v>
      </c>
      <c r="G8" s="145">
        <f ca="1">F8*(100%-'Données projet'!$C$24)*(100%-'Données projet'!$C$25)*(100%-'Données projet'!$C$26)*(100%-'Données projet'!$C$27)</f>
        <v>69.493305563417977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12.6</v>
      </c>
      <c r="K8" s="149">
        <f>J8*(100%-'Données projet'!$C$24)*(100%-'Données projet'!$C$25)*(100%-'Données projet'!$C$26)*(100%-'Données projet'!$C$27)</f>
        <v>11.34</v>
      </c>
      <c r="L8" s="150">
        <f t="shared" ca="1" si="2"/>
        <v>80.83330556341798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476.86197502708933</v>
      </c>
      <c r="G16" s="164">
        <f t="shared" ca="1" si="3"/>
        <v>429.17577752438035</v>
      </c>
      <c r="H16" s="165">
        <f t="shared" si="3"/>
        <v>4.884334075345949</v>
      </c>
      <c r="I16" s="165">
        <f t="shared" si="3"/>
        <v>4.3959006678113539</v>
      </c>
      <c r="J16" s="166">
        <f t="shared" si="3"/>
        <v>86.592959999999991</v>
      </c>
      <c r="K16" s="166">
        <f t="shared" si="3"/>
        <v>77.933663999999993</v>
      </c>
      <c r="L16" s="167">
        <f t="shared" ca="1" si="3"/>
        <v>511.50534219219173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0" t="s">
        <v>246</v>
      </c>
      <c r="G17" s="291"/>
      <c r="H17" s="291"/>
      <c r="I17" s="291"/>
      <c r="J17" s="291"/>
      <c r="K17" s="291"/>
      <c r="L17" s="291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7"/>
      <c r="G18" s="277"/>
      <c r="H18" s="277"/>
      <c r="I18" s="277"/>
      <c r="J18" s="277"/>
      <c r="K18" s="277"/>
      <c r="L18" s="277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Sapin pectiné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G23" sqref="G2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8" t="s">
        <v>272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8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8" t="s">
        <v>315</v>
      </c>
      <c r="I4" s="268"/>
      <c r="K4" s="292" t="s">
        <v>253</v>
      </c>
      <c r="L4" s="293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2" t="s">
        <v>310</v>
      </c>
      <c r="S7" s="303"/>
      <c r="T7" s="303"/>
      <c r="U7" s="303"/>
      <c r="V7" s="30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Sapin pectiné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-2510.1654994766145</v>
      </c>
      <c r="U10" s="176">
        <f>'Données projet'!D9</f>
        <v>0.57599999999999996</v>
      </c>
      <c r="V10" s="175">
        <f>U10*T10</f>
        <v>-1445.8553276985299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Erable sycomore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-2704.0923061090489</v>
      </c>
      <c r="U11" s="176">
        <f>'Données projet'!D10</f>
        <v>0.57599999999999996</v>
      </c>
      <c r="V11" s="175">
        <f t="shared" ref="V11" si="0">U11*T11</f>
        <v>-1557.557168318812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Tilleul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-2610.7884274501148</v>
      </c>
      <c r="U12" s="176">
        <f>'Données projet'!D11</f>
        <v>0.28799999999999998</v>
      </c>
      <c r="V12" s="175">
        <f t="shared" ref="V12:V19" si="1">U12*T12</f>
        <v>-751.90706710563302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Sapin pectiné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5" t="s">
        <v>318</v>
      </c>
      <c r="H15" s="188">
        <v>0</v>
      </c>
      <c r="I15" s="189">
        <f>8461.66/1.44</f>
        <v>5876.1527777777783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5"/>
      <c r="H16" s="188"/>
      <c r="I16" s="189"/>
      <c r="J16" s="200"/>
      <c r="K16" s="206"/>
      <c r="L16" s="292" t="s">
        <v>254</v>
      </c>
      <c r="M16" s="293"/>
      <c r="N16" s="2">
        <v>80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2830.21</v>
      </c>
      <c r="F17" s="228"/>
      <c r="G17" s="295"/>
      <c r="J17" s="200"/>
      <c r="K17" s="206"/>
      <c r="L17" s="265" t="s">
        <v>289</v>
      </c>
      <c r="M17" s="267"/>
      <c r="N17" s="173">
        <f>VLOOKUP(N16,Calculateur!$A$2:$H$153,3,0)/VLOOKUP('Scénario référence'!$G$15,Paramètres!A1:I89,3,0)/VLOOKUP('Scénario référence'!$G$15,Paramètres!A1:I89,5,0)</f>
        <v>80.000000000000156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5"/>
      <c r="J18" s="200"/>
      <c r="K18" s="206"/>
      <c r="L18" s="265" t="s">
        <v>255</v>
      </c>
      <c r="M18" s="267"/>
      <c r="N18" s="190">
        <v>13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5"/>
      <c r="H19" s="210" t="s">
        <v>178</v>
      </c>
      <c r="I19" s="210" t="s">
        <v>287</v>
      </c>
      <c r="J19" s="91"/>
      <c r="K19" s="171"/>
      <c r="L19" s="292" t="s">
        <v>288</v>
      </c>
      <c r="M19" s="293"/>
      <c r="N19" s="177">
        <f>N17*N18</f>
        <v>1040.000000000002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5"/>
      <c r="H20" s="188">
        <v>0</v>
      </c>
      <c r="I20" s="189">
        <v>6087.65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708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708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>
        <v>5</v>
      </c>
      <c r="D23" s="180">
        <f>B23*C23</f>
        <v>0</v>
      </c>
      <c r="E23" s="191"/>
      <c r="F23" s="228"/>
      <c r="H23" s="188">
        <v>3</v>
      </c>
      <c r="I23" s="189">
        <v>708</v>
      </c>
      <c r="K23" s="206"/>
      <c r="L23" s="294" t="s">
        <v>260</v>
      </c>
      <c r="M23" s="294"/>
      <c r="N23" s="294"/>
      <c r="O23" s="23"/>
      <c r="P23" s="23"/>
      <c r="Q23" s="232"/>
      <c r="R23" s="23"/>
      <c r="S23" s="36" t="s">
        <v>264</v>
      </c>
      <c r="T23" s="30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-8535.5446536034851</v>
      </c>
      <c r="U23" s="307"/>
      <c r="V23" s="30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43</v>
      </c>
      <c r="C24" s="191">
        <v>5</v>
      </c>
      <c r="D24" s="180">
        <f t="shared" ref="D24:D42" si="2">B24*C24</f>
        <v>215</v>
      </c>
      <c r="E24" s="191"/>
      <c r="F24" s="231"/>
      <c r="H24" s="188">
        <v>4</v>
      </c>
      <c r="I24" s="189">
        <v>708</v>
      </c>
      <c r="K24" s="206"/>
      <c r="O24" s="23"/>
      <c r="P24" s="23"/>
      <c r="Q24" s="232"/>
      <c r="R24" s="23"/>
      <c r="S24" s="36" t="s">
        <v>261</v>
      </c>
      <c r="T24" s="308">
        <f ca="1">'Scénario référence'!$B$8*$M$30*'Données projet'!$C$5+('Scénario référence'!B9+'Scénario référence'!B10+'Scénario référence'!F8+'Scénario référence'!F9)*$N$19/(1+M4)^N16*'Données projet'!$C$5</f>
        <v>44.26827463858784</v>
      </c>
      <c r="U24" s="308"/>
      <c r="V24" s="30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77</v>
      </c>
      <c r="C25" s="191">
        <v>5</v>
      </c>
      <c r="D25" s="180">
        <f t="shared" si="2"/>
        <v>385</v>
      </c>
      <c r="E25" s="191"/>
      <c r="F25" s="231"/>
      <c r="H25" s="188">
        <v>5</v>
      </c>
      <c r="I25" s="189">
        <v>708</v>
      </c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9">
        <f ca="1">T23-T24</f>
        <v>-8579.8129282420723</v>
      </c>
      <c r="U25" s="309"/>
      <c r="V25" s="30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77</v>
      </c>
      <c r="C26" s="191">
        <v>5</v>
      </c>
      <c r="D26" s="180">
        <f t="shared" si="2"/>
        <v>385</v>
      </c>
      <c r="E26" s="191"/>
      <c r="F26" s="231"/>
      <c r="G26" s="227"/>
      <c r="H26" s="188"/>
      <c r="I26" s="189"/>
      <c r="K26" s="206"/>
      <c r="L26" s="296" t="s">
        <v>258</v>
      </c>
      <c r="M26" s="297"/>
      <c r="N26" s="297"/>
      <c r="O26" s="297"/>
      <c r="P26" s="298"/>
      <c r="Q26" s="232"/>
      <c r="R26" s="23"/>
      <c r="S26" s="184" t="s">
        <v>265</v>
      </c>
      <c r="T26" s="306" t="str">
        <f ca="1">IF(T25&lt;0,"Votre projet est additionnel","Votre projet n'est pas additionnel")</f>
        <v>Votre projet est additionnel</v>
      </c>
      <c r="U26" s="306"/>
      <c r="V26" s="30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77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9"/>
      <c r="M27" s="300"/>
      <c r="N27" s="300"/>
      <c r="O27" s="300"/>
      <c r="P27" s="301"/>
      <c r="Q27" s="232"/>
      <c r="R27" s="23"/>
      <c r="S27" s="305" t="s">
        <v>267</v>
      </c>
      <c r="T27" s="305"/>
      <c r="U27" s="305"/>
      <c r="V27" s="30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77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77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77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73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66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62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60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58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57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Erable sycomore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3410.76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7</v>
      </c>
      <c r="C54" s="189">
        <v>15</v>
      </c>
      <c r="D54" s="177">
        <f>B54*C54</f>
        <v>105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42</v>
      </c>
      <c r="C55" s="189">
        <v>15</v>
      </c>
      <c r="D55" s="177">
        <f t="shared" ref="D55:D73" si="4">B55*C55</f>
        <v>630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42</v>
      </c>
      <c r="C56" s="189">
        <v>15</v>
      </c>
      <c r="D56" s="177">
        <f t="shared" si="4"/>
        <v>630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42</v>
      </c>
      <c r="C57" s="189">
        <v>15</v>
      </c>
      <c r="D57" s="177">
        <f t="shared" si="4"/>
        <v>630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42</v>
      </c>
      <c r="C58" s="189">
        <v>15</v>
      </c>
      <c r="D58" s="177">
        <f t="shared" si="4"/>
        <v>630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42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40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26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21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18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17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16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15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14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13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Tilleul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3642.99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7</v>
      </c>
      <c r="C85" s="189">
        <v>15</v>
      </c>
      <c r="D85" s="177">
        <f>B85*C85</f>
        <v>105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42</v>
      </c>
      <c r="C86" s="189">
        <v>15</v>
      </c>
      <c r="D86" s="177">
        <f t="shared" ref="D86:D104" si="6">B86*C86</f>
        <v>630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42</v>
      </c>
      <c r="C87" s="189">
        <v>15</v>
      </c>
      <c r="D87" s="177">
        <f t="shared" si="6"/>
        <v>630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42</v>
      </c>
      <c r="C88" s="189">
        <v>15</v>
      </c>
      <c r="D88" s="177">
        <f t="shared" si="6"/>
        <v>630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42</v>
      </c>
      <c r="C89" s="189">
        <v>15</v>
      </c>
      <c r="D89" s="177">
        <f t="shared" si="6"/>
        <v>630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42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40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17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16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15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14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13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2022-11-03T14:45:25Z</dcterms:modified>
</cp:coreProperties>
</file>