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Mont de Marsan\16 - SFLR3-incendie St JUSTIN 3\Documents fin\"/>
    </mc:Choice>
  </mc:AlternateContent>
  <xr:revisionPtr revIDLastSave="0" documentId="13_ncr:1_{EF6E6931-3F5B-4A52-9CA0-6CF3D41F133F}" xr6:coauthVersionLast="36" xr6:coauthVersionMax="36" xr10:uidLastSave="{00000000-0000-0000-0000-000000000000}"/>
  <bookViews>
    <workbookView xWindow="0" yWindow="0" windowWidth="28800" windowHeight="1261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<sst xmlns="http://schemas.openxmlformats.org/spreadsheetml/2006/main" count="1170" uniqueCount="324">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</sst>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2.254535549090765</c:v>
                </c:pt>
                <c:pt idx="2">
                  <c:v>3.2784527239430776</c:v>
                </c:pt>
                <c:pt idx="3">
                  <c:v>4.7694737635358404</c:v>
                </c:pt>
                <c:pt idx="4">
                  <c:v>6.9415806155700679</c:v>
                </c:pt>
                <c:pt idx="5">
                  <c:v>10.107161787280178</c:v>
                </c:pt>
                <c:pt idx="6">
                  <c:v>14.722429499116073</c:v>
                </c:pt>
                <c:pt idx="7">
                  <c:v>21.45386643917448</c:v>
                </c:pt>
                <c:pt idx="8">
                  <c:v>31.275468345598899</c:v>
                </c:pt>
                <c:pt idx="9">
                  <c:v>45.61109624038076</c:v>
                </c:pt>
                <c:pt idx="10">
                  <c:v>66.542922379858922</c:v>
                </c:pt>
                <c:pt idx="11">
                  <c:v>97.116739768036425</c:v>
                </c:pt>
                <c:pt idx="12">
                  <c:v>141.78926461478019</c:v>
                </c:pt>
                <c:pt idx="13">
                  <c:v>124.5611931900976</c:v>
                </c:pt>
                <c:pt idx="14">
                  <c:v>151.68524513992836</c:v>
                </c:pt>
                <c:pt idx="15">
                  <c:v>178.69346731764236</c:v>
                </c:pt>
                <c:pt idx="16">
                  <c:v>205.60586751976882</c:v>
                </c:pt>
                <c:pt idx="17">
                  <c:v>232.43676367300134</c:v>
                </c:pt>
                <c:pt idx="18">
                  <c:v>202.50498404059022</c:v>
                </c:pt>
                <c:pt idx="19">
                  <c:v>228.05603340567458</c:v>
                </c:pt>
                <c:pt idx="20">
                  <c:v>253.54155170818649</c:v>
                </c:pt>
                <c:pt idx="21">
                  <c:v>278.96905083089689</c:v>
                </c:pt>
                <c:pt idx="22">
                  <c:v>304.34456023906222</c:v>
                </c:pt>
                <c:pt idx="23">
                  <c:v>253.83081383722325</c:v>
                </c:pt>
                <c:pt idx="24">
                  <c:v>275.18403886927132</c:v>
                </c:pt>
                <c:pt idx="25">
                  <c:v>296.50005111063956</c:v>
                </c:pt>
                <c:pt idx="26">
                  <c:v>317.78190098794829</c:v>
                </c:pt>
                <c:pt idx="27">
                  <c:v>339.03219699741027</c:v>
                </c:pt>
                <c:pt idx="28">
                  <c:v>360.25319399788003</c:v>
                </c:pt>
                <c:pt idx="29">
                  <c:v>381.44685959482405</c:v>
                </c:pt>
                <c:pt idx="30">
                  <c:v>402.61492499148613</c:v>
                </c:pt>
                <c:pt idx="31">
                  <c:v>1.978932943548152E-12</c:v>
                </c:pt>
                <c:pt idx="32">
                  <c:v>1.978932943548152E-12</c:v>
                </c:pt>
                <c:pt idx="33">
                  <c:v>1.978932943548152E-12</c:v>
                </c:pt>
                <c:pt idx="34">
                  <c:v>1.978932943548152E-12</c:v>
                </c:pt>
                <c:pt idx="35">
                  <c:v>1.978932943548152E-12</c:v>
                </c:pt>
                <c:pt idx="36">
                  <c:v>1.978932943548152E-12</c:v>
                </c:pt>
                <c:pt idx="37">
                  <c:v>1.978932943548152E-12</c:v>
                </c:pt>
                <c:pt idx="38">
                  <c:v>1.978932943548152E-12</c:v>
                </c:pt>
                <c:pt idx="39">
                  <c:v>1.978932943548152E-12</c:v>
                </c:pt>
                <c:pt idx="40">
                  <c:v>1.978932943548152E-12</c:v>
                </c:pt>
                <c:pt idx="41">
                  <c:v>1.978932943548152E-12</c:v>
                </c:pt>
                <c:pt idx="42">
                  <c:v>1.978932943548152E-12</c:v>
                </c:pt>
                <c:pt idx="43">
                  <c:v>1.978932943548152E-12</c:v>
                </c:pt>
                <c:pt idx="44">
                  <c:v>1.978932943548152E-12</c:v>
                </c:pt>
                <c:pt idx="45">
                  <c:v>1.978932943548152E-12</c:v>
                </c:pt>
                <c:pt idx="46">
                  <c:v>1.978932943548152E-12</c:v>
                </c:pt>
                <c:pt idx="47">
                  <c:v>1.978932943548152E-12</c:v>
                </c:pt>
                <c:pt idx="48">
                  <c:v>1.978932943548152E-12</c:v>
                </c:pt>
                <c:pt idx="49">
                  <c:v>1.978932943548152E-12</c:v>
                </c:pt>
                <c:pt idx="50">
                  <c:v>1.978932943548152E-12</c:v>
                </c:pt>
                <c:pt idx="51">
                  <c:v>1.978932943548152E-12</c:v>
                </c:pt>
                <c:pt idx="52">
                  <c:v>1.978932943548152E-12</c:v>
                </c:pt>
                <c:pt idx="53">
                  <c:v>1.978932943548152E-12</c:v>
                </c:pt>
                <c:pt idx="54">
                  <c:v>1.978932943548152E-12</c:v>
                </c:pt>
                <c:pt idx="55">
                  <c:v>1.978932943548152E-12</c:v>
                </c:pt>
                <c:pt idx="56">
                  <c:v>1.978932943548152E-12</c:v>
                </c:pt>
                <c:pt idx="57">
                  <c:v>1.978932943548152E-12</c:v>
                </c:pt>
                <c:pt idx="58">
                  <c:v>1.978932943548152E-12</c:v>
                </c:pt>
                <c:pt idx="59">
                  <c:v>1.978932943548152E-12</c:v>
                </c:pt>
                <c:pt idx="60">
                  <c:v>1.978932943548152E-12</c:v>
                </c:pt>
                <c:pt idx="61">
                  <c:v>1.978932943548152E-12</c:v>
                </c:pt>
                <c:pt idx="62">
                  <c:v>1.978932943548152E-12</c:v>
                </c:pt>
                <c:pt idx="63">
                  <c:v>1.978932943548152E-12</c:v>
                </c:pt>
                <c:pt idx="64">
                  <c:v>1.978932943548152E-12</c:v>
                </c:pt>
                <c:pt idx="65">
                  <c:v>1.978932943548152E-12</c:v>
                </c:pt>
                <c:pt idx="66">
                  <c:v>1.978932943548152E-12</c:v>
                </c:pt>
                <c:pt idx="67">
                  <c:v>1.978932943548152E-12</c:v>
                </c:pt>
                <c:pt idx="68">
                  <c:v>1.978932943548152E-12</c:v>
                </c:pt>
                <c:pt idx="69">
                  <c:v>1.978932943548152E-12</c:v>
                </c:pt>
                <c:pt idx="70">
                  <c:v>1.978932943548152E-12</c:v>
                </c:pt>
                <c:pt idx="71">
                  <c:v>1.978932943548152E-12</c:v>
                </c:pt>
                <c:pt idx="72">
                  <c:v>1.978932943548152E-12</c:v>
                </c:pt>
                <c:pt idx="73">
                  <c:v>1.978932943548152E-12</c:v>
                </c:pt>
                <c:pt idx="74">
                  <c:v>1.978932943548152E-12</c:v>
                </c:pt>
                <c:pt idx="75">
                  <c:v>1.978932943548152E-12</c:v>
                </c:pt>
                <c:pt idx="76">
                  <c:v>1.978932943548152E-12</c:v>
                </c:pt>
                <c:pt idx="77">
                  <c:v>1.978932943548152E-12</c:v>
                </c:pt>
                <c:pt idx="78">
                  <c:v>1.978932943548152E-12</c:v>
                </c:pt>
                <c:pt idx="79">
                  <c:v>1.978932943548152E-12</c:v>
                </c:pt>
                <c:pt idx="80">
                  <c:v>1.978932943548152E-12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28" zoomScale="90" zoomScaleNormal="90" workbookViewId="0">
      <selection activeCell="I16" sqref="I1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43.2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43.2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43.2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12</v>
      </c>
      <c r="B36" s="63">
        <v>106</v>
      </c>
      <c r="C36" s="63">
        <v>1</v>
      </c>
      <c r="D36" s="63">
        <v>34</v>
      </c>
      <c r="E36" s="54"/>
      <c r="F36" s="54"/>
      <c r="G36" s="54">
        <v>1</v>
      </c>
      <c r="H36" s="54"/>
      <c r="I36" s="52">
        <f>IFERROR(B36/A36,"")</f>
        <v>8.8333333333333339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17</v>
      </c>
      <c r="B37" s="63">
        <v>176</v>
      </c>
      <c r="C37" s="63">
        <v>2</v>
      </c>
      <c r="D37" s="63">
        <v>43</v>
      </c>
      <c r="E37" s="54">
        <v>0.2</v>
      </c>
      <c r="F37" s="54"/>
      <c r="G37" s="54">
        <v>0.8</v>
      </c>
      <c r="H37" s="54"/>
      <c r="I37" s="56">
        <f t="shared" ref="I37:I55" si="1">IF(A37&lt;&gt;0,(B37-(B36-D36))/(A37-A36),"")</f>
        <v>20.8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22</v>
      </c>
      <c r="B38" s="63">
        <v>232</v>
      </c>
      <c r="C38" s="63">
        <v>3</v>
      </c>
      <c r="D38" s="63">
        <v>56</v>
      </c>
      <c r="E38" s="54">
        <v>0.4</v>
      </c>
      <c r="F38" s="54"/>
      <c r="G38" s="54">
        <v>0.6</v>
      </c>
      <c r="H38" s="54"/>
      <c r="I38" s="56">
        <f t="shared" si="1"/>
        <v>19.8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309</v>
      </c>
      <c r="C39" s="63">
        <v>4</v>
      </c>
      <c r="D39" s="63">
        <v>309</v>
      </c>
      <c r="E39" s="54">
        <v>0.4</v>
      </c>
      <c r="F39" s="54">
        <v>0.4</v>
      </c>
      <c r="G39" s="54">
        <v>0.2</v>
      </c>
      <c r="H39" s="54"/>
      <c r="I39" s="52">
        <f t="shared" si="1"/>
        <v>16.625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G22" sqref="G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147.72913422715322</v>
      </c>
      <c r="T3" s="62">
        <f>IF('Données projet'!E9&gt;30,$R$33-$H$33,LOOKUP('Données projet'!$E$9,$A$3:$A$203,R3:R203)-LOOKUP('Données projet'!$E$9,$A$3:$A$203,$H$3:$H$203))</f>
        <v>361.07991692964799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8.8333333333333339</v>
      </c>
      <c r="N4" s="14">
        <f>IF('Données projet'!$A$36&gt;35,N3+M4-V3,IF(A4&lt;'Données projet'!$A$36,$K$205^A4,IF(A4='Données projet'!$A$36,'Données projet'!$B$36,N3+M4-V3)))</f>
        <v>1.4749438547769935</v>
      </c>
      <c r="O4" s="14">
        <f>N4*VLOOKUP('Données projet'!$B$9,Paramètres!$A$1:$I$89,3,0)*VLOOKUP('Données projet'!$B$9,Paramètres!$A$1:$I$89,5,0)</f>
        <v>0.88201642515664225</v>
      </c>
      <c r="P4" s="14">
        <f>EXP(-1.0587+0.8836*LN(O4)+0.284)</f>
        <v>0.4124537465701128</v>
      </c>
      <c r="Q4" s="22">
        <f t="shared" ref="Q4:Q34" si="2">(O4+P4)*0.475*44/12</f>
        <v>2.254535549090765</v>
      </c>
      <c r="R4" s="62">
        <f t="shared" si="0"/>
        <v>295.58786888242406</v>
      </c>
      <c r="S4" s="62">
        <f ca="1">AVERAGE(OFFSET($R$3,0,0,'Données projet'!$E$9+1,1))-AVERAGE(OFFSET($H$3,0,0,'Données projet'!$E$9+1,1))</f>
        <v>147.72913422715322</v>
      </c>
      <c r="T4" s="62">
        <f>$T$3</f>
        <v>361.07991692964799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8.8333333333333339</v>
      </c>
      <c r="N5" s="14">
        <f>IF('Données projet'!$A$36&gt;35,N4+M5-V4,IF(A5&lt;'Données projet'!$A$36,$K$205^A5,IF(A5='Données projet'!$A$36,'Données projet'!$B$36,N4+M5-V4)))</f>
        <v>2.1754593747444169</v>
      </c>
      <c r="O5" s="14">
        <f>N5*VLOOKUP('Données projet'!$B$9,Paramètres!$A$1:$I$89,3,0)*VLOOKUP('Données projet'!$B$9,Paramètres!$A$1:$I$89,5,0)</f>
        <v>1.3009247060971614</v>
      </c>
      <c r="P5" s="14">
        <f t="shared" ref="P5:P68" si="33">EXP(-1.0587+0.8836*LN(O5)+0.284)</f>
        <v>0.58144049425293109</v>
      </c>
      <c r="Q5" s="22">
        <f t="shared" si="2"/>
        <v>3.2784527239430776</v>
      </c>
      <c r="R5" s="62">
        <f t="shared" si="0"/>
        <v>296.61178605727639</v>
      </c>
      <c r="S5" s="62">
        <f ca="1">AVERAGE(OFFSET($R$3,0,0,'Données projet'!$E$9+1,1))-AVERAGE(OFFSET($H$3,0,0,'Données projet'!$E$9+1,1))</f>
        <v>147.72913422715322</v>
      </c>
      <c r="T5" s="62">
        <f t="shared" ref="T5:T68" si="34">$T$3</f>
        <v>361.07991692964799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8.8333333333333339</v>
      </c>
      <c r="N6" s="14">
        <f>IF('Données projet'!$A$36&gt;35,N5+M6-V5,IF(A6&lt;'Données projet'!$A$36,$K$205^A6,IF(A6='Données projet'!$A$36,'Données projet'!$B$36,N5+M6-V5)))</f>
        <v>3.2086804360962784</v>
      </c>
      <c r="O6" s="14">
        <f>N6*VLOOKUP('Données projet'!$B$9,Paramètres!$A$1:$I$89,3,0)*VLOOKUP('Données projet'!$B$9,Paramètres!$A$1:$I$89,5,0)</f>
        <v>1.9187909007855746</v>
      </c>
      <c r="P6" s="14">
        <f t="shared" si="33"/>
        <v>0.81966293473739615</v>
      </c>
      <c r="Q6" s="22">
        <f t="shared" si="2"/>
        <v>4.7694737635358404</v>
      </c>
      <c r="R6" s="62">
        <f t="shared" si="0"/>
        <v>298.10280709686913</v>
      </c>
      <c r="S6" s="62">
        <f ca="1">AVERAGE(OFFSET($R$3,0,0,'Données projet'!$E$9+1,1))-AVERAGE(OFFSET($H$3,0,0,'Données projet'!$E$9+1,1))</f>
        <v>147.72913422715322</v>
      </c>
      <c r="T6" s="62">
        <f t="shared" si="34"/>
        <v>361.07991692964799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8.8333333333333339</v>
      </c>
      <c r="N7" s="14">
        <f>IF('Données projet'!$A$36&gt;35,N6+M7-V6,IF(A7&lt;'Données projet'!$A$36,$K$205^A7,IF(A7='Données projet'!$A$36,'Données projet'!$B$36,N6+M7-V6)))</f>
        <v>4.7326234911633689</v>
      </c>
      <c r="O7" s="14">
        <f>N7*VLOOKUP('Données projet'!$B$9,Paramètres!$A$1:$I$89,3,0)*VLOOKUP('Données projet'!$B$9,Paramètres!$A$1:$I$89,5,0)</f>
        <v>2.8301088477156946</v>
      </c>
      <c r="P7" s="14">
        <f t="shared" si="33"/>
        <v>1.1554876779704684</v>
      </c>
      <c r="Q7" s="22">
        <f t="shared" si="2"/>
        <v>6.9415806155700679</v>
      </c>
      <c r="R7" s="62">
        <f t="shared" si="0"/>
        <v>300.27491394890336</v>
      </c>
      <c r="S7" s="62">
        <f ca="1">AVERAGE(OFFSET($R$3,0,0,'Données projet'!$E$9+1,1))-AVERAGE(OFFSET($H$3,0,0,'Données projet'!$E$9+1,1))</f>
        <v>147.72913422715322</v>
      </c>
      <c r="T7" s="62">
        <f t="shared" si="34"/>
        <v>361.07991692964799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8.8333333333333339</v>
      </c>
      <c r="N8" s="14">
        <f>IF('Données projet'!$A$36&gt;35,N7+M8-V7,IF(A8&lt;'Données projet'!$A$36,$K$205^A8,IF(A8='Données projet'!$A$36,'Données projet'!$B$36,N7+M8-V7)))</f>
        <v>6.9803539352646524</v>
      </c>
      <c r="O8" s="14">
        <f>N8*VLOOKUP('Données projet'!$B$9,Paramètres!$A$1:$I$89,3,0)*VLOOKUP('Données projet'!$B$9,Paramètres!$A$1:$I$89,5,0)</f>
        <v>4.1742516532882625</v>
      </c>
      <c r="P8" s="14">
        <f t="shared" si="33"/>
        <v>1.6289034398869595</v>
      </c>
      <c r="Q8" s="22">
        <f t="shared" si="2"/>
        <v>10.107161787280178</v>
      </c>
      <c r="R8" s="62">
        <f t="shared" si="0"/>
        <v>303.44049512061349</v>
      </c>
      <c r="S8" s="62">
        <f ca="1">AVERAGE(OFFSET($R$3,0,0,'Données projet'!$E$9+1,1))-AVERAGE(OFFSET($H$3,0,0,'Données projet'!$E$9+1,1))</f>
        <v>147.72913422715322</v>
      </c>
      <c r="T8" s="62">
        <f t="shared" si="34"/>
        <v>361.07991692964799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8.8333333333333339</v>
      </c>
      <c r="N9" s="14">
        <f>IF('Données projet'!$A$36&gt;35,N8+M9-V8,IF(A9&lt;'Données projet'!$A$36,$K$205^A9,IF(A9='Données projet'!$A$36,'Données projet'!$B$36,N8+M9-V8)))</f>
        <v>10.295630140987003</v>
      </c>
      <c r="O9" s="14">
        <f>N9*VLOOKUP('Données projet'!$B$9,Paramètres!$A$1:$I$89,3,0)*VLOOKUP('Données projet'!$B$9,Paramètres!$A$1:$I$89,5,0)</f>
        <v>6.1567868243102275</v>
      </c>
      <c r="P9" s="14">
        <f t="shared" si="33"/>
        <v>2.2962827445602434</v>
      </c>
      <c r="Q9" s="22">
        <f t="shared" si="2"/>
        <v>14.722429499116073</v>
      </c>
      <c r="R9" s="62">
        <f t="shared" si="0"/>
        <v>308.05576283244937</v>
      </c>
      <c r="S9" s="62">
        <f ca="1">AVERAGE(OFFSET($R$3,0,0,'Données projet'!$E$9+1,1))-AVERAGE(OFFSET($H$3,0,0,'Données projet'!$E$9+1,1))</f>
        <v>147.72913422715322</v>
      </c>
      <c r="T9" s="62">
        <f t="shared" si="34"/>
        <v>361.07991692964799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8.8333333333333339</v>
      </c>
      <c r="N10" s="14">
        <f>IF('Données projet'!$A$36&gt;35,N9+M10-V9,IF(A10&lt;'Données projet'!$A$36,$K$205^A10,IF(A10='Données projet'!$A$36,'Données projet'!$B$36,N9+M10-V9)))</f>
        <v>15.18547640750557</v>
      </c>
      <c r="O10" s="14">
        <f>N10*VLOOKUP('Données projet'!$B$9,Paramètres!$A$1:$I$89,3,0)*VLOOKUP('Données projet'!$B$9,Paramètres!$A$1:$I$89,5,0)</f>
        <v>9.080914891688332</v>
      </c>
      <c r="P10" s="14">
        <f t="shared" si="33"/>
        <v>3.2370945470721373</v>
      </c>
      <c r="Q10" s="22">
        <f t="shared" si="2"/>
        <v>21.45386643917448</v>
      </c>
      <c r="R10" s="62">
        <f t="shared" si="0"/>
        <v>314.78719977250779</v>
      </c>
      <c r="S10" s="62">
        <f ca="1">AVERAGE(OFFSET($R$3,0,0,'Données projet'!$E$9+1,1))-AVERAGE(OFFSET($H$3,0,0,'Données projet'!$E$9+1,1))</f>
        <v>147.72913422715322</v>
      </c>
      <c r="T10" s="62">
        <f t="shared" si="34"/>
        <v>361.07991692964799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8.8333333333333339</v>
      </c>
      <c r="N11" s="14">
        <f>IF('Données projet'!$A$36&gt;35,N10+M11-V10,IF(A11&lt;'Données projet'!$A$36,$K$205^A11,IF(A11='Données projet'!$A$36,'Données projet'!$B$36,N10+M11-V10)))</f>
        <v>22.397725109111352</v>
      </c>
      <c r="O11" s="14">
        <f>N11*VLOOKUP('Données projet'!$B$9,Paramètres!$A$1:$I$89,3,0)*VLOOKUP('Données projet'!$B$9,Paramètres!$A$1:$I$89,5,0)</f>
        <v>13.39383961524859</v>
      </c>
      <c r="P11" s="14">
        <f t="shared" si="33"/>
        <v>4.5633670903584358</v>
      </c>
      <c r="Q11" s="22">
        <f t="shared" si="2"/>
        <v>31.275468345598899</v>
      </c>
      <c r="R11" s="62">
        <f t="shared" si="0"/>
        <v>324.6088016789322</v>
      </c>
      <c r="S11" s="62">
        <f ca="1">AVERAGE(OFFSET($R$3,0,0,'Données projet'!$E$9+1,1))-AVERAGE(OFFSET($H$3,0,0,'Données projet'!$E$9+1,1))</f>
        <v>147.72913422715322</v>
      </c>
      <c r="T11" s="62">
        <f t="shared" si="34"/>
        <v>361.07991692964799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8.8333333333333339</v>
      </c>
      <c r="N12" s="14">
        <f>IF('Données projet'!$A$36&gt;35,N11+M12-V11,IF(A12&lt;'Données projet'!$A$36,$K$205^A12,IF(A12='Données projet'!$A$36,'Données projet'!$B$36,N11+M12-V11)))</f>
        <v>33.035387010668153</v>
      </c>
      <c r="O12" s="14">
        <f>N12*VLOOKUP('Données projet'!$B$9,Paramètres!$A$1:$I$89,3,0)*VLOOKUP('Données projet'!$B$9,Paramètres!$A$1:$I$89,5,0)</f>
        <v>19.755161432379555</v>
      </c>
      <c r="P12" s="14">
        <f t="shared" si="33"/>
        <v>6.433027796547198</v>
      </c>
      <c r="Q12" s="22">
        <f t="shared" si="2"/>
        <v>45.61109624038076</v>
      </c>
      <c r="R12" s="62">
        <f t="shared" si="0"/>
        <v>338.94442957371405</v>
      </c>
      <c r="S12" s="62">
        <f ca="1">AVERAGE(OFFSET($R$3,0,0,'Données projet'!$E$9+1,1))-AVERAGE(OFFSET($H$3,0,0,'Données projet'!$E$9+1,1))</f>
        <v>147.72913422715322</v>
      </c>
      <c r="T12" s="62">
        <f t="shared" si="34"/>
        <v>361.07991692964799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8.8333333333333339</v>
      </c>
      <c r="N13" s="14">
        <f>IF('Données projet'!$A$36&gt;35,N12+M13-V12,IF(A13&lt;'Données projet'!$A$36,$K$205^A13,IF(A13='Données projet'!$A$36,'Données projet'!$B$36,N12+M13-V12)))</f>
        <v>48.725341061564706</v>
      </c>
      <c r="O13" s="14">
        <f>N13*VLOOKUP('Données projet'!$B$9,Paramètres!$A$1:$I$89,3,0)*VLOOKUP('Données projet'!$B$9,Paramètres!$A$1:$I$89,5,0)</f>
        <v>29.137753954815693</v>
      </c>
      <c r="P13" s="14">
        <f t="shared" si="33"/>
        <v>9.0687086556296208</v>
      </c>
      <c r="Q13" s="22">
        <f t="shared" si="2"/>
        <v>66.542922379858922</v>
      </c>
      <c r="R13" s="62">
        <f t="shared" si="0"/>
        <v>359.87625571319222</v>
      </c>
      <c r="S13" s="62">
        <f ca="1">AVERAGE(OFFSET($R$3,0,0,'Données projet'!$E$9+1,1))-AVERAGE(OFFSET($H$3,0,0,'Données projet'!$E$9+1,1))</f>
        <v>147.72913422715322</v>
      </c>
      <c r="T13" s="62">
        <f t="shared" si="34"/>
        <v>361.07991692964799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8.8333333333333339</v>
      </c>
      <c r="N14" s="14">
        <f>IF('Données projet'!$A$36&gt;35,N13+M14-V13,IF(A14&lt;'Données projet'!$A$36,$K$205^A14,IF(A14='Données projet'!$A$36,'Données projet'!$B$36,N13+M14-V13)))</f>
        <v>71.867142370667978</v>
      </c>
      <c r="O14" s="14">
        <f>N14*VLOOKUP('Données projet'!$B$9,Paramètres!$A$1:$I$89,3,0)*VLOOKUP('Données projet'!$B$9,Paramètres!$A$1:$I$89,5,0)</f>
        <v>42.976551137659456</v>
      </c>
      <c r="P14" s="14">
        <f t="shared" si="33"/>
        <v>12.784256384658107</v>
      </c>
      <c r="Q14" s="22">
        <f t="shared" si="2"/>
        <v>97.116739768036425</v>
      </c>
      <c r="R14" s="62">
        <f t="shared" si="0"/>
        <v>390.45007310136975</v>
      </c>
      <c r="S14" s="62">
        <f ca="1">AVERAGE(OFFSET($R$3,0,0,'Données projet'!$E$9+1,1))-AVERAGE(OFFSET($H$3,0,0,'Données projet'!$E$9+1,1))</f>
        <v>147.72913422715322</v>
      </c>
      <c r="T14" s="62">
        <f t="shared" si="34"/>
        <v>361.07991692964799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106</v>
      </c>
      <c r="L15" s="13">
        <f>VLOOKUP(A15,'Données projet'!$A$35:$I$55,9,0)</f>
        <v>8.8333333333333339</v>
      </c>
      <c r="M15" s="13">
        <f t="array" ref="M15">INDEX(L:L,MIN(IF(ISNUMBER(L15:L211),ROW(L15:L211),"")))</f>
        <v>8.8333333333333339</v>
      </c>
      <c r="N15" s="14">
        <f>IF('Données projet'!$A$36&gt;35,N14+M15-V14,IF(A15&lt;'Données projet'!$A$36,$K$205^A15,IF(A15='Données projet'!$A$36,'Données projet'!$B$36,N14+M15-V14)))</f>
        <v>106</v>
      </c>
      <c r="O15" s="14">
        <f>N15*VLOOKUP('Données projet'!$B$9,Paramètres!$A$1:$I$89,3,0)*VLOOKUP('Données projet'!$B$9,Paramètres!$A$1:$I$89,5,0)</f>
        <v>63.388000000000012</v>
      </c>
      <c r="P15" s="14">
        <f t="shared" si="33"/>
        <v>18.022104085041263</v>
      </c>
      <c r="Q15" s="22">
        <f t="shared" si="2"/>
        <v>141.78926461478019</v>
      </c>
      <c r="R15" s="62">
        <f t="shared" si="0"/>
        <v>435.12259794811348</v>
      </c>
      <c r="S15" s="62">
        <f ca="1">AVERAGE(OFFSET($R$3,0,0,'Données projet'!$E$9+1,1))-AVERAGE(OFFSET($H$3,0,0,'Données projet'!$E$9+1,1))</f>
        <v>147.72913422715322</v>
      </c>
      <c r="T15" s="62">
        <f t="shared" si="34"/>
        <v>361.07991692964799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34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23.020547073308105</v>
      </c>
      <c r="AC15" s="24">
        <f t="shared" si="3"/>
        <v>23.020547073308105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20.8</v>
      </c>
      <c r="N16" s="14">
        <f>IF('Données projet'!$A$36&gt;35,N15+M16-V15,IF(A16&lt;'Données projet'!$A$36,$K$205^A16,IF(A16='Données projet'!$A$36,'Données projet'!$B$36,N15+M16-V15)))</f>
        <v>92.8</v>
      </c>
      <c r="O16" s="14">
        <f>N16*VLOOKUP('Données projet'!$B$9,Paramètres!$A$1:$I$89,3,0)*VLOOKUP('Données projet'!$B$9,Paramètres!$A$1:$I$89,5,0)</f>
        <v>55.494400000000006</v>
      </c>
      <c r="P16" s="14">
        <f t="shared" si="33"/>
        <v>16.023988434505792</v>
      </c>
      <c r="Q16" s="22">
        <f t="shared" si="2"/>
        <v>124.5611931900976</v>
      </c>
      <c r="R16" s="62">
        <f t="shared" si="0"/>
        <v>417.8945265234309</v>
      </c>
      <c r="S16" s="62">
        <f ca="1">AVERAGE(OFFSET($R$3,0,0,'Données projet'!$E$9+1,1))-AVERAGE(OFFSET($H$3,0,0,'Données projet'!$E$9+1,1))</f>
        <v>147.72913422715322</v>
      </c>
      <c r="T16" s="62">
        <f t="shared" si="34"/>
        <v>361.07991692964799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16.277984942160291</v>
      </c>
      <c r="AC16" s="24">
        <f t="shared" si="3"/>
        <v>16.277984942160291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20.8</v>
      </c>
      <c r="N17" s="14">
        <f>IF('Données projet'!$A$36&gt;35,N16+M17-V16,IF(A17&lt;'Données projet'!$A$36,$K$205^A17,IF(A17='Données projet'!$A$36,'Données projet'!$B$36,N16+M17-V16)))</f>
        <v>113.6</v>
      </c>
      <c r="O17" s="14">
        <f>N17*VLOOKUP('Données projet'!$B$9,Paramètres!$A$1:$I$89,3,0)*VLOOKUP('Données projet'!$B$9,Paramètres!$A$1:$I$89,5,0)</f>
        <v>67.9328</v>
      </c>
      <c r="P17" s="14">
        <f t="shared" si="33"/>
        <v>19.159206778906245</v>
      </c>
      <c r="Q17" s="22">
        <f t="shared" si="2"/>
        <v>151.68524513992836</v>
      </c>
      <c r="R17" s="62">
        <f t="shared" si="0"/>
        <v>445.01857847326164</v>
      </c>
      <c r="S17" s="62">
        <f ca="1">AVERAGE(OFFSET($R$3,0,0,'Données projet'!$E$9+1,1))-AVERAGE(OFFSET($H$3,0,0,'Données projet'!$E$9+1,1))</f>
        <v>147.72913422715322</v>
      </c>
      <c r="T17" s="62">
        <f t="shared" si="34"/>
        <v>361.07991692964799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11.510273536654053</v>
      </c>
      <c r="AC17" s="24">
        <f t="shared" si="3"/>
        <v>11.510273536654053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20.8</v>
      </c>
      <c r="N18" s="14">
        <f>IF('Données projet'!$A$36&gt;35,N17+M18-V17,IF(A18&lt;'Données projet'!$A$36,$K$205^A18,IF(A18='Données projet'!$A$36,'Données projet'!$B$36,N17+M18-V17)))</f>
        <v>134.4</v>
      </c>
      <c r="O18" s="14">
        <f>N18*VLOOKUP('Données projet'!$B$9,Paramètres!$A$1:$I$89,3,0)*VLOOKUP('Données projet'!$B$9,Paramètres!$A$1:$I$89,5,0)</f>
        <v>80.371200000000016</v>
      </c>
      <c r="P18" s="14">
        <f t="shared" si="33"/>
        <v>22.227919990990831</v>
      </c>
      <c r="Q18" s="22">
        <f t="shared" si="2"/>
        <v>178.69346731764236</v>
      </c>
      <c r="R18" s="62">
        <f t="shared" si="0"/>
        <v>472.0268006509757</v>
      </c>
      <c r="S18" s="62">
        <f ca="1">AVERAGE(OFFSET($R$3,0,0,'Données projet'!$E$9+1,1))-AVERAGE(OFFSET($H$3,0,0,'Données projet'!$E$9+1,1))</f>
        <v>147.72913422715322</v>
      </c>
      <c r="T18" s="62">
        <f t="shared" si="34"/>
        <v>361.07991692964799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8.1389924710801456</v>
      </c>
      <c r="AC18" s="24">
        <f t="shared" si="3"/>
        <v>8.1389924710801456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20.8</v>
      </c>
      <c r="N19" s="14">
        <f>IF('Données projet'!$A$36&gt;35,N18+M19-V18,IF(A19&lt;'Données projet'!$A$36,$K$205^A19,IF(A19='Données projet'!$A$36,'Données projet'!$B$36,N18+M19-V18)))</f>
        <v>155.20000000000002</v>
      </c>
      <c r="O19" s="14">
        <f>N19*VLOOKUP('Données projet'!$B$9,Paramètres!$A$1:$I$89,3,0)*VLOOKUP('Données projet'!$B$9,Paramètres!$A$1:$I$89,5,0)</f>
        <v>92.809600000000017</v>
      </c>
      <c r="P19" s="14">
        <f t="shared" si="33"/>
        <v>25.241615800824192</v>
      </c>
      <c r="Q19" s="22">
        <f t="shared" si="2"/>
        <v>205.60586751976882</v>
      </c>
      <c r="R19" s="62">
        <f t="shared" si="0"/>
        <v>498.93920085310214</v>
      </c>
      <c r="S19" s="62">
        <f ca="1">AVERAGE(OFFSET($R$3,0,0,'Données projet'!$E$9+1,1))-AVERAGE(OFFSET($H$3,0,0,'Données projet'!$E$9+1,1))</f>
        <v>147.72913422715322</v>
      </c>
      <c r="T19" s="62">
        <f t="shared" si="34"/>
        <v>361.07991692964799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5.7551367683270263</v>
      </c>
      <c r="AC19" s="24">
        <f t="shared" si="3"/>
        <v>5.7551367683270263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176</v>
      </c>
      <c r="L20" s="13">
        <f>VLOOKUP(A20,'Données projet'!$A$35:$I$55,9,0)</f>
        <v>20.8</v>
      </c>
      <c r="M20" s="13">
        <f t="array" ref="M20">INDEX(L:L,MIN(IF(ISNUMBER(L20:L216),ROW(L20:L216),"")))</f>
        <v>20.8</v>
      </c>
      <c r="N20" s="14">
        <f>IF('Données projet'!$A$36&gt;35,N19+M20-V19,IF(A20&lt;'Données projet'!$A$36,$K$205^A20,IF(A20='Données projet'!$A$36,'Données projet'!$B$36,N19+M20-V19)))</f>
        <v>176.00000000000003</v>
      </c>
      <c r="O20" s="14">
        <f>N20*VLOOKUP('Données projet'!$B$9,Paramètres!$A$1:$I$89,3,0)*VLOOKUP('Données projet'!$B$9,Paramètres!$A$1:$I$89,5,0)</f>
        <v>105.24800000000003</v>
      </c>
      <c r="P20" s="14">
        <f t="shared" si="33"/>
        <v>28.208515027560551</v>
      </c>
      <c r="Q20" s="22">
        <f t="shared" si="2"/>
        <v>232.43676367300134</v>
      </c>
      <c r="R20" s="62">
        <f t="shared" si="0"/>
        <v>525.77009700633471</v>
      </c>
      <c r="S20" s="62">
        <f ca="1">AVERAGE(OFFSET($R$3,0,0,'Données projet'!$E$9+1,1))-AVERAGE(OFFSET($H$3,0,0,'Données projet'!$E$9+1,1))</f>
        <v>147.72913422715322</v>
      </c>
      <c r="T20" s="62">
        <f t="shared" si="34"/>
        <v>361.07991692964799</v>
      </c>
      <c r="U20" s="16">
        <f>IF(ISNA(VLOOKUP(A20,'Données projet'!$A$35:$I$55,3,0)),0,VLOOKUP(A20,'Données projet'!$A$35:$I$55,3,0))</f>
        <v>2</v>
      </c>
      <c r="V20" s="16">
        <f>IF(ISNA(VLOOKUP(A20,'Données projet'!$A$35:$I$55,4,0)),0,VLOOKUP(A20,'Données projet'!$A$35:$I$55,4,0))</f>
        <v>43</v>
      </c>
      <c r="W20" s="17">
        <f>IF(ISNA(VLOOKUP(A20,'Données projet'!$A$35:$I$55,5,0)),0%,VLOOKUP(A20,'Données projet'!$A$35:$I$55,5,0)*VLOOKUP('Données projet'!$B$9,Paramètres!$A$1:$I$89,7,0))</f>
        <v>9.0000000000000011E-2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0.8</v>
      </c>
      <c r="Z20" s="23">
        <f>EXP(-LN(2)/35)*Z19+(1-EXP(-LN(2)/35))/(LN(2)/35)*V20*W20*VLOOKUP('Données projet'!$B$9,Paramètres!$A$1:$I$89,3,0)*0.475*44/12</f>
        <v>3.0700150566455107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27.360873274416509</v>
      </c>
      <c r="AC20" s="24">
        <f t="shared" si="3"/>
        <v>30.430888331062018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19.8</v>
      </c>
      <c r="N21" s="14">
        <f>IF('Données projet'!$A$36&gt;35,N20+M21-V20,IF(A21&lt;'Données projet'!$A$36,$K$205^A21,IF(A21='Données projet'!$A$36,'Données projet'!$B$36,N20+M21-V20)))</f>
        <v>152.80000000000004</v>
      </c>
      <c r="O21" s="14">
        <f>N21*VLOOKUP('Données projet'!$B$9,Paramètres!$A$1:$I$89,3,0)*VLOOKUP('Données projet'!$B$9,Paramètres!$A$1:$I$89,5,0)</f>
        <v>91.374400000000037</v>
      </c>
      <c r="P21" s="14">
        <f t="shared" si="33"/>
        <v>24.89640423383166</v>
      </c>
      <c r="Q21" s="22">
        <f t="shared" si="2"/>
        <v>202.50498404059022</v>
      </c>
      <c r="R21" s="62">
        <f t="shared" si="0"/>
        <v>495.83831737392353</v>
      </c>
      <c r="S21" s="62">
        <f ca="1">AVERAGE(OFFSET($R$3,0,0,'Données projet'!$E$9+1,1))-AVERAGE(OFFSET($H$3,0,0,'Données projet'!$E$9+1,1))</f>
        <v>147.72913422715322</v>
      </c>
      <c r="T21" s="62">
        <f t="shared" si="34"/>
        <v>361.07991692964799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3.0098139339089802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19.347059031525692</v>
      </c>
      <c r="AC21" s="24">
        <f t="shared" si="3"/>
        <v>22.356872965434672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19.8</v>
      </c>
      <c r="N22" s="14">
        <f>IF('Données projet'!$A$36&gt;35,N21+M22-V21,IF(A22&lt;'Données projet'!$A$36,$K$205^A22,IF(A22='Données projet'!$A$36,'Données projet'!$B$36,N21+M22-V21)))</f>
        <v>172.60000000000005</v>
      </c>
      <c r="O22" s="14">
        <f>N22*VLOOKUP('Données projet'!$B$9,Paramètres!$A$1:$I$89,3,0)*VLOOKUP('Données projet'!$B$9,Paramètres!$A$1:$I$89,5,0)</f>
        <v>103.21480000000004</v>
      </c>
      <c r="P22" s="14">
        <f t="shared" si="33"/>
        <v>27.726463199430338</v>
      </c>
      <c r="Q22" s="22">
        <f t="shared" si="2"/>
        <v>228.05603340567458</v>
      </c>
      <c r="R22" s="62">
        <f t="shared" si="0"/>
        <v>521.38936673900787</v>
      </c>
      <c r="S22" s="62">
        <f ca="1">AVERAGE(OFFSET($R$3,0,0,'Données projet'!$E$9+1,1))-AVERAGE(OFFSET($H$3,0,0,'Données projet'!$E$9+1,1))</f>
        <v>147.72913422715322</v>
      </c>
      <c r="T22" s="62">
        <f t="shared" si="34"/>
        <v>361.07991692964799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2.9507933184702542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13.680436637208256</v>
      </c>
      <c r="AC22" s="24">
        <f t="shared" si="3"/>
        <v>16.63122995567851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19.8</v>
      </c>
      <c r="N23" s="14">
        <f>IF('Données projet'!$A$36&gt;35,N22+M23-V22,IF(A23&lt;'Données projet'!$A$36,$K$205^A23,IF(A23='Données projet'!$A$36,'Données projet'!$B$36,N22+M23-V22)))</f>
        <v>192.40000000000006</v>
      </c>
      <c r="O23" s="14">
        <f>N23*VLOOKUP('Données projet'!$B$9,Paramètres!$A$1:$I$89,3,0)*VLOOKUP('Données projet'!$B$9,Paramètres!$A$1:$I$89,5,0)</f>
        <v>115.05520000000004</v>
      </c>
      <c r="P23" s="14">
        <f t="shared" si="33"/>
        <v>30.5188966745568</v>
      </c>
      <c r="Q23" s="22">
        <f t="shared" si="2"/>
        <v>253.54155170818649</v>
      </c>
      <c r="R23" s="62">
        <f t="shared" si="0"/>
        <v>546.87488504151975</v>
      </c>
      <c r="S23" s="62">
        <f ca="1">AVERAGE(OFFSET($R$3,0,0,'Données projet'!$E$9+1,1))-AVERAGE(OFFSET($H$3,0,0,'Données projet'!$E$9+1,1))</f>
        <v>147.72913422715322</v>
      </c>
      <c r="T23" s="62">
        <f t="shared" si="34"/>
        <v>361.07991692964799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2.8929300613012607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9.6735295157628478</v>
      </c>
      <c r="AC23" s="24">
        <f t="shared" si="3"/>
        <v>12.566459577064109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19.8</v>
      </c>
      <c r="N24" s="14">
        <f>IF('Données projet'!$A$36&gt;35,N23+M24-V23,IF(A24&lt;'Données projet'!$A$36,$K$205^A24,IF(A24='Données projet'!$A$36,'Données projet'!$B$36,N23+M24-V23)))</f>
        <v>212.20000000000007</v>
      </c>
      <c r="O24" s="14">
        <f>N24*VLOOKUP('Données projet'!$B$9,Paramètres!$A$1:$I$89,3,0)*VLOOKUP('Données projet'!$B$9,Paramètres!$A$1:$I$89,5,0)</f>
        <v>126.89560000000006</v>
      </c>
      <c r="P24" s="14">
        <f t="shared" si="33"/>
        <v>33.278017701950326</v>
      </c>
      <c r="Q24" s="22">
        <f t="shared" si="2"/>
        <v>278.96905083089689</v>
      </c>
      <c r="R24" s="62">
        <f t="shared" si="0"/>
        <v>572.30238416423026</v>
      </c>
      <c r="S24" s="62">
        <f ca="1">AVERAGE(OFFSET($R$3,0,0,'Données projet'!$E$9+1,1))-AVERAGE(OFFSET($H$3,0,0,'Données projet'!$E$9+1,1))</f>
        <v>147.72913422715322</v>
      </c>
      <c r="T24" s="62">
        <f t="shared" si="34"/>
        <v>361.07991692964799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2.8362014673122493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6.8402183186041299</v>
      </c>
      <c r="AC24" s="24">
        <f t="shared" si="3"/>
        <v>9.6764197859163801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232</v>
      </c>
      <c r="L25" s="13">
        <f>VLOOKUP(A25,'Données projet'!$A$35:$I$55,9,0)</f>
        <v>19.8</v>
      </c>
      <c r="M25" s="13">
        <f t="array" ref="M25">INDEX(L:L,MIN(IF(ISNUMBER(L25:L221),ROW(L25:L221),"")))</f>
        <v>19.8</v>
      </c>
      <c r="N25" s="14">
        <f>IF('Données projet'!$A$36&gt;35,N24+M25-V24,IF(A25&lt;'Données projet'!$A$36,$K$205^A25,IF(A25='Données projet'!$A$36,'Données projet'!$B$36,N24+M25-V24)))</f>
        <v>232.00000000000009</v>
      </c>
      <c r="O25" s="14">
        <f>N25*VLOOKUP('Données projet'!$B$9,Paramètres!$A$1:$I$89,3,0)*VLOOKUP('Données projet'!$B$9,Paramètres!$A$1:$I$89,5,0)</f>
        <v>138.73600000000005</v>
      </c>
      <c r="P25" s="14">
        <f t="shared" si="33"/>
        <v>36.007288175538072</v>
      </c>
      <c r="Q25" s="22">
        <f t="shared" si="2"/>
        <v>304.34456023906222</v>
      </c>
      <c r="R25" s="62">
        <f t="shared" si="0"/>
        <v>597.67789357239553</v>
      </c>
      <c r="S25" s="62">
        <f ca="1">AVERAGE(OFFSET($R$3,0,0,'Données projet'!$E$9+1,1))-AVERAGE(OFFSET($H$3,0,0,'Données projet'!$E$9+1,1))</f>
        <v>147.72913422715322</v>
      </c>
      <c r="T25" s="62">
        <f t="shared" si="34"/>
        <v>361.07991692964799</v>
      </c>
      <c r="U25" s="16">
        <f>IF(ISNA(VLOOKUP(A25,'Données projet'!$A$35:$I$55,3,0)),0,VLOOKUP(A25,'Données projet'!$A$35:$I$55,3,0))</f>
        <v>3</v>
      </c>
      <c r="V25" s="16">
        <f>IF(ISNA(VLOOKUP(A25,'Données projet'!$A$35:$I$55,4,0)),0,VLOOKUP(A25,'Données projet'!$A$35:$I$55,4,0))</f>
        <v>56</v>
      </c>
      <c r="W25" s="17">
        <f>IF(ISNA(VLOOKUP(A25,'Données projet'!$A$35:$I$55,5,0)),0%,VLOOKUP(A25,'Données projet'!$A$35:$I$55,5,0)*VLOOKUP('Données projet'!$B$9,Paramètres!$A$1:$I$89,7,0))</f>
        <v>0.18000000000000002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0.6</v>
      </c>
      <c r="Z25" s="23">
        <f>EXP(-LN(2)/35)*Z24+(1-EXP(-LN(2)/35))/(LN(2)/35)*V25*W25*VLOOKUP('Données projet'!$B$9,Paramètres!$A$1:$I$89,3,0)*0.475*44/12</f>
        <v>10.776903573527015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27.586481865621199</v>
      </c>
      <c r="AC25" s="24">
        <f t="shared" si="3"/>
        <v>38.363385439148217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16.625</v>
      </c>
      <c r="N26" s="14">
        <f>IF('Données projet'!$A$36&gt;35,N25+M26-V25,IF(A26&lt;'Données projet'!$A$36,$K$205^A26,IF(A26='Données projet'!$A$36,'Données projet'!$B$36,N25+M26-V25)))</f>
        <v>192.62500000000009</v>
      </c>
      <c r="O26" s="14">
        <f>N26*VLOOKUP('Données projet'!$B$9,Paramètres!$A$1:$I$89,3,0)*VLOOKUP('Données projet'!$B$9,Paramètres!$A$1:$I$89,5,0)</f>
        <v>115.18975000000006</v>
      </c>
      <c r="P26" s="14">
        <f t="shared" si="33"/>
        <v>30.550430193620951</v>
      </c>
      <c r="Q26" s="22">
        <f t="shared" si="2"/>
        <v>253.83081383722325</v>
      </c>
      <c r="R26" s="62">
        <f t="shared" si="0"/>
        <v>547.16414717055659</v>
      </c>
      <c r="S26" s="62">
        <f ca="1">AVERAGE(OFFSET($R$3,0,0,'Données projet'!$E$9+1,1))-AVERAGE(OFFSET($H$3,0,0,'Données projet'!$E$9+1,1))</f>
        <v>147.72913422715322</v>
      </c>
      <c r="T26" s="62">
        <f t="shared" si="34"/>
        <v>361.07991692964799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10.565575067712274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19.506588396260472</v>
      </c>
      <c r="AC26" s="24">
        <f t="shared" si="3"/>
        <v>30.072163463972746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16.625</v>
      </c>
      <c r="N27" s="14">
        <f>IF('Données projet'!$A$36&gt;35,N26+M27-V26,IF(A27&lt;'Données projet'!$A$36,$K$205^A27,IF(A27='Données projet'!$A$36,'Données projet'!$B$36,N26+M27-V26)))</f>
        <v>209.25000000000009</v>
      </c>
      <c r="O27" s="14">
        <f>N27*VLOOKUP('Données projet'!$B$9,Paramètres!$A$1:$I$89,3,0)*VLOOKUP('Données projet'!$B$9,Paramètres!$A$1:$I$89,5,0)</f>
        <v>125.13150000000006</v>
      </c>
      <c r="P27" s="14">
        <f t="shared" si="33"/>
        <v>32.868905092404546</v>
      </c>
      <c r="Q27" s="22">
        <f t="shared" si="2"/>
        <v>275.18403886927132</v>
      </c>
      <c r="R27" s="62">
        <f t="shared" si="0"/>
        <v>568.51737220260463</v>
      </c>
      <c r="S27" s="62">
        <f ca="1">AVERAGE(OFFSET($R$3,0,0,'Données projet'!$E$9+1,1))-AVERAGE(OFFSET($H$3,0,0,'Données projet'!$E$9+1,1))</f>
        <v>147.72913422715322</v>
      </c>
      <c r="T27" s="62">
        <f t="shared" si="34"/>
        <v>361.07991692964799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10.358390584998899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13.793240932810601</v>
      </c>
      <c r="AC27" s="24">
        <f t="shared" si="3"/>
        <v>24.151631517809498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16.625</v>
      </c>
      <c r="N28" s="14">
        <f>IF('Données projet'!$A$36&gt;35,N27+M28-V27,IF(A28&lt;'Données projet'!$A$36,$K$205^A28,IF(A28='Données projet'!$A$36,'Données projet'!$B$36,N27+M28-V27)))</f>
        <v>225.87500000000009</v>
      </c>
      <c r="O28" s="14">
        <f>N28*VLOOKUP('Données projet'!$B$9,Paramètres!$A$1:$I$89,3,0)*VLOOKUP('Données projet'!$B$9,Paramètres!$A$1:$I$89,5,0)</f>
        <v>135.07325000000006</v>
      </c>
      <c r="P28" s="14">
        <f t="shared" si="33"/>
        <v>35.166013795582487</v>
      </c>
      <c r="Q28" s="22">
        <f t="shared" si="2"/>
        <v>296.50005111063956</v>
      </c>
      <c r="R28" s="62">
        <f t="shared" si="0"/>
        <v>589.83338444397282</v>
      </c>
      <c r="S28" s="62">
        <f ca="1">AVERAGE(OFFSET($R$3,0,0,'Données projet'!$E$9+1,1))-AVERAGE(OFFSET($H$3,0,0,'Données projet'!$E$9+1,1))</f>
        <v>147.72913422715322</v>
      </c>
      <c r="T28" s="62">
        <f t="shared" si="34"/>
        <v>361.07991692964799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10.155268863621478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9.7532941981302379</v>
      </c>
      <c r="AC28" s="24">
        <f t="shared" si="3"/>
        <v>19.908563061751714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16.625</v>
      </c>
      <c r="N29" s="14">
        <f>IF('Données projet'!$A$36&gt;35,N28+M29-V28,IF(A29&lt;'Données projet'!$A$36,$K$205^A29,IF(A29='Données projet'!$A$36,'Données projet'!$B$36,N28+M29-V28)))</f>
        <v>242.50000000000009</v>
      </c>
      <c r="O29" s="14">
        <f>N29*VLOOKUP('Données projet'!$B$9,Paramètres!$A$1:$I$89,3,0)*VLOOKUP('Données projet'!$B$9,Paramètres!$A$1:$I$89,5,0)</f>
        <v>145.01500000000004</v>
      </c>
      <c r="P29" s="14">
        <f t="shared" si="33"/>
        <v>37.443507744276459</v>
      </c>
      <c r="Q29" s="22">
        <f t="shared" si="2"/>
        <v>317.78190098794829</v>
      </c>
      <c r="R29" s="62">
        <f t="shared" si="0"/>
        <v>611.1152343212816</v>
      </c>
      <c r="S29" s="62">
        <f ca="1">AVERAGE(OFFSET($R$3,0,0,'Données projet'!$E$9+1,1))-AVERAGE(OFFSET($H$3,0,0,'Données projet'!$E$9+1,1))</f>
        <v>147.72913422715322</v>
      </c>
      <c r="T29" s="62">
        <f t="shared" si="34"/>
        <v>361.07991692964799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9.956130235308251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6.8966204664053024</v>
      </c>
      <c r="AC29" s="24">
        <f t="shared" si="3"/>
        <v>16.852750701713553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16.625</v>
      </c>
      <c r="N30" s="14">
        <f>IF('Données projet'!$A$36&gt;35,N29+M30-V29,IF(A30&lt;'Données projet'!$A$36,$K$205^A30,IF(A30='Données projet'!$A$36,'Données projet'!$B$36,N29+M30-V29)))</f>
        <v>259.12500000000011</v>
      </c>
      <c r="O30" s="14">
        <f>N30*VLOOKUP('Données projet'!$B$9,Paramètres!$A$1:$I$89,3,0)*VLOOKUP('Données projet'!$B$9,Paramètres!$A$1:$I$89,5,0)</f>
        <v>154.95675000000008</v>
      </c>
      <c r="P30" s="14">
        <f t="shared" si="33"/>
        <v>39.702884639661342</v>
      </c>
      <c r="Q30" s="22">
        <f t="shared" si="2"/>
        <v>339.03219699741027</v>
      </c>
      <c r="R30" s="62">
        <f t="shared" si="0"/>
        <v>632.36553033074358</v>
      </c>
      <c r="S30" s="62">
        <f ca="1">AVERAGE(OFFSET($R$3,0,0,'Données projet'!$E$9+1,1))-AVERAGE(OFFSET($H$3,0,0,'Données projet'!$E$9+1,1))</f>
        <v>147.72913422715322</v>
      </c>
      <c r="T30" s="62">
        <f t="shared" si="34"/>
        <v>361.07991692964799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9.7608965940336763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4.8766470990651198</v>
      </c>
      <c r="AC30" s="24">
        <f t="shared" si="3"/>
        <v>14.637543693098795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16.625</v>
      </c>
      <c r="N31" s="14">
        <f>IF('Données projet'!$A$36&gt;35,N30+M31-V30,IF(A31&lt;'Données projet'!$A$36,$K$205^A31,IF(A31='Données projet'!$A$36,'Données projet'!$B$36,N30+M31-V30)))</f>
        <v>275.75000000000011</v>
      </c>
      <c r="O31" s="14">
        <f>N31*VLOOKUP('Données projet'!$B$9,Paramètres!$A$1:$I$89,3,0)*VLOOKUP('Données projet'!$B$9,Paramètres!$A$1:$I$89,5,0)</f>
        <v>164.89850000000007</v>
      </c>
      <c r="P31" s="14">
        <f t="shared" si="33"/>
        <v>41.94543913753872</v>
      </c>
      <c r="Q31" s="22">
        <f t="shared" si="2"/>
        <v>360.25319399788003</v>
      </c>
      <c r="R31" s="62">
        <f t="shared" si="0"/>
        <v>653.58652733121335</v>
      </c>
      <c r="S31" s="62">
        <f ca="1">AVERAGE(OFFSET($R$3,0,0,'Données projet'!$E$9+1,1))-AVERAGE(OFFSET($H$3,0,0,'Données projet'!$E$9+1,1))</f>
        <v>147.72913422715322</v>
      </c>
      <c r="T31" s="62">
        <f t="shared" si="34"/>
        <v>361.07991692964799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9.5694913653837332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3.4483102332026516</v>
      </c>
      <c r="AC31" s="24">
        <f t="shared" si="3"/>
        <v>13.017801598586384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16.625</v>
      </c>
      <c r="N32" s="14">
        <f>IF('Données projet'!$A$36&gt;35,N31+M32-V31,IF(A32&lt;'Données projet'!$A$36,$K$205^A32,IF(A32='Données projet'!$A$36,'Données projet'!$B$36,N31+M32-V31)))</f>
        <v>292.37500000000011</v>
      </c>
      <c r="O32" s="14">
        <f>N32*VLOOKUP('Données projet'!$B$9,Paramètres!$A$1:$I$89,3,0)*VLOOKUP('Données projet'!$B$9,Paramètres!$A$1:$I$89,5,0)</f>
        <v>174.84025000000008</v>
      </c>
      <c r="P32" s="14">
        <f t="shared" si="33"/>
        <v>44.172300963535264</v>
      </c>
      <c r="Q32" s="22">
        <f t="shared" si="2"/>
        <v>381.44685959482405</v>
      </c>
      <c r="R32" s="62">
        <f t="shared" si="0"/>
        <v>674.78019292815736</v>
      </c>
      <c r="S32" s="62">
        <f ca="1">AVERAGE(OFFSET($R$3,0,0,'Données projet'!$E$9+1,1))-AVERAGE(OFFSET($H$3,0,0,'Données projet'!$E$9+1,1))</f>
        <v>147.72913422715322</v>
      </c>
      <c r="T32" s="62">
        <f t="shared" si="34"/>
        <v>361.07991692964799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9.3818394765219537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2.4383235495325604</v>
      </c>
      <c r="AC32" s="24">
        <f t="shared" si="3"/>
        <v>11.820163026054514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309</v>
      </c>
      <c r="L33" s="13">
        <f>VLOOKUP(A33,'Données projet'!$A$35:$I$55,9,0)</f>
        <v>16.625</v>
      </c>
      <c r="M33" s="13">
        <f t="array" ref="M33">INDEX(L:L,MIN(IF(ISNUMBER(L33:L229),ROW(L33:L229),"")))</f>
        <v>16.625</v>
      </c>
      <c r="N33" s="14">
        <f>IF('Données projet'!$A$36&gt;35,N32+M33-V32,IF(A33&lt;'Données projet'!$A$36,$K$205^A33,IF(A33='Données projet'!$A$36,'Données projet'!$B$36,N32+M33-V32)))</f>
        <v>309.00000000000011</v>
      </c>
      <c r="O33" s="14">
        <f>N33*VLOOKUP('Données projet'!$B$9,Paramètres!$A$1:$I$89,3,0)*VLOOKUP('Données projet'!$B$9,Paramètres!$A$1:$I$89,5,0)</f>
        <v>184.7820000000001</v>
      </c>
      <c r="P33" s="14">
        <f t="shared" si="33"/>
        <v>46.384464109944147</v>
      </c>
      <c r="Q33" s="22">
        <f t="shared" si="2"/>
        <v>402.61492499148613</v>
      </c>
      <c r="R33" s="62">
        <f t="shared" si="0"/>
        <v>695.94825832481945</v>
      </c>
      <c r="S33" s="62">
        <f ca="1">AVERAGE(OFFSET($R$3,0,0,'Données projet'!$E$9+1,1))-AVERAGE(OFFSET($H$3,0,0,'Données projet'!$E$9+1,1))</f>
        <v>147.72913422715322</v>
      </c>
      <c r="T33" s="62">
        <f t="shared" si="34"/>
        <v>361.07991692964799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309</v>
      </c>
      <c r="W33" s="17">
        <f>IF(ISNA(VLOOKUP(A33,'Données projet'!$A$35:$I$55,5,0)),0%,VLOOKUP(A33,'Données projet'!$A$35:$I$55,5,0)*VLOOKUP('Données projet'!$B$9,Paramètres!$A$1:$I$89,7,0))</f>
        <v>0.18000000000000002</v>
      </c>
      <c r="X33" s="17">
        <f>IF(ISNA(VLOOKUP(A33,'Données projet'!$A$35:$I$55,6,0)),0%,VLOOKUP(A33,'Données projet'!$A$35:$I$55,6,0)*VLOOKUP('Données projet'!$B$9,Paramètres!$A$1:$I$89,7,0))</f>
        <v>0.18000000000000002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53.320409303649647</v>
      </c>
      <c r="AA33" s="23">
        <f>EXP(-LN(2)/25)*AA32+(1-EXP(-LN(2)/25))/(LN(2)/25)*Calculateur!V33*Calculateur!X33*VLOOKUP('Données projet'!$B$9,Paramètres!$A$1:$I$89,3,0)*0.475*44/12</f>
        <v>43.948814717135633</v>
      </c>
      <c r="AB33" s="23">
        <f>EXP(-LN(2)/2)*AB32+(1-EXP(-LN(2)/2))/(LN(2)/2)*V33*Y33*VLOOKUP('Données projet'!$B$9,Paramètres!$A$1:$I$89,3,0)*0.475*44/12</f>
        <v>43.567384796908406</v>
      </c>
      <c r="AC33" s="24">
        <f t="shared" si="3"/>
        <v>140.8366088176937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1.1368683772161603E-13</v>
      </c>
      <c r="O34" s="14">
        <f>N34*VLOOKUP('Données projet'!$B$9,Paramètres!$A$1:$I$89,3,0)*VLOOKUP('Données projet'!$B$9,Paramètres!$A$1:$I$89,5,0)</f>
        <v>6.7984728957526396E-14</v>
      </c>
      <c r="P34" s="14">
        <f t="shared" si="33"/>
        <v>1.0682447123141398E-12</v>
      </c>
      <c r="Q34" s="22">
        <f t="shared" si="2"/>
        <v>1.978932943548152E-12</v>
      </c>
      <c r="R34" s="62">
        <f t="shared" si="0"/>
        <v>293.3333333333353</v>
      </c>
      <c r="S34" s="62">
        <f ca="1">AVERAGE(OFFSET($R$3,0,0,'Données projet'!$E$9+1,1))-AVERAGE(OFFSET($H$3,0,0,'Données projet'!$E$9+1,1))</f>
        <v>147.72913422715322</v>
      </c>
      <c r="T34" s="62">
        <f t="shared" si="34"/>
        <v>361.07991692964799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52.274828599443445</v>
      </c>
      <c r="AA34" s="23">
        <f>EXP(-LN(2)/25)*AA33+(1-EXP(-LN(2)/25))/(LN(2)/25)*Calculateur!V34*Calculateur!X34*VLOOKUP('Données projet'!$B$9,Paramètres!$A$1:$I$89,3,0)*0.475*44/12</f>
        <v>42.74703206752784</v>
      </c>
      <c r="AB34" s="23">
        <f>EXP(-LN(2)/2)*AB33+(1-EXP(-LN(2)/2))/(LN(2)/2)*V34*Y34*VLOOKUP('Données projet'!$B$9,Paramètres!$A$1:$I$89,3,0)*0.475*44/12</f>
        <v>30.806793228457632</v>
      </c>
      <c r="AC34" s="24">
        <f t="shared" si="3"/>
        <v>125.82865389542893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1.1368683772161603E-13</v>
      </c>
      <c r="O35" s="14">
        <f>N35*VLOOKUP('Données projet'!$B$9,Paramètres!$A$1:$I$89,3,0)*VLOOKUP('Données projet'!$B$9,Paramètres!$A$1:$I$89,5,0)</f>
        <v>6.7984728957526396E-14</v>
      </c>
      <c r="P35" s="14">
        <f t="shared" si="33"/>
        <v>1.0682447123141398E-12</v>
      </c>
      <c r="Q35" s="22">
        <f t="shared" ref="Q35:Q66" si="53">(O35+P35)*0.475*44/12</f>
        <v>1.978932943548152E-12</v>
      </c>
      <c r="R35" s="62">
        <f t="shared" si="0"/>
        <v>293.3333333333353</v>
      </c>
      <c r="S35" s="62">
        <f ca="1">AVERAGE(OFFSET($R$3,0,0,'Données projet'!$E$9+1,1))-AVERAGE(OFFSET($H$3,0,0,'Données projet'!$E$9+1,1))</f>
        <v>147.72913422715322</v>
      </c>
      <c r="T35" s="62">
        <f t="shared" si="34"/>
        <v>361.07991692964799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51.249751095105474</v>
      </c>
      <c r="AA35" s="23">
        <f>EXP(-LN(2)/25)*AA34+(1-EXP(-LN(2)/25))/(LN(2)/25)*Calculateur!V35*Calculateur!X35*VLOOKUP('Données projet'!$B$9,Paramètres!$A$1:$I$89,3,0)*0.475*44/12</f>
        <v>41.578112227672577</v>
      </c>
      <c r="AB35" s="23">
        <f>EXP(-LN(2)/2)*AB34+(1-EXP(-LN(2)/2))/(LN(2)/2)*V35*Y35*VLOOKUP('Données projet'!$B$9,Paramètres!$A$1:$I$89,3,0)*0.475*44/12</f>
        <v>21.783692398454207</v>
      </c>
      <c r="AC35" s="24">
        <f t="shared" si="3"/>
        <v>114.61155572123226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1.1368683772161603E-13</v>
      </c>
      <c r="O36" s="14">
        <f>N36*VLOOKUP('Données projet'!$B$9,Paramètres!$A$1:$I$89,3,0)*VLOOKUP('Données projet'!$B$9,Paramètres!$A$1:$I$89,5,0)</f>
        <v>6.7984728957526396E-14</v>
      </c>
      <c r="P36" s="14">
        <f t="shared" si="33"/>
        <v>1.0682447123141398E-12</v>
      </c>
      <c r="Q36" s="22">
        <f t="shared" si="53"/>
        <v>1.978932943548152E-12</v>
      </c>
      <c r="R36" s="62">
        <f t="shared" si="0"/>
        <v>293.3333333333353</v>
      </c>
      <c r="S36" s="62">
        <f ca="1">AVERAGE(OFFSET($R$3,0,0,'Données projet'!$E$9+1,1))-AVERAGE(OFFSET($H$3,0,0,'Données projet'!$E$9+1,1))</f>
        <v>147.72913422715322</v>
      </c>
      <c r="T36" s="62">
        <f t="shared" si="34"/>
        <v>361.07991692964799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50.244774735392028</v>
      </c>
      <c r="AA36" s="23">
        <f>EXP(-LN(2)/25)*AA35+(1-EXP(-LN(2)/25))/(LN(2)/25)*Calculateur!V36*Calculateur!X36*VLOOKUP('Données projet'!$B$9,Paramètres!$A$1:$I$89,3,0)*0.475*44/12</f>
        <v>40.441156562308976</v>
      </c>
      <c r="AB36" s="23">
        <f>EXP(-LN(2)/2)*AB35+(1-EXP(-LN(2)/2))/(LN(2)/2)*V36*Y36*VLOOKUP('Données projet'!$B$9,Paramètres!$A$1:$I$89,3,0)*0.475*44/12</f>
        <v>15.403396614228818</v>
      </c>
      <c r="AC36" s="24">
        <f t="shared" si="3"/>
        <v>106.08932791192981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1.1368683772161603E-13</v>
      </c>
      <c r="O37" s="14">
        <f>N37*VLOOKUP('Données projet'!$B$9,Paramètres!$A$1:$I$89,3,0)*VLOOKUP('Données projet'!$B$9,Paramètres!$A$1:$I$89,5,0)</f>
        <v>6.7984728957526396E-14</v>
      </c>
      <c r="P37" s="14">
        <f t="shared" si="33"/>
        <v>1.0682447123141398E-12</v>
      </c>
      <c r="Q37" s="22">
        <f t="shared" si="53"/>
        <v>1.978932943548152E-12</v>
      </c>
      <c r="R37" s="62">
        <f t="shared" si="0"/>
        <v>293.3333333333353</v>
      </c>
      <c r="S37" s="62">
        <f ca="1">AVERAGE(OFFSET($R$3,0,0,'Données projet'!$E$9+1,1))-AVERAGE(OFFSET($H$3,0,0,'Données projet'!$E$9+1,1))</f>
        <v>147.72913422715322</v>
      </c>
      <c r="T37" s="62">
        <f t="shared" si="34"/>
        <v>361.07991692964799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49.259505349117511</v>
      </c>
      <c r="AA37" s="23">
        <f>EXP(-LN(2)/25)*AA36+(1-EXP(-LN(2)/25))/(LN(2)/25)*Calculateur!V37*Calculateur!X37*VLOOKUP('Données projet'!$B$9,Paramètres!$A$1:$I$89,3,0)*0.475*44/12</f>
        <v>39.335291009404642</v>
      </c>
      <c r="AB37" s="23">
        <f>EXP(-LN(2)/2)*AB36+(1-EXP(-LN(2)/2))/(LN(2)/2)*V37*Y37*VLOOKUP('Données projet'!$B$9,Paramètres!$A$1:$I$89,3,0)*0.475*44/12</f>
        <v>10.891846199227105</v>
      </c>
      <c r="AC37" s="24">
        <f t="shared" si="3"/>
        <v>99.486642557749263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1.1368683772161603E-13</v>
      </c>
      <c r="O38" s="14">
        <f>N38*VLOOKUP('Données projet'!$B$9,Paramètres!$A$1:$I$89,3,0)*VLOOKUP('Données projet'!$B$9,Paramètres!$A$1:$I$89,5,0)</f>
        <v>6.7984728957526396E-14</v>
      </c>
      <c r="P38" s="14">
        <f t="shared" si="33"/>
        <v>1.0682447123141398E-12</v>
      </c>
      <c r="Q38" s="22">
        <f t="shared" si="53"/>
        <v>1.978932943548152E-12</v>
      </c>
      <c r="R38" s="62">
        <f t="shared" si="0"/>
        <v>293.3333333333353</v>
      </c>
      <c r="S38" s="62">
        <f ca="1">AVERAGE(OFFSET($R$3,0,0,'Données projet'!$E$9+1,1))-AVERAGE(OFFSET($H$3,0,0,'Données projet'!$E$9+1,1))</f>
        <v>147.72913422715322</v>
      </c>
      <c r="T38" s="62">
        <f t="shared" si="34"/>
        <v>361.07991692964799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48.293556494552853</v>
      </c>
      <c r="AA38" s="23">
        <f>EXP(-LN(2)/25)*AA37+(1-EXP(-LN(2)/25))/(LN(2)/25)*Calculateur!V38*Calculateur!X38*VLOOKUP('Données projet'!$B$9,Paramètres!$A$1:$I$89,3,0)*0.475*44/12</f>
        <v>38.259665408199417</v>
      </c>
      <c r="AB38" s="23">
        <f>EXP(-LN(2)/2)*AB37+(1-EXP(-LN(2)/2))/(LN(2)/2)*V38*Y38*VLOOKUP('Données projet'!$B$9,Paramètres!$A$1:$I$89,3,0)*0.475*44/12</f>
        <v>7.7016983071144107</v>
      </c>
      <c r="AC38" s="24">
        <f t="shared" si="3"/>
        <v>94.254920209866683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1.1368683772161603E-13</v>
      </c>
      <c r="O39" s="14">
        <f>N39*VLOOKUP('Données projet'!$B$9,Paramètres!$A$1:$I$89,3,0)*VLOOKUP('Données projet'!$B$9,Paramètres!$A$1:$I$89,5,0)</f>
        <v>6.7984728957526396E-14</v>
      </c>
      <c r="P39" s="14">
        <f t="shared" si="33"/>
        <v>1.0682447123141398E-12</v>
      </c>
      <c r="Q39" s="22">
        <f t="shared" si="53"/>
        <v>1.978932943548152E-12</v>
      </c>
      <c r="R39" s="62">
        <f t="shared" si="0"/>
        <v>293.3333333333353</v>
      </c>
      <c r="S39" s="62">
        <f ca="1">AVERAGE(OFFSET($R$3,0,0,'Données projet'!$E$9+1,1))-AVERAGE(OFFSET($H$3,0,0,'Données projet'!$E$9+1,1))</f>
        <v>147.72913422715322</v>
      </c>
      <c r="T39" s="62">
        <f t="shared" si="34"/>
        <v>361.07991692964799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47.346549307855575</v>
      </c>
      <c r="AA39" s="23">
        <f>EXP(-LN(2)/25)*AA38+(1-EXP(-LN(2)/25))/(LN(2)/25)*Calculateur!V39*Calculateur!X39*VLOOKUP('Données projet'!$B$9,Paramètres!$A$1:$I$89,3,0)*0.475*44/12</f>
        <v>37.213452845623841</v>
      </c>
      <c r="AB39" s="23">
        <f>EXP(-LN(2)/2)*AB38+(1-EXP(-LN(2)/2))/(LN(2)/2)*V39*Y39*VLOOKUP('Données projet'!$B$9,Paramètres!$A$1:$I$89,3,0)*0.475*44/12</f>
        <v>5.4459230996135535</v>
      </c>
      <c r="AC39" s="24">
        <f t="shared" si="3"/>
        <v>90.005925253092968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1.1368683772161603E-13</v>
      </c>
      <c r="O40" s="14">
        <f>N40*VLOOKUP('Données projet'!$B$9,Paramètres!$A$1:$I$89,3,0)*VLOOKUP('Données projet'!$B$9,Paramètres!$A$1:$I$89,5,0)</f>
        <v>6.7984728957526396E-14</v>
      </c>
      <c r="P40" s="14">
        <f t="shared" si="33"/>
        <v>1.0682447123141398E-12</v>
      </c>
      <c r="Q40" s="22">
        <f t="shared" si="53"/>
        <v>1.978932943548152E-12</v>
      </c>
      <c r="R40" s="62">
        <f t="shared" si="0"/>
        <v>293.3333333333353</v>
      </c>
      <c r="S40" s="62">
        <f ca="1">AVERAGE(OFFSET($R$3,0,0,'Données projet'!$E$9+1,1))-AVERAGE(OFFSET($H$3,0,0,'Données projet'!$E$9+1,1))</f>
        <v>147.72913422715322</v>
      </c>
      <c r="T40" s="62">
        <f t="shared" si="34"/>
        <v>361.07991692964799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46.418112354472086</v>
      </c>
      <c r="AA40" s="23">
        <f>EXP(-LN(2)/25)*AA39+(1-EXP(-LN(2)/25))/(LN(2)/25)*Calculateur!V40*Calculateur!X40*VLOOKUP('Données projet'!$B$9,Paramètres!$A$1:$I$89,3,0)*0.475*44/12</f>
        <v>36.195849020589826</v>
      </c>
      <c r="AB40" s="23">
        <f>EXP(-LN(2)/2)*AB39+(1-EXP(-LN(2)/2))/(LN(2)/2)*V40*Y40*VLOOKUP('Données projet'!$B$9,Paramètres!$A$1:$I$89,3,0)*0.475*44/12</f>
        <v>3.8508491535572058</v>
      </c>
      <c r="AC40" s="24">
        <f t="shared" si="3"/>
        <v>86.464810528619111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1.1368683772161603E-13</v>
      </c>
      <c r="O41" s="14">
        <f>N41*VLOOKUP('Données projet'!$B$9,Paramètres!$A$1:$I$89,3,0)*VLOOKUP('Données projet'!$B$9,Paramètres!$A$1:$I$89,5,0)</f>
        <v>6.7984728957526396E-14</v>
      </c>
      <c r="P41" s="14">
        <f t="shared" si="33"/>
        <v>1.0682447123141398E-12</v>
      </c>
      <c r="Q41" s="22">
        <f t="shared" si="53"/>
        <v>1.978932943548152E-12</v>
      </c>
      <c r="R41" s="62">
        <f t="shared" si="0"/>
        <v>293.3333333333353</v>
      </c>
      <c r="S41" s="62">
        <f ca="1">AVERAGE(OFFSET($R$3,0,0,'Données projet'!$E$9+1,1))-AVERAGE(OFFSET($H$3,0,0,'Données projet'!$E$9+1,1))</f>
        <v>147.72913422715322</v>
      </c>
      <c r="T41" s="62">
        <f t="shared" si="34"/>
        <v>361.07991692964799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45.507881483453822</v>
      </c>
      <c r="AA41" s="23">
        <f>EXP(-LN(2)/25)*AA40+(1-EXP(-LN(2)/25))/(LN(2)/25)*Calculateur!V41*Calculateur!X41*VLOOKUP('Données projet'!$B$9,Paramètres!$A$1:$I$89,3,0)*0.475*44/12</f>
        <v>35.206071625664826</v>
      </c>
      <c r="AB41" s="23">
        <f>EXP(-LN(2)/2)*AB40+(1-EXP(-LN(2)/2))/(LN(2)/2)*V41*Y41*VLOOKUP('Données projet'!$B$9,Paramètres!$A$1:$I$89,3,0)*0.475*44/12</f>
        <v>2.7229615498067772</v>
      </c>
      <c r="AC41" s="24">
        <f t="shared" si="3"/>
        <v>83.436914658925431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1.1368683772161603E-13</v>
      </c>
      <c r="O42" s="14">
        <f>N42*VLOOKUP('Données projet'!$B$9,Paramètres!$A$1:$I$89,3,0)*VLOOKUP('Données projet'!$B$9,Paramètres!$A$1:$I$89,5,0)</f>
        <v>6.7984728957526396E-14</v>
      </c>
      <c r="P42" s="14">
        <f t="shared" si="33"/>
        <v>1.0682447123141398E-12</v>
      </c>
      <c r="Q42" s="22">
        <f t="shared" si="53"/>
        <v>1.978932943548152E-12</v>
      </c>
      <c r="R42" s="62">
        <f t="shared" si="0"/>
        <v>293.3333333333353</v>
      </c>
      <c r="S42" s="62">
        <f ca="1">AVERAGE(OFFSET($R$3,0,0,'Données projet'!$E$9+1,1))-AVERAGE(OFFSET($H$3,0,0,'Données projet'!$E$9+1,1))</f>
        <v>147.72913422715322</v>
      </c>
      <c r="T42" s="62">
        <f t="shared" si="34"/>
        <v>361.07991692964799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44.615499684630215</v>
      </c>
      <c r="AA42" s="23">
        <f>EXP(-LN(2)/25)*AA41+(1-EXP(-LN(2)/25))/(LN(2)/25)*Calculateur!V42*Calculateur!X42*VLOOKUP('Données projet'!$B$9,Paramètres!$A$1:$I$89,3,0)*0.475*44/12</f>
        <v>34.243359745654182</v>
      </c>
      <c r="AB42" s="23">
        <f>EXP(-LN(2)/2)*AB41+(1-EXP(-LN(2)/2))/(LN(2)/2)*V42*Y42*VLOOKUP('Données projet'!$B$9,Paramètres!$A$1:$I$89,3,0)*0.475*44/12</f>
        <v>1.9254245767786033</v>
      </c>
      <c r="AC42" s="24">
        <f t="shared" si="3"/>
        <v>80.784284007063007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1.1368683772161603E-13</v>
      </c>
      <c r="O43" s="14">
        <f>N43*VLOOKUP('Données projet'!$B$9,Paramètres!$A$1:$I$89,3,0)*VLOOKUP('Données projet'!$B$9,Paramètres!$A$1:$I$89,5,0)</f>
        <v>6.7984728957526396E-14</v>
      </c>
      <c r="P43" s="14">
        <f t="shared" si="33"/>
        <v>1.0682447123141398E-12</v>
      </c>
      <c r="Q43" s="22">
        <f t="shared" si="53"/>
        <v>1.978932943548152E-12</v>
      </c>
      <c r="R43" s="62">
        <f t="shared" si="0"/>
        <v>293.3333333333353</v>
      </c>
      <c r="S43" s="62">
        <f ca="1">AVERAGE(OFFSET($R$3,0,0,'Données projet'!$E$9+1,1))-AVERAGE(OFFSET($H$3,0,0,'Données projet'!$E$9+1,1))</f>
        <v>147.72913422715322</v>
      </c>
      <c r="T43" s="62">
        <f t="shared" si="34"/>
        <v>361.07991692964799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43.740616948582385</v>
      </c>
      <c r="AA43" s="23">
        <f>EXP(-LN(2)/25)*AA42+(1-EXP(-LN(2)/25))/(LN(2)/25)*Calculateur!V43*Calculateur!X43*VLOOKUP('Données projet'!$B$9,Paramètres!$A$1:$I$89,3,0)*0.475*44/12</f>
        <v>33.306973272629243</v>
      </c>
      <c r="AB43" s="23">
        <f>EXP(-LN(2)/2)*AB42+(1-EXP(-LN(2)/2))/(LN(2)/2)*V43*Y43*VLOOKUP('Données projet'!$B$9,Paramètres!$A$1:$I$89,3,0)*0.475*44/12</f>
        <v>1.3614807749033888</v>
      </c>
      <c r="AC43" s="24">
        <f t="shared" si="3"/>
        <v>78.40907099611502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1.1368683772161603E-13</v>
      </c>
      <c r="O44" s="14">
        <f>N44*VLOOKUP('Données projet'!$B$9,Paramètres!$A$1:$I$89,3,0)*VLOOKUP('Données projet'!$B$9,Paramètres!$A$1:$I$89,5,0)</f>
        <v>6.7984728957526396E-14</v>
      </c>
      <c r="P44" s="14">
        <f t="shared" si="33"/>
        <v>1.0682447123141398E-12</v>
      </c>
      <c r="Q44" s="22">
        <f t="shared" si="53"/>
        <v>1.978932943548152E-12</v>
      </c>
      <c r="R44" s="62">
        <f t="shared" si="0"/>
        <v>293.3333333333353</v>
      </c>
      <c r="S44" s="62">
        <f ca="1">AVERAGE(OFFSET($R$3,0,0,'Données projet'!$E$9+1,1))-AVERAGE(OFFSET($H$3,0,0,'Données projet'!$E$9+1,1))</f>
        <v>147.72913422715322</v>
      </c>
      <c r="T44" s="62">
        <f t="shared" si="34"/>
        <v>361.07991692964799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42.882890129362679</v>
      </c>
      <c r="AA44" s="23">
        <f>EXP(-LN(2)/25)*AA43+(1-EXP(-LN(2)/25))/(LN(2)/25)*Calculateur!V44*Calculateur!X44*VLOOKUP('Données projet'!$B$9,Paramètres!$A$1:$I$89,3,0)*0.475*44/12</f>
        <v>32.396192336951593</v>
      </c>
      <c r="AB44" s="23">
        <f>EXP(-LN(2)/2)*AB43+(1-EXP(-LN(2)/2))/(LN(2)/2)*V44*Y44*VLOOKUP('Données projet'!$B$9,Paramètres!$A$1:$I$89,3,0)*0.475*44/12</f>
        <v>0.96271228838930178</v>
      </c>
      <c r="AC44" s="24">
        <f t="shared" si="3"/>
        <v>76.241794754703562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1.1368683772161603E-13</v>
      </c>
      <c r="O45" s="14">
        <f>N45*VLOOKUP('Données projet'!$B$9,Paramètres!$A$1:$I$89,3,0)*VLOOKUP('Données projet'!$B$9,Paramètres!$A$1:$I$89,5,0)</f>
        <v>6.7984728957526396E-14</v>
      </c>
      <c r="P45" s="14">
        <f t="shared" si="33"/>
        <v>1.0682447123141398E-12</v>
      </c>
      <c r="Q45" s="22">
        <f t="shared" si="53"/>
        <v>1.978932943548152E-12</v>
      </c>
      <c r="R45" s="62">
        <f t="shared" si="0"/>
        <v>293.3333333333353</v>
      </c>
      <c r="S45" s="62">
        <f ca="1">AVERAGE(OFFSET($R$3,0,0,'Données projet'!$E$9+1,1))-AVERAGE(OFFSET($H$3,0,0,'Données projet'!$E$9+1,1))</f>
        <v>147.72913422715322</v>
      </c>
      <c r="T45" s="62">
        <f t="shared" si="34"/>
        <v>361.07991692964799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42.041982809906166</v>
      </c>
      <c r="AA45" s="23">
        <f>EXP(-LN(2)/25)*AA44+(1-EXP(-LN(2)/25))/(LN(2)/25)*Calculateur!V45*Calculateur!X45*VLOOKUP('Données projet'!$B$9,Paramètres!$A$1:$I$89,3,0)*0.475*44/12</f>
        <v>31.510316753855939</v>
      </c>
      <c r="AB45" s="23">
        <f>EXP(-LN(2)/2)*AB44+(1-EXP(-LN(2)/2))/(LN(2)/2)*V45*Y45*VLOOKUP('Données projet'!$B$9,Paramètres!$A$1:$I$89,3,0)*0.475*44/12</f>
        <v>0.68074038745169452</v>
      </c>
      <c r="AC45" s="24">
        <f t="shared" si="3"/>
        <v>74.233039951213797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1.1368683772161603E-13</v>
      </c>
      <c r="O46" s="14">
        <f>N46*VLOOKUP('Données projet'!$B$9,Paramètres!$A$1:$I$89,3,0)*VLOOKUP('Données projet'!$B$9,Paramètres!$A$1:$I$89,5,0)</f>
        <v>6.7984728957526396E-14</v>
      </c>
      <c r="P46" s="14">
        <f t="shared" si="33"/>
        <v>1.0682447123141398E-12</v>
      </c>
      <c r="Q46" s="22">
        <f t="shared" si="53"/>
        <v>1.978932943548152E-12</v>
      </c>
      <c r="R46" s="62">
        <f t="shared" si="0"/>
        <v>293.3333333333353</v>
      </c>
      <c r="S46" s="62">
        <f ca="1">AVERAGE(OFFSET($R$3,0,0,'Données projet'!$E$9+1,1))-AVERAGE(OFFSET($H$3,0,0,'Données projet'!$E$9+1,1))</f>
        <v>147.72913422715322</v>
      </c>
      <c r="T46" s="62">
        <f t="shared" si="34"/>
        <v>361.07991692964799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41.217565170081379</v>
      </c>
      <c r="AA46" s="23">
        <f>EXP(-LN(2)/25)*AA45+(1-EXP(-LN(2)/25))/(LN(2)/25)*Calculateur!V46*Calculateur!X46*VLOOKUP('Données projet'!$B$9,Paramètres!$A$1:$I$89,3,0)*0.475*44/12</f>
        <v>30.648665485166209</v>
      </c>
      <c r="AB46" s="23">
        <f>EXP(-LN(2)/2)*AB45+(1-EXP(-LN(2)/2))/(LN(2)/2)*V46*Y46*VLOOKUP('Données projet'!$B$9,Paramètres!$A$1:$I$89,3,0)*0.475*44/12</f>
        <v>0.48135614419465095</v>
      </c>
      <c r="AC46" s="24">
        <f t="shared" si="3"/>
        <v>72.34758679944224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1.1368683772161603E-13</v>
      </c>
      <c r="O47" s="14">
        <f>N47*VLOOKUP('Données projet'!$B$9,Paramètres!$A$1:$I$89,3,0)*VLOOKUP('Données projet'!$B$9,Paramètres!$A$1:$I$89,5,0)</f>
        <v>6.7984728957526396E-14</v>
      </c>
      <c r="P47" s="14">
        <f t="shared" si="33"/>
        <v>1.0682447123141398E-12</v>
      </c>
      <c r="Q47" s="22">
        <f t="shared" si="53"/>
        <v>1.978932943548152E-12</v>
      </c>
      <c r="R47" s="62">
        <f t="shared" si="0"/>
        <v>293.3333333333353</v>
      </c>
      <c r="S47" s="62">
        <f ca="1">AVERAGE(OFFSET($R$3,0,0,'Données projet'!$E$9+1,1))-AVERAGE(OFFSET($H$3,0,0,'Données projet'!$E$9+1,1))</f>
        <v>147.72913422715322</v>
      </c>
      <c r="T47" s="62">
        <f t="shared" si="34"/>
        <v>361.07991692964799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40.409313857328442</v>
      </c>
      <c r="AA47" s="23">
        <f>EXP(-LN(2)/25)*AA46+(1-EXP(-LN(2)/25))/(LN(2)/25)*Calculateur!V47*Calculateur!X47*VLOOKUP('Données projet'!$B$9,Paramètres!$A$1:$I$89,3,0)*0.475*44/12</f>
        <v>29.81057611573107</v>
      </c>
      <c r="AB47" s="23">
        <f>EXP(-LN(2)/2)*AB46+(1-EXP(-LN(2)/2))/(LN(2)/2)*V47*Y47*VLOOKUP('Données projet'!$B$9,Paramètres!$A$1:$I$89,3,0)*0.475*44/12</f>
        <v>0.34037019372584731</v>
      </c>
      <c r="AC47" s="24">
        <f t="shared" si="3"/>
        <v>70.560260166785355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1.1368683772161603E-13</v>
      </c>
      <c r="O48" s="14">
        <f>N48*VLOOKUP('Données projet'!$B$9,Paramètres!$A$1:$I$89,3,0)*VLOOKUP('Données projet'!$B$9,Paramètres!$A$1:$I$89,5,0)</f>
        <v>6.7984728957526396E-14</v>
      </c>
      <c r="P48" s="14">
        <f t="shared" si="33"/>
        <v>1.0682447123141398E-12</v>
      </c>
      <c r="Q48" s="22">
        <f t="shared" si="53"/>
        <v>1.978932943548152E-12</v>
      </c>
      <c r="R48" s="62">
        <f t="shared" si="0"/>
        <v>293.3333333333353</v>
      </c>
      <c r="S48" s="62">
        <f ca="1">AVERAGE(OFFSET($R$3,0,0,'Données projet'!$E$9+1,1))-AVERAGE(OFFSET($H$3,0,0,'Données projet'!$E$9+1,1))</f>
        <v>147.72913422715322</v>
      </c>
      <c r="T48" s="62">
        <f t="shared" si="34"/>
        <v>361.07991692964799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39.616911859833969</v>
      </c>
      <c r="AA48" s="23">
        <f>EXP(-LN(2)/25)*AA47+(1-EXP(-LN(2)/25))/(LN(2)/25)*Calculateur!V48*Calculateur!X48*VLOOKUP('Données projet'!$B$9,Paramètres!$A$1:$I$89,3,0)*0.475*44/12</f>
        <v>28.99540434417634</v>
      </c>
      <c r="AB48" s="23">
        <f>EXP(-LN(2)/2)*AB47+(1-EXP(-LN(2)/2))/(LN(2)/2)*V48*Y48*VLOOKUP('Données projet'!$B$9,Paramètres!$A$1:$I$89,3,0)*0.475*44/12</f>
        <v>0.24067807209732553</v>
      </c>
      <c r="AC48" s="24">
        <f t="shared" si="3"/>
        <v>68.852994276107637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1.1368683772161603E-13</v>
      </c>
      <c r="O49" s="14">
        <f>N49*VLOOKUP('Données projet'!$B$9,Paramètres!$A$1:$I$89,3,0)*VLOOKUP('Données projet'!$B$9,Paramètres!$A$1:$I$89,5,0)</f>
        <v>6.7984728957526396E-14</v>
      </c>
      <c r="P49" s="14">
        <f t="shared" si="33"/>
        <v>1.0682447123141398E-12</v>
      </c>
      <c r="Q49" s="22">
        <f t="shared" si="53"/>
        <v>1.978932943548152E-12</v>
      </c>
      <c r="R49" s="62">
        <f t="shared" si="0"/>
        <v>293.3333333333353</v>
      </c>
      <c r="S49" s="62">
        <f ca="1">AVERAGE(OFFSET($R$3,0,0,'Données projet'!$E$9+1,1))-AVERAGE(OFFSET($H$3,0,0,'Données projet'!$E$9+1,1))</f>
        <v>147.72913422715322</v>
      </c>
      <c r="T49" s="62">
        <f t="shared" si="34"/>
        <v>361.07991692964799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38.840048382192869</v>
      </c>
      <c r="AA49" s="23">
        <f>EXP(-LN(2)/25)*AA48+(1-EXP(-LN(2)/25))/(LN(2)/25)*Calculateur!V49*Calculateur!X49*VLOOKUP('Données projet'!$B$9,Paramètres!$A$1:$I$89,3,0)*0.475*44/12</f>
        <v>28.202523487582791</v>
      </c>
      <c r="AB49" s="23">
        <f>EXP(-LN(2)/2)*AB48+(1-EXP(-LN(2)/2))/(LN(2)/2)*V49*Y49*VLOOKUP('Données projet'!$B$9,Paramètres!$A$1:$I$89,3,0)*0.475*44/12</f>
        <v>0.17018509686292368</v>
      </c>
      <c r="AC49" s="24">
        <f t="shared" si="3"/>
        <v>67.21275696663858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1.1368683772161603E-13</v>
      </c>
      <c r="O50" s="14">
        <f>N50*VLOOKUP('Données projet'!$B$9,Paramètres!$A$1:$I$89,3,0)*VLOOKUP('Données projet'!$B$9,Paramètres!$A$1:$I$89,5,0)</f>
        <v>6.7984728957526396E-14</v>
      </c>
      <c r="P50" s="14">
        <f t="shared" si="33"/>
        <v>1.0682447123141398E-12</v>
      </c>
      <c r="Q50" s="22">
        <f t="shared" si="53"/>
        <v>1.978932943548152E-12</v>
      </c>
      <c r="R50" s="62">
        <f t="shared" si="0"/>
        <v>293.3333333333353</v>
      </c>
      <c r="S50" s="62">
        <f ca="1">AVERAGE(OFFSET($R$3,0,0,'Données projet'!$E$9+1,1))-AVERAGE(OFFSET($H$3,0,0,'Données projet'!$E$9+1,1))</f>
        <v>147.72913422715322</v>
      </c>
      <c r="T50" s="62">
        <f t="shared" si="34"/>
        <v>361.07991692964799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38.078418723508378</v>
      </c>
      <c r="AA50" s="23">
        <f>EXP(-LN(2)/25)*AA49+(1-EXP(-LN(2)/25))/(LN(2)/25)*Calculateur!V50*Calculateur!X50*VLOOKUP('Données projet'!$B$9,Paramètres!$A$1:$I$89,3,0)*0.475*44/12</f>
        <v>27.431323999708589</v>
      </c>
      <c r="AB50" s="23">
        <f>EXP(-LN(2)/2)*AB49+(1-EXP(-LN(2)/2))/(LN(2)/2)*V50*Y50*VLOOKUP('Données projet'!$B$9,Paramètres!$A$1:$I$89,3,0)*0.475*44/12</f>
        <v>0.12033903604866278</v>
      </c>
      <c r="AC50" s="24">
        <f t="shared" si="3"/>
        <v>65.630081759265622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1.1368683772161603E-13</v>
      </c>
      <c r="O51" s="14">
        <f>N51*VLOOKUP('Données projet'!$B$9,Paramètres!$A$1:$I$89,3,0)*VLOOKUP('Données projet'!$B$9,Paramètres!$A$1:$I$89,5,0)</f>
        <v>6.7984728957526396E-14</v>
      </c>
      <c r="P51" s="14">
        <f t="shared" si="33"/>
        <v>1.0682447123141398E-12</v>
      </c>
      <c r="Q51" s="22">
        <f t="shared" si="53"/>
        <v>1.978932943548152E-12</v>
      </c>
      <c r="R51" s="62">
        <f t="shared" si="0"/>
        <v>293.3333333333353</v>
      </c>
      <c r="S51" s="62">
        <f ca="1">AVERAGE(OFFSET($R$3,0,0,'Données projet'!$E$9+1,1))-AVERAGE(OFFSET($H$3,0,0,'Données projet'!$E$9+1,1))</f>
        <v>147.72913422715322</v>
      </c>
      <c r="T51" s="62">
        <f t="shared" si="34"/>
        <v>361.07991692964799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37.331724157882469</v>
      </c>
      <c r="AA51" s="23">
        <f>EXP(-LN(2)/25)*AA50+(1-EXP(-LN(2)/25))/(LN(2)/25)*Calculateur!V51*Calculateur!X51*VLOOKUP('Données projet'!$B$9,Paramètres!$A$1:$I$89,3,0)*0.475*44/12</f>
        <v>26.681213002385924</v>
      </c>
      <c r="AB51" s="23">
        <f>EXP(-LN(2)/2)*AB50+(1-EXP(-LN(2)/2))/(LN(2)/2)*V51*Y51*VLOOKUP('Données projet'!$B$9,Paramètres!$A$1:$I$89,3,0)*0.475*44/12</f>
        <v>8.5092548431461856E-2</v>
      </c>
      <c r="AC51" s="24">
        <f t="shared" si="3"/>
        <v>64.098029708699855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1.1368683772161603E-13</v>
      </c>
      <c r="O52" s="14">
        <f>N52*VLOOKUP('Données projet'!$B$9,Paramètres!$A$1:$I$89,3,0)*VLOOKUP('Données projet'!$B$9,Paramètres!$A$1:$I$89,5,0)</f>
        <v>6.7984728957526396E-14</v>
      </c>
      <c r="P52" s="14">
        <f t="shared" si="33"/>
        <v>1.0682447123141398E-12</v>
      </c>
      <c r="Q52" s="22">
        <f t="shared" si="53"/>
        <v>1.978932943548152E-12</v>
      </c>
      <c r="R52" s="62">
        <f t="shared" si="0"/>
        <v>293.3333333333353</v>
      </c>
      <c r="S52" s="62">
        <f ca="1">AVERAGE(OFFSET($R$3,0,0,'Données projet'!$E$9+1,1))-AVERAGE(OFFSET($H$3,0,0,'Données projet'!$E$9+1,1))</f>
        <v>147.72913422715322</v>
      </c>
      <c r="T52" s="62">
        <f t="shared" si="34"/>
        <v>361.07991692964799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36.599671817249771</v>
      </c>
      <c r="AA52" s="23">
        <f>EXP(-LN(2)/25)*AA51+(1-EXP(-LN(2)/25))/(LN(2)/25)*Calculateur!V52*Calculateur!X52*VLOOKUP('Données projet'!$B$9,Paramètres!$A$1:$I$89,3,0)*0.475*44/12</f>
        <v>25.95161382973167</v>
      </c>
      <c r="AB52" s="23">
        <f>EXP(-LN(2)/2)*AB51+(1-EXP(-LN(2)/2))/(LN(2)/2)*V52*Y52*VLOOKUP('Données projet'!$B$9,Paramètres!$A$1:$I$89,3,0)*0.475*44/12</f>
        <v>6.0169518024331403E-2</v>
      </c>
      <c r="AC52" s="24">
        <f t="shared" si="3"/>
        <v>62.611455165005772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1.1368683772161603E-13</v>
      </c>
      <c r="O53" s="14">
        <f>N53*VLOOKUP('Données projet'!$B$9,Paramètres!$A$1:$I$89,3,0)*VLOOKUP('Données projet'!$B$9,Paramètres!$A$1:$I$89,5,0)</f>
        <v>6.7984728957526396E-14</v>
      </c>
      <c r="P53" s="14">
        <f t="shared" si="33"/>
        <v>1.0682447123141398E-12</v>
      </c>
      <c r="Q53" s="22">
        <f t="shared" si="53"/>
        <v>1.978932943548152E-12</v>
      </c>
      <c r="R53" s="62">
        <f t="shared" si="0"/>
        <v>293.3333333333353</v>
      </c>
      <c r="S53" s="62">
        <f ca="1">AVERAGE(OFFSET($R$3,0,0,'Données projet'!$E$9+1,1))-AVERAGE(OFFSET($H$3,0,0,'Données projet'!$E$9+1,1))</f>
        <v>147.72913422715322</v>
      </c>
      <c r="T53" s="62">
        <f t="shared" si="34"/>
        <v>361.07991692964799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35.881974576509037</v>
      </c>
      <c r="AA53" s="23">
        <f>EXP(-LN(2)/25)*AA52+(1-EXP(-LN(2)/25))/(LN(2)/25)*Calculateur!V53*Calculateur!X53*VLOOKUP('Données projet'!$B$9,Paramètres!$A$1:$I$89,3,0)*0.475*44/12</f>
        <v>25.2419655848216</v>
      </c>
      <c r="AB53" s="23">
        <f>EXP(-LN(2)/2)*AB52+(1-EXP(-LN(2)/2))/(LN(2)/2)*V53*Y53*VLOOKUP('Données projet'!$B$9,Paramètres!$A$1:$I$89,3,0)*0.475*44/12</f>
        <v>4.2546274215730935E-2</v>
      </c>
      <c r="AC53" s="24">
        <f t="shared" si="3"/>
        <v>61.166486435546368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1.1368683772161603E-13</v>
      </c>
      <c r="O54" s="14">
        <f>N54*VLOOKUP('Données projet'!$B$9,Paramètres!$A$1:$I$89,3,0)*VLOOKUP('Données projet'!$B$9,Paramètres!$A$1:$I$89,5,0)</f>
        <v>6.7984728957526396E-14</v>
      </c>
      <c r="P54" s="14">
        <f t="shared" si="33"/>
        <v>1.0682447123141398E-12</v>
      </c>
      <c r="Q54" s="22">
        <f t="shared" si="53"/>
        <v>1.978932943548152E-12</v>
      </c>
      <c r="R54" s="62">
        <f t="shared" si="0"/>
        <v>293.3333333333353</v>
      </c>
      <c r="S54" s="62">
        <f ca="1">AVERAGE(OFFSET($R$3,0,0,'Données projet'!$E$9+1,1))-AVERAGE(OFFSET($H$3,0,0,'Données projet'!$E$9+1,1))</f>
        <v>147.72913422715322</v>
      </c>
      <c r="T54" s="62">
        <f t="shared" si="34"/>
        <v>361.07991692964799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35.178350940907137</v>
      </c>
      <c r="AA54" s="23">
        <f>EXP(-LN(2)/25)*AA53+(1-EXP(-LN(2)/25))/(LN(2)/25)*Calculateur!V54*Calculateur!X54*VLOOKUP('Données projet'!$B$9,Paramètres!$A$1:$I$89,3,0)*0.475*44/12</f>
        <v>24.551722708487375</v>
      </c>
      <c r="AB54" s="23">
        <f>EXP(-LN(2)/2)*AB53+(1-EXP(-LN(2)/2))/(LN(2)/2)*V54*Y54*VLOOKUP('Données projet'!$B$9,Paramètres!$A$1:$I$89,3,0)*0.475*44/12</f>
        <v>3.0084759012165705E-2</v>
      </c>
      <c r="AC54" s="24">
        <f t="shared" si="3"/>
        <v>59.760158408406681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1.1368683772161603E-13</v>
      </c>
      <c r="O55" s="14">
        <f>N55*VLOOKUP('Données projet'!$B$9,Paramètres!$A$1:$I$89,3,0)*VLOOKUP('Données projet'!$B$9,Paramètres!$A$1:$I$89,5,0)</f>
        <v>6.7984728957526396E-14</v>
      </c>
      <c r="P55" s="14">
        <f t="shared" si="33"/>
        <v>1.0682447123141398E-12</v>
      </c>
      <c r="Q55" s="22">
        <f t="shared" si="53"/>
        <v>1.978932943548152E-12</v>
      </c>
      <c r="R55" s="62">
        <f t="shared" si="0"/>
        <v>293.3333333333353</v>
      </c>
      <c r="S55" s="62">
        <f ca="1">AVERAGE(OFFSET($R$3,0,0,'Données projet'!$E$9+1,1))-AVERAGE(OFFSET($H$3,0,0,'Données projet'!$E$9+1,1))</f>
        <v>147.72913422715322</v>
      </c>
      <c r="T55" s="62">
        <f t="shared" si="34"/>
        <v>361.07991692964799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34.488524935631354</v>
      </c>
      <c r="AA55" s="23">
        <f>EXP(-LN(2)/25)*AA54+(1-EXP(-LN(2)/25))/(LN(2)/25)*Calculateur!V55*Calculateur!X55*VLOOKUP('Données projet'!$B$9,Paramètres!$A$1:$I$89,3,0)*0.475*44/12</f>
        <v>23.880354559904806</v>
      </c>
      <c r="AB55" s="23">
        <f>EXP(-LN(2)/2)*AB54+(1-EXP(-LN(2)/2))/(LN(2)/2)*V55*Y55*VLOOKUP('Données projet'!$B$9,Paramètres!$A$1:$I$89,3,0)*0.475*44/12</f>
        <v>2.1273137107865471E-2</v>
      </c>
      <c r="AC55" s="24">
        <f t="shared" si="3"/>
        <v>58.390152632644032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1.1368683772161603E-13</v>
      </c>
      <c r="O56" s="14">
        <f>N56*VLOOKUP('Données projet'!$B$9,Paramètres!$A$1:$I$89,3,0)*VLOOKUP('Données projet'!$B$9,Paramètres!$A$1:$I$89,5,0)</f>
        <v>6.7984728957526396E-14</v>
      </c>
      <c r="P56" s="14">
        <f t="shared" si="33"/>
        <v>1.0682447123141398E-12</v>
      </c>
      <c r="Q56" s="22">
        <f t="shared" si="53"/>
        <v>1.978932943548152E-12</v>
      </c>
      <c r="R56" s="62">
        <f t="shared" si="0"/>
        <v>293.3333333333353</v>
      </c>
      <c r="S56" s="62">
        <f ca="1">AVERAGE(OFFSET($R$3,0,0,'Données projet'!$E$9+1,1))-AVERAGE(OFFSET($H$3,0,0,'Données projet'!$E$9+1,1))</f>
        <v>147.72913422715322</v>
      </c>
      <c r="T56" s="62">
        <f t="shared" si="34"/>
        <v>361.07991692964799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33.812225997566706</v>
      </c>
      <c r="AA56" s="23">
        <f>EXP(-LN(2)/25)*AA55+(1-EXP(-LN(2)/25))/(LN(2)/25)*Calculateur!V56*Calculateur!X56*VLOOKUP('Données projet'!$B$9,Paramètres!$A$1:$I$89,3,0)*0.475*44/12</f>
        <v>23.227345008650943</v>
      </c>
      <c r="AB56" s="23">
        <f>EXP(-LN(2)/2)*AB55+(1-EXP(-LN(2)/2))/(LN(2)/2)*V56*Y56*VLOOKUP('Données projet'!$B$9,Paramètres!$A$1:$I$89,3,0)*0.475*44/12</f>
        <v>1.5042379506082854E-2</v>
      </c>
      <c r="AC56" s="24">
        <f t="shared" si="3"/>
        <v>57.054613385723734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1.1368683772161603E-13</v>
      </c>
      <c r="O57" s="14">
        <f>N57*VLOOKUP('Données projet'!$B$9,Paramètres!$A$1:$I$89,3,0)*VLOOKUP('Données projet'!$B$9,Paramètres!$A$1:$I$89,5,0)</f>
        <v>6.7984728957526396E-14</v>
      </c>
      <c r="P57" s="14">
        <f t="shared" si="33"/>
        <v>1.0682447123141398E-12</v>
      </c>
      <c r="Q57" s="22">
        <f t="shared" si="53"/>
        <v>1.978932943548152E-12</v>
      </c>
      <c r="R57" s="62">
        <f t="shared" si="0"/>
        <v>293.3333333333353</v>
      </c>
      <c r="S57" s="62">
        <f ca="1">AVERAGE(OFFSET($R$3,0,0,'Données projet'!$E$9+1,1))-AVERAGE(OFFSET($H$3,0,0,'Données projet'!$E$9+1,1))</f>
        <v>147.72913422715322</v>
      </c>
      <c r="T57" s="62">
        <f t="shared" si="34"/>
        <v>361.07991692964799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33.149188869175887</v>
      </c>
      <c r="AA57" s="23">
        <f>EXP(-LN(2)/25)*AA56+(1-EXP(-LN(2)/25))/(LN(2)/25)*Calculateur!V57*Calculateur!X57*VLOOKUP('Données projet'!$B$9,Paramètres!$A$1:$I$89,3,0)*0.475*44/12</f>
        <v>22.592192037916394</v>
      </c>
      <c r="AB57" s="23">
        <f>EXP(-LN(2)/2)*AB56+(1-EXP(-LN(2)/2))/(LN(2)/2)*V57*Y57*VLOOKUP('Données projet'!$B$9,Paramètres!$A$1:$I$89,3,0)*0.475*44/12</f>
        <v>1.0636568553932737E-2</v>
      </c>
      <c r="AC57" s="24">
        <f t="shared" si="3"/>
        <v>55.752017475646213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1.1368683772161603E-13</v>
      </c>
      <c r="O58" s="14">
        <f>N58*VLOOKUP('Données projet'!$B$9,Paramètres!$A$1:$I$89,3,0)*VLOOKUP('Données projet'!$B$9,Paramètres!$A$1:$I$89,5,0)</f>
        <v>6.7984728957526396E-14</v>
      </c>
      <c r="P58" s="14">
        <f t="shared" si="33"/>
        <v>1.0682447123141398E-12</v>
      </c>
      <c r="Q58" s="22">
        <f t="shared" si="53"/>
        <v>1.978932943548152E-12</v>
      </c>
      <c r="R58" s="62">
        <f t="shared" si="0"/>
        <v>293.3333333333353</v>
      </c>
      <c r="S58" s="62">
        <f ca="1">AVERAGE(OFFSET($R$3,0,0,'Données projet'!$E$9+1,1))-AVERAGE(OFFSET($H$3,0,0,'Données projet'!$E$9+1,1))</f>
        <v>147.72913422715322</v>
      </c>
      <c r="T58" s="62">
        <f t="shared" si="34"/>
        <v>361.07991692964799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32.499153494460096</v>
      </c>
      <c r="AA58" s="23">
        <f>EXP(-LN(2)/25)*AA57+(1-EXP(-LN(2)/25))/(LN(2)/25)*Calculateur!V58*Calculateur!X58*VLOOKUP('Données projet'!$B$9,Paramètres!$A$1:$I$89,3,0)*0.475*44/12</f>
        <v>21.974407358567827</v>
      </c>
      <c r="AB58" s="23">
        <f>EXP(-LN(2)/2)*AB57+(1-EXP(-LN(2)/2))/(LN(2)/2)*V58*Y58*VLOOKUP('Données projet'!$B$9,Paramètres!$A$1:$I$89,3,0)*0.475*44/12</f>
        <v>7.5211897530414289E-3</v>
      </c>
      <c r="AC58" s="24">
        <f t="shared" si="3"/>
        <v>54.481082042780962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1.1368683772161603E-13</v>
      </c>
      <c r="O59" s="14">
        <f>N59*VLOOKUP('Données projet'!$B$9,Paramètres!$A$1:$I$89,3,0)*VLOOKUP('Données projet'!$B$9,Paramètres!$A$1:$I$89,5,0)</f>
        <v>6.7984728957526396E-14</v>
      </c>
      <c r="P59" s="14">
        <f t="shared" si="33"/>
        <v>1.0682447123141398E-12</v>
      </c>
      <c r="Q59" s="22">
        <f t="shared" si="53"/>
        <v>1.978932943548152E-12</v>
      </c>
      <c r="R59" s="62">
        <f t="shared" si="0"/>
        <v>293.3333333333353</v>
      </c>
      <c r="S59" s="62">
        <f ca="1">AVERAGE(OFFSET($R$3,0,0,'Données projet'!$E$9+1,1))-AVERAGE(OFFSET($H$3,0,0,'Données projet'!$E$9+1,1))</f>
        <v>147.72913422715322</v>
      </c>
      <c r="T59" s="62">
        <f t="shared" si="34"/>
        <v>361.07991692964799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31.861864916960052</v>
      </c>
      <c r="AA59" s="23">
        <f>EXP(-LN(2)/25)*AA58+(1-EXP(-LN(2)/25))/(LN(2)/25)*Calculateur!V59*Calculateur!X59*VLOOKUP('Données projet'!$B$9,Paramètres!$A$1:$I$89,3,0)*0.475*44/12</f>
        <v>21.373516033763931</v>
      </c>
      <c r="AB59" s="23">
        <f>EXP(-LN(2)/2)*AB58+(1-EXP(-LN(2)/2))/(LN(2)/2)*V59*Y59*VLOOKUP('Données projet'!$B$9,Paramètres!$A$1:$I$89,3,0)*0.475*44/12</f>
        <v>5.3182842769663695E-3</v>
      </c>
      <c r="AC59" s="24">
        <f t="shared" si="3"/>
        <v>53.240699235000946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1.1368683772161603E-13</v>
      </c>
      <c r="O60" s="14">
        <f>N60*VLOOKUP('Données projet'!$B$9,Paramètres!$A$1:$I$89,3,0)*VLOOKUP('Données projet'!$B$9,Paramètres!$A$1:$I$89,5,0)</f>
        <v>6.7984728957526396E-14</v>
      </c>
      <c r="P60" s="14">
        <f t="shared" si="33"/>
        <v>1.0682447123141398E-12</v>
      </c>
      <c r="Q60" s="22">
        <f t="shared" si="53"/>
        <v>1.978932943548152E-12</v>
      </c>
      <c r="R60" s="62">
        <f t="shared" si="0"/>
        <v>293.3333333333353</v>
      </c>
      <c r="S60" s="62">
        <f ca="1">AVERAGE(OFFSET($R$3,0,0,'Données projet'!$E$9+1,1))-AVERAGE(OFFSET($H$3,0,0,'Données projet'!$E$9+1,1))</f>
        <v>147.72913422715322</v>
      </c>
      <c r="T60" s="62">
        <f t="shared" si="34"/>
        <v>361.07991692964799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31.237073179757132</v>
      </c>
      <c r="AA60" s="23">
        <f>EXP(-LN(2)/25)*AA59+(1-EXP(-LN(2)/25))/(LN(2)/25)*Calculateur!V60*Calculateur!X60*VLOOKUP('Données projet'!$B$9,Paramètres!$A$1:$I$89,3,0)*0.475*44/12</f>
        <v>20.789056113836299</v>
      </c>
      <c r="AB60" s="23">
        <f>EXP(-LN(2)/2)*AB59+(1-EXP(-LN(2)/2))/(LN(2)/2)*V60*Y60*VLOOKUP('Données projet'!$B$9,Paramètres!$A$1:$I$89,3,0)*0.475*44/12</f>
        <v>3.7605948765207149E-3</v>
      </c>
      <c r="AC60" s="24">
        <f t="shared" si="3"/>
        <v>52.029889888469945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1.1368683772161603E-13</v>
      </c>
      <c r="O61" s="14">
        <f>N61*VLOOKUP('Données projet'!$B$9,Paramètres!$A$1:$I$89,3,0)*VLOOKUP('Données projet'!$B$9,Paramètres!$A$1:$I$89,5,0)</f>
        <v>6.7984728957526396E-14</v>
      </c>
      <c r="P61" s="14">
        <f t="shared" si="33"/>
        <v>1.0682447123141398E-12</v>
      </c>
      <c r="Q61" s="22">
        <f t="shared" si="53"/>
        <v>1.978932943548152E-12</v>
      </c>
      <c r="R61" s="62">
        <f t="shared" si="0"/>
        <v>293.3333333333353</v>
      </c>
      <c r="S61" s="62">
        <f ca="1">AVERAGE(OFFSET($R$3,0,0,'Données projet'!$E$9+1,1))-AVERAGE(OFFSET($H$3,0,0,'Données projet'!$E$9+1,1))</f>
        <v>147.72913422715322</v>
      </c>
      <c r="T61" s="62">
        <f t="shared" si="34"/>
        <v>361.07991692964799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30.624533227435432</v>
      </c>
      <c r="AA61" s="23">
        <f>EXP(-LN(2)/25)*AA60+(1-EXP(-LN(2)/25))/(LN(2)/25)*Calculateur!V61*Calculateur!X61*VLOOKUP('Données projet'!$B$9,Paramètres!$A$1:$I$89,3,0)*0.475*44/12</f>
        <v>20.220578281154499</v>
      </c>
      <c r="AB61" s="23">
        <f>EXP(-LN(2)/2)*AB60+(1-EXP(-LN(2)/2))/(LN(2)/2)*V61*Y61*VLOOKUP('Données projet'!$B$9,Paramètres!$A$1:$I$89,3,0)*0.475*44/12</f>
        <v>2.6591421384831852E-3</v>
      </c>
      <c r="AC61" s="24">
        <f t="shared" si="3"/>
        <v>50.847770650728414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1.1368683772161603E-13</v>
      </c>
      <c r="O62" s="14">
        <f>N62*VLOOKUP('Données projet'!$B$9,Paramètres!$A$1:$I$89,3,0)*VLOOKUP('Données projet'!$B$9,Paramètres!$A$1:$I$89,5,0)</f>
        <v>6.7984728957526396E-14</v>
      </c>
      <c r="P62" s="14">
        <f t="shared" si="33"/>
        <v>1.0682447123141398E-12</v>
      </c>
      <c r="Q62" s="22">
        <f t="shared" si="53"/>
        <v>1.978932943548152E-12</v>
      </c>
      <c r="R62" s="62">
        <f t="shared" si="0"/>
        <v>293.3333333333353</v>
      </c>
      <c r="S62" s="62">
        <f ca="1">AVERAGE(OFFSET($R$3,0,0,'Données projet'!$E$9+1,1))-AVERAGE(OFFSET($H$3,0,0,'Données projet'!$E$9+1,1))</f>
        <v>147.72913422715322</v>
      </c>
      <c r="T62" s="62">
        <f t="shared" si="34"/>
        <v>361.07991692964799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30.024004809966282</v>
      </c>
      <c r="AA62" s="23">
        <f>EXP(-LN(2)/25)*AA61+(1-EXP(-LN(2)/25))/(LN(2)/25)*Calculateur!V62*Calculateur!X62*VLOOKUP('Données projet'!$B$9,Paramètres!$A$1:$I$89,3,0)*0.475*44/12</f>
        <v>19.667645504702332</v>
      </c>
      <c r="AB62" s="23">
        <f>EXP(-LN(2)/2)*AB61+(1-EXP(-LN(2)/2))/(LN(2)/2)*V62*Y62*VLOOKUP('Données projet'!$B$9,Paramètres!$A$1:$I$89,3,0)*0.475*44/12</f>
        <v>1.8802974382603579E-3</v>
      </c>
      <c r="AC62" s="24">
        <f t="shared" si="3"/>
        <v>49.693530612106876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1.1368683772161603E-13</v>
      </c>
      <c r="O63" s="14">
        <f>N63*VLOOKUP('Données projet'!$B$9,Paramètres!$A$1:$I$89,3,0)*VLOOKUP('Données projet'!$B$9,Paramètres!$A$1:$I$89,5,0)</f>
        <v>6.7984728957526396E-14</v>
      </c>
      <c r="P63" s="14">
        <f t="shared" si="33"/>
        <v>1.0682447123141398E-12</v>
      </c>
      <c r="Q63" s="22">
        <f t="shared" si="53"/>
        <v>1.978932943548152E-12</v>
      </c>
      <c r="R63" s="62">
        <f t="shared" si="0"/>
        <v>293.3333333333353</v>
      </c>
      <c r="S63" s="62">
        <f ca="1">AVERAGE(OFFSET($R$3,0,0,'Données projet'!$E$9+1,1))-AVERAGE(OFFSET($H$3,0,0,'Données projet'!$E$9+1,1))</f>
        <v>147.72913422715322</v>
      </c>
      <c r="T63" s="62">
        <f t="shared" si="34"/>
        <v>361.07991692964799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29.435252388477537</v>
      </c>
      <c r="AA63" s="23">
        <f>EXP(-LN(2)/25)*AA62+(1-EXP(-LN(2)/25))/(LN(2)/25)*Calculateur!V63*Calculateur!X63*VLOOKUP('Données projet'!$B$9,Paramètres!$A$1:$I$89,3,0)*0.475*44/12</f>
        <v>19.129832704099719</v>
      </c>
      <c r="AB63" s="23">
        <f>EXP(-LN(2)/2)*AB62+(1-EXP(-LN(2)/2))/(LN(2)/2)*V63*Y63*VLOOKUP('Données projet'!$B$9,Paramètres!$A$1:$I$89,3,0)*0.475*44/12</f>
        <v>1.3295710692415928E-3</v>
      </c>
      <c r="AC63" s="24">
        <f t="shared" si="3"/>
        <v>48.566414663646498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1.1368683772161603E-13</v>
      </c>
      <c r="O64" s="14">
        <f>N64*VLOOKUP('Données projet'!$B$9,Paramètres!$A$1:$I$89,3,0)*VLOOKUP('Données projet'!$B$9,Paramètres!$A$1:$I$89,5,0)</f>
        <v>6.7984728957526396E-14</v>
      </c>
      <c r="P64" s="14">
        <f t="shared" si="33"/>
        <v>1.0682447123141398E-12</v>
      </c>
      <c r="Q64" s="22">
        <f t="shared" si="53"/>
        <v>1.978932943548152E-12</v>
      </c>
      <c r="R64" s="62">
        <f t="shared" si="0"/>
        <v>293.3333333333353</v>
      </c>
      <c r="S64" s="62">
        <f ca="1">AVERAGE(OFFSET($R$3,0,0,'Données projet'!$E$9+1,1))-AVERAGE(OFFSET($H$3,0,0,'Données projet'!$E$9+1,1))</f>
        <v>147.72913422715322</v>
      </c>
      <c r="T64" s="62">
        <f t="shared" si="34"/>
        <v>361.07991692964799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28.858045042870664</v>
      </c>
      <c r="AA64" s="23">
        <f>EXP(-LN(2)/25)*AA63+(1-EXP(-LN(2)/25))/(LN(2)/25)*Calculateur!V64*Calculateur!X64*VLOOKUP('Données projet'!$B$9,Paramètres!$A$1:$I$89,3,0)*0.475*44/12</f>
        <v>18.606726422811931</v>
      </c>
      <c r="AB64" s="23">
        <f>EXP(-LN(2)/2)*AB63+(1-EXP(-LN(2)/2))/(LN(2)/2)*V64*Y64*VLOOKUP('Données projet'!$B$9,Paramètres!$A$1:$I$89,3,0)*0.475*44/12</f>
        <v>9.4014871913017904E-4</v>
      </c>
      <c r="AC64" s="24">
        <f t="shared" si="3"/>
        <v>47.465711614401727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1.1368683772161603E-13</v>
      </c>
      <c r="O65" s="14">
        <f>N65*VLOOKUP('Données projet'!$B$9,Paramètres!$A$1:$I$89,3,0)*VLOOKUP('Données projet'!$B$9,Paramètres!$A$1:$I$89,5,0)</f>
        <v>6.7984728957526396E-14</v>
      </c>
      <c r="P65" s="14">
        <f t="shared" si="33"/>
        <v>1.0682447123141398E-12</v>
      </c>
      <c r="Q65" s="22">
        <f t="shared" si="53"/>
        <v>1.978932943548152E-12</v>
      </c>
      <c r="R65" s="62">
        <f t="shared" si="0"/>
        <v>293.3333333333353</v>
      </c>
      <c r="S65" s="62">
        <f ca="1">AVERAGE(OFFSET($R$3,0,0,'Données projet'!$E$9+1,1))-AVERAGE(OFFSET($H$3,0,0,'Données projet'!$E$9+1,1))</f>
        <v>147.72913422715322</v>
      </c>
      <c r="T65" s="62">
        <f t="shared" si="34"/>
        <v>361.07991692964799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28.292156381249427</v>
      </c>
      <c r="AA65" s="23">
        <f>EXP(-LN(2)/25)*AA64+(1-EXP(-LN(2)/25))/(LN(2)/25)*Calculateur!V65*Calculateur!X65*VLOOKUP('Données projet'!$B$9,Paramètres!$A$1:$I$89,3,0)*0.475*44/12</f>
        <v>18.097924510294924</v>
      </c>
      <c r="AB65" s="23">
        <f>EXP(-LN(2)/2)*AB64+(1-EXP(-LN(2)/2))/(LN(2)/2)*V65*Y65*VLOOKUP('Données projet'!$B$9,Paramètres!$A$1:$I$89,3,0)*0.475*44/12</f>
        <v>6.6478553462079651E-4</v>
      </c>
      <c r="AC65" s="24">
        <f t="shared" si="3"/>
        <v>46.390745677078968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1.1368683772161603E-13</v>
      </c>
      <c r="O66" s="14">
        <f>N66*VLOOKUP('Données projet'!$B$9,Paramètres!$A$1:$I$89,3,0)*VLOOKUP('Données projet'!$B$9,Paramètres!$A$1:$I$89,5,0)</f>
        <v>6.7984728957526396E-14</v>
      </c>
      <c r="P66" s="14">
        <f t="shared" si="33"/>
        <v>1.0682447123141398E-12</v>
      </c>
      <c r="Q66" s="22">
        <f t="shared" si="53"/>
        <v>1.978932943548152E-12</v>
      </c>
      <c r="R66" s="62">
        <f t="shared" si="0"/>
        <v>293.3333333333353</v>
      </c>
      <c r="S66" s="62">
        <f ca="1">AVERAGE(OFFSET($R$3,0,0,'Données projet'!$E$9+1,1))-AVERAGE(OFFSET($H$3,0,0,'Données projet'!$E$9+1,1))</f>
        <v>147.72913422715322</v>
      </c>
      <c r="T66" s="62">
        <f t="shared" si="34"/>
        <v>361.07991692964799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27.737364451124581</v>
      </c>
      <c r="AA66" s="23">
        <f>EXP(-LN(2)/25)*AA65+(1-EXP(-LN(2)/25))/(LN(2)/25)*Calculateur!V66*Calculateur!X66*VLOOKUP('Données projet'!$B$9,Paramètres!$A$1:$I$89,3,0)*0.475*44/12</f>
        <v>17.603035812832424</v>
      </c>
      <c r="AB66" s="23">
        <f>EXP(-LN(2)/2)*AB65+(1-EXP(-LN(2)/2))/(LN(2)/2)*V66*Y66*VLOOKUP('Données projet'!$B$9,Paramètres!$A$1:$I$89,3,0)*0.475*44/12</f>
        <v>4.7007435956508963E-4</v>
      </c>
      <c r="AC66" s="24">
        <f t="shared" si="3"/>
        <v>45.34087033831657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1.1368683772161603E-13</v>
      </c>
      <c r="O67" s="14">
        <f>N67*VLOOKUP('Données projet'!$B$9,Paramètres!$A$1:$I$89,3,0)*VLOOKUP('Données projet'!$B$9,Paramètres!$A$1:$I$89,5,0)</f>
        <v>6.7984728957526396E-14</v>
      </c>
      <c r="P67" s="14">
        <f t="shared" si="33"/>
        <v>1.0682447123141398E-12</v>
      </c>
      <c r="Q67" s="22">
        <f t="shared" ref="Q67:Q98" si="54">(O67+P67)*0.475*44/12</f>
        <v>1.978932943548152E-12</v>
      </c>
      <c r="R67" s="62">
        <f t="shared" ref="R67:R130" si="55">Q67+(I67+J67)*44/12</f>
        <v>293.3333333333353</v>
      </c>
      <c r="S67" s="62">
        <f ca="1">AVERAGE(OFFSET($R$3,0,0,'Données projet'!$E$9+1,1))-AVERAGE(OFFSET($H$3,0,0,'Données projet'!$E$9+1,1))</f>
        <v>147.72913422715322</v>
      </c>
      <c r="T67" s="62">
        <f t="shared" si="34"/>
        <v>361.07991692964799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27.193451652359816</v>
      </c>
      <c r="AA67" s="23">
        <f>EXP(-LN(2)/25)*AA66+(1-EXP(-LN(2)/25))/(LN(2)/25)*Calculateur!V67*Calculateur!X67*VLOOKUP('Données projet'!$B$9,Paramètres!$A$1:$I$89,3,0)*0.475*44/12</f>
        <v>17.121679872827102</v>
      </c>
      <c r="AB67" s="23">
        <f>EXP(-LN(2)/2)*AB66+(1-EXP(-LN(2)/2))/(LN(2)/2)*V67*Y67*VLOOKUP('Données projet'!$B$9,Paramètres!$A$1:$I$89,3,0)*0.475*44/12</f>
        <v>3.3239276731039831E-4</v>
      </c>
      <c r="AC67" s="24">
        <f t="shared" si="3"/>
        <v>44.315463917954226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1.1368683772161603E-13</v>
      </c>
      <c r="O68" s="14">
        <f>N68*VLOOKUP('Données projet'!$B$9,Paramètres!$A$1:$I$89,3,0)*VLOOKUP('Données projet'!$B$9,Paramètres!$A$1:$I$89,5,0)</f>
        <v>6.7984728957526396E-14</v>
      </c>
      <c r="P68" s="14">
        <f t="shared" si="33"/>
        <v>1.0682447123141398E-12</v>
      </c>
      <c r="Q68" s="22">
        <f t="shared" si="54"/>
        <v>1.978932943548152E-12</v>
      </c>
      <c r="R68" s="62">
        <f t="shared" si="55"/>
        <v>293.3333333333353</v>
      </c>
      <c r="S68" s="62">
        <f ca="1">AVERAGE(OFFSET($R$3,0,0,'Données projet'!$E$9+1,1))-AVERAGE(OFFSET($H$3,0,0,'Données projet'!$E$9+1,1))</f>
        <v>147.72913422715322</v>
      </c>
      <c r="T68" s="62">
        <f t="shared" si="34"/>
        <v>361.07991692964799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26.660204651824781</v>
      </c>
      <c r="AA68" s="23">
        <f>EXP(-LN(2)/25)*AA67+(1-EXP(-LN(2)/25))/(LN(2)/25)*Calculateur!V68*Calculateur!X68*VLOOKUP('Données projet'!$B$9,Paramètres!$A$1:$I$89,3,0)*0.475*44/12</f>
        <v>16.653486636314632</v>
      </c>
      <c r="AB68" s="23">
        <f>EXP(-LN(2)/2)*AB67+(1-EXP(-LN(2)/2))/(LN(2)/2)*V68*Y68*VLOOKUP('Données projet'!$B$9,Paramètres!$A$1:$I$89,3,0)*0.475*44/12</f>
        <v>2.3503717978254484E-4</v>
      </c>
      <c r="AC68" s="24">
        <f t="shared" ref="AC68:AC131" si="57">SUM(Z68:AB68)</f>
        <v>43.313926325319194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1.1368683772161603E-13</v>
      </c>
      <c r="O69" s="14">
        <f>N69*VLOOKUP('Données projet'!$B$9,Paramètres!$A$1:$I$89,3,0)*VLOOKUP('Données projet'!$B$9,Paramètres!$A$1:$I$89,5,0)</f>
        <v>6.7984728957526396E-14</v>
      </c>
      <c r="P69" s="14">
        <f t="shared" ref="P69:P132" si="87">EXP(-1.0587+0.8836*LN(O69)+0.284)</f>
        <v>1.0682447123141398E-12</v>
      </c>
      <c r="Q69" s="22">
        <f t="shared" si="54"/>
        <v>1.978932943548152E-12</v>
      </c>
      <c r="R69" s="62">
        <f t="shared" si="55"/>
        <v>293.3333333333353</v>
      </c>
      <c r="S69" s="62">
        <f ca="1">AVERAGE(OFFSET($R$3,0,0,'Données projet'!$E$9+1,1))-AVERAGE(OFFSET($H$3,0,0,'Données projet'!$E$9+1,1))</f>
        <v>147.72913422715322</v>
      </c>
      <c r="T69" s="62">
        <f t="shared" ref="T69:T132" si="88">$T$3</f>
        <v>361.07991692964799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26.137414299721684</v>
      </c>
      <c r="AA69" s="23">
        <f>EXP(-LN(2)/25)*AA68+(1-EXP(-LN(2)/25))/(LN(2)/25)*Calculateur!V69*Calculateur!X69*VLOOKUP('Données projet'!$B$9,Paramètres!$A$1:$I$89,3,0)*0.475*44/12</f>
        <v>16.198096168475807</v>
      </c>
      <c r="AB69" s="23">
        <f>EXP(-LN(2)/2)*AB68+(1-EXP(-LN(2)/2))/(LN(2)/2)*V69*Y69*VLOOKUP('Données projet'!$B$9,Paramètres!$A$1:$I$89,3,0)*0.475*44/12</f>
        <v>1.6619638365519918E-4</v>
      </c>
      <c r="AC69" s="24">
        <f t="shared" si="57"/>
        <v>42.335676664581143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1.1368683772161603E-13</v>
      </c>
      <c r="O70" s="14">
        <f>N70*VLOOKUP('Données projet'!$B$9,Paramètres!$A$1:$I$89,3,0)*VLOOKUP('Données projet'!$B$9,Paramètres!$A$1:$I$89,5,0)</f>
        <v>6.7984728957526396E-14</v>
      </c>
      <c r="P70" s="14">
        <f t="shared" si="87"/>
        <v>1.0682447123141398E-12</v>
      </c>
      <c r="Q70" s="22">
        <f t="shared" si="54"/>
        <v>1.978932943548152E-12</v>
      </c>
      <c r="R70" s="62">
        <f t="shared" si="55"/>
        <v>293.3333333333353</v>
      </c>
      <c r="S70" s="62">
        <f ca="1">AVERAGE(OFFSET($R$3,0,0,'Données projet'!$E$9+1,1))-AVERAGE(OFFSET($H$3,0,0,'Données projet'!$E$9+1,1))</f>
        <v>147.72913422715322</v>
      </c>
      <c r="T70" s="62">
        <f t="shared" si="88"/>
        <v>361.07991692964799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25.624875547552698</v>
      </c>
      <c r="AA70" s="23">
        <f>EXP(-LN(2)/25)*AA69+(1-EXP(-LN(2)/25))/(LN(2)/25)*Calculateur!V70*Calculateur!X70*VLOOKUP('Données projet'!$B$9,Paramètres!$A$1:$I$89,3,0)*0.475*44/12</f>
        <v>15.75515837692798</v>
      </c>
      <c r="AB70" s="23">
        <f>EXP(-LN(2)/2)*AB69+(1-EXP(-LN(2)/2))/(LN(2)/2)*V70*Y70*VLOOKUP('Données projet'!$B$9,Paramètres!$A$1:$I$89,3,0)*0.475*44/12</f>
        <v>1.1751858989127243E-4</v>
      </c>
      <c r="AC70" s="24">
        <f t="shared" si="57"/>
        <v>41.380151443070567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1.1368683772161603E-13</v>
      </c>
      <c r="O71" s="14">
        <f>N71*VLOOKUP('Données projet'!$B$9,Paramètres!$A$1:$I$89,3,0)*VLOOKUP('Données projet'!$B$9,Paramètres!$A$1:$I$89,5,0)</f>
        <v>6.7984728957526396E-14</v>
      </c>
      <c r="P71" s="14">
        <f t="shared" si="87"/>
        <v>1.0682447123141398E-12</v>
      </c>
      <c r="Q71" s="22">
        <f t="shared" si="54"/>
        <v>1.978932943548152E-12</v>
      </c>
      <c r="R71" s="62">
        <f t="shared" si="55"/>
        <v>293.3333333333353</v>
      </c>
      <c r="S71" s="62">
        <f ca="1">AVERAGE(OFFSET($R$3,0,0,'Données projet'!$E$9+1,1))-AVERAGE(OFFSET($H$3,0,0,'Données projet'!$E$9+1,1))</f>
        <v>147.72913422715322</v>
      </c>
      <c r="T71" s="62">
        <f t="shared" si="88"/>
        <v>361.07991692964799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25.122387367695975</v>
      </c>
      <c r="AA71" s="23">
        <f>EXP(-LN(2)/25)*AA70+(1-EXP(-LN(2)/25))/(LN(2)/25)*Calculateur!V71*Calculateur!X71*VLOOKUP('Données projet'!$B$9,Paramètres!$A$1:$I$89,3,0)*0.475*44/12</f>
        <v>15.324332742583115</v>
      </c>
      <c r="AB71" s="23">
        <f>EXP(-LN(2)/2)*AB70+(1-EXP(-LN(2)/2))/(LN(2)/2)*V71*Y71*VLOOKUP('Données projet'!$B$9,Paramètres!$A$1:$I$89,3,0)*0.475*44/12</f>
        <v>8.3098191827599605E-5</v>
      </c>
      <c r="AC71" s="24">
        <f t="shared" si="57"/>
        <v>40.446803208470918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1.1368683772161603E-13</v>
      </c>
      <c r="O72" s="14">
        <f>N72*VLOOKUP('Données projet'!$B$9,Paramètres!$A$1:$I$89,3,0)*VLOOKUP('Données projet'!$B$9,Paramètres!$A$1:$I$89,5,0)</f>
        <v>6.7984728957526396E-14</v>
      </c>
      <c r="P72" s="14">
        <f t="shared" si="87"/>
        <v>1.0682447123141398E-12</v>
      </c>
      <c r="Q72" s="22">
        <f t="shared" si="54"/>
        <v>1.978932943548152E-12</v>
      </c>
      <c r="R72" s="62">
        <f t="shared" si="55"/>
        <v>293.3333333333353</v>
      </c>
      <c r="S72" s="62">
        <f ca="1">AVERAGE(OFFSET($R$3,0,0,'Données projet'!$E$9+1,1))-AVERAGE(OFFSET($H$3,0,0,'Données projet'!$E$9+1,1))</f>
        <v>147.72913422715322</v>
      </c>
      <c r="T72" s="62">
        <f t="shared" si="88"/>
        <v>361.07991692964799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24.629752674558716</v>
      </c>
      <c r="AA72" s="23">
        <f>EXP(-LN(2)/25)*AA71+(1-EXP(-LN(2)/25))/(LN(2)/25)*Calculateur!V72*Calculateur!X72*VLOOKUP('Données projet'!$B$9,Paramètres!$A$1:$I$89,3,0)*0.475*44/12</f>
        <v>14.905288057865546</v>
      </c>
      <c r="AB72" s="23">
        <f>EXP(-LN(2)/2)*AB71+(1-EXP(-LN(2)/2))/(LN(2)/2)*V72*Y72*VLOOKUP('Données projet'!$B$9,Paramètres!$A$1:$I$89,3,0)*0.475*44/12</f>
        <v>5.8759294945636231E-5</v>
      </c>
      <c r="AC72" s="24">
        <f t="shared" si="57"/>
        <v>39.535099491719208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1.1368683772161603E-13</v>
      </c>
      <c r="O73" s="14">
        <f>N73*VLOOKUP('Données projet'!$B$9,Paramètres!$A$1:$I$89,3,0)*VLOOKUP('Données projet'!$B$9,Paramètres!$A$1:$I$89,5,0)</f>
        <v>6.7984728957526396E-14</v>
      </c>
      <c r="P73" s="14">
        <f t="shared" si="87"/>
        <v>1.0682447123141398E-12</v>
      </c>
      <c r="Q73" s="22">
        <f t="shared" si="54"/>
        <v>1.978932943548152E-12</v>
      </c>
      <c r="R73" s="62">
        <f t="shared" si="55"/>
        <v>293.3333333333353</v>
      </c>
      <c r="S73" s="62">
        <f ca="1">AVERAGE(OFFSET($R$3,0,0,'Données projet'!$E$9+1,1))-AVERAGE(OFFSET($H$3,0,0,'Données projet'!$E$9+1,1))</f>
        <v>147.72913422715322</v>
      </c>
      <c r="T73" s="62">
        <f t="shared" si="88"/>
        <v>361.07991692964799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24.146778247276387</v>
      </c>
      <c r="AA73" s="23">
        <f>EXP(-LN(2)/25)*AA72+(1-EXP(-LN(2)/25))/(LN(2)/25)*Calculateur!V73*Calculateur!X73*VLOOKUP('Données projet'!$B$9,Paramètres!$A$1:$I$89,3,0)*0.475*44/12</f>
        <v>14.49770217208818</v>
      </c>
      <c r="AB73" s="23">
        <f>EXP(-LN(2)/2)*AB72+(1-EXP(-LN(2)/2))/(LN(2)/2)*V73*Y73*VLOOKUP('Données projet'!$B$9,Paramètres!$A$1:$I$89,3,0)*0.475*44/12</f>
        <v>4.1549095913799809E-5</v>
      </c>
      <c r="AC73" s="24">
        <f t="shared" si="57"/>
        <v>38.644521968460481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1.1368683772161603E-13</v>
      </c>
      <c r="O74" s="14">
        <f>N74*VLOOKUP('Données projet'!$B$9,Paramètres!$A$1:$I$89,3,0)*VLOOKUP('Données projet'!$B$9,Paramètres!$A$1:$I$89,5,0)</f>
        <v>6.7984728957526396E-14</v>
      </c>
      <c r="P74" s="14">
        <f t="shared" si="87"/>
        <v>1.0682447123141398E-12</v>
      </c>
      <c r="Q74" s="22">
        <f t="shared" si="54"/>
        <v>1.978932943548152E-12</v>
      </c>
      <c r="R74" s="62">
        <f t="shared" si="55"/>
        <v>293.3333333333353</v>
      </c>
      <c r="S74" s="62">
        <f ca="1">AVERAGE(OFFSET($R$3,0,0,'Données projet'!$E$9+1,1))-AVERAGE(OFFSET($H$3,0,0,'Données projet'!$E$9+1,1))</f>
        <v>147.72913422715322</v>
      </c>
      <c r="T74" s="62">
        <f t="shared" si="88"/>
        <v>361.07991692964799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23.673274653927752</v>
      </c>
      <c r="AA74" s="23">
        <f>EXP(-LN(2)/25)*AA73+(1-EXP(-LN(2)/25))/(LN(2)/25)*Calculateur!V74*Calculateur!X74*VLOOKUP('Données projet'!$B$9,Paramètres!$A$1:$I$89,3,0)*0.475*44/12</f>
        <v>14.101261743791406</v>
      </c>
      <c r="AB74" s="23">
        <f>EXP(-LN(2)/2)*AB73+(1-EXP(-LN(2)/2))/(LN(2)/2)*V74*Y74*VLOOKUP('Données projet'!$B$9,Paramètres!$A$1:$I$89,3,0)*0.475*44/12</f>
        <v>2.9379647472818119E-5</v>
      </c>
      <c r="AC74" s="24">
        <f t="shared" si="57"/>
        <v>37.774565777366632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1.1368683772161603E-13</v>
      </c>
      <c r="O75" s="14">
        <f>N75*VLOOKUP('Données projet'!$B$9,Paramètres!$A$1:$I$89,3,0)*VLOOKUP('Données projet'!$B$9,Paramètres!$A$1:$I$89,5,0)</f>
        <v>6.7984728957526396E-14</v>
      </c>
      <c r="P75" s="14">
        <f t="shared" si="87"/>
        <v>1.0682447123141398E-12</v>
      </c>
      <c r="Q75" s="22">
        <f t="shared" si="54"/>
        <v>1.978932943548152E-12</v>
      </c>
      <c r="R75" s="62">
        <f t="shared" si="55"/>
        <v>293.3333333333353</v>
      </c>
      <c r="S75" s="62">
        <f ca="1">AVERAGE(OFFSET($R$3,0,0,'Données projet'!$E$9+1,1))-AVERAGE(OFFSET($H$3,0,0,'Données projet'!$E$9+1,1))</f>
        <v>147.72913422715322</v>
      </c>
      <c r="T75" s="62">
        <f t="shared" si="88"/>
        <v>361.07991692964799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23.209056177236008</v>
      </c>
      <c r="AA75" s="23">
        <f>EXP(-LN(2)/25)*AA74+(1-EXP(-LN(2)/25))/(LN(2)/25)*Calculateur!V75*Calculateur!X75*VLOOKUP('Données projet'!$B$9,Paramètres!$A$1:$I$89,3,0)*0.475*44/12</f>
        <v>13.715661999854303</v>
      </c>
      <c r="AB75" s="23">
        <f>EXP(-LN(2)/2)*AB74+(1-EXP(-LN(2)/2))/(LN(2)/2)*V75*Y75*VLOOKUP('Données projet'!$B$9,Paramètres!$A$1:$I$89,3,0)*0.475*44/12</f>
        <v>2.0774547956899908E-5</v>
      </c>
      <c r="AC75" s="24">
        <f t="shared" si="57"/>
        <v>36.924738951638268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1.1368683772161603E-13</v>
      </c>
      <c r="O76" s="14">
        <f>N76*VLOOKUP('Données projet'!$B$9,Paramètres!$A$1:$I$89,3,0)*VLOOKUP('Données projet'!$B$9,Paramètres!$A$1:$I$89,5,0)</f>
        <v>6.7984728957526396E-14</v>
      </c>
      <c r="P76" s="14">
        <f t="shared" si="87"/>
        <v>1.0682447123141398E-12</v>
      </c>
      <c r="Q76" s="22">
        <f t="shared" si="54"/>
        <v>1.978932943548152E-12</v>
      </c>
      <c r="R76" s="62">
        <f t="shared" si="55"/>
        <v>293.3333333333353</v>
      </c>
      <c r="S76" s="62">
        <f ca="1">AVERAGE(OFFSET($R$3,0,0,'Données projet'!$E$9+1,1))-AVERAGE(OFFSET($H$3,0,0,'Données projet'!$E$9+1,1))</f>
        <v>147.72913422715322</v>
      </c>
      <c r="T76" s="62">
        <f t="shared" si="88"/>
        <v>361.07991692964799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22.753940741726876</v>
      </c>
      <c r="AA76" s="23">
        <f>EXP(-LN(2)/25)*AA75+(1-EXP(-LN(2)/25))/(LN(2)/25)*Calculateur!V76*Calculateur!X76*VLOOKUP('Données projet'!$B$9,Paramètres!$A$1:$I$89,3,0)*0.475*44/12</f>
        <v>13.340606501192971</v>
      </c>
      <c r="AB76" s="23">
        <f>EXP(-LN(2)/2)*AB75+(1-EXP(-LN(2)/2))/(LN(2)/2)*V76*Y76*VLOOKUP('Données projet'!$B$9,Paramètres!$A$1:$I$89,3,0)*0.475*44/12</f>
        <v>1.4689823736409063E-5</v>
      </c>
      <c r="AC76" s="24">
        <f t="shared" si="57"/>
        <v>36.094561932743581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1.1368683772161603E-13</v>
      </c>
      <c r="O77" s="14">
        <f>N77*VLOOKUP('Données projet'!$B$9,Paramètres!$A$1:$I$89,3,0)*VLOOKUP('Données projet'!$B$9,Paramètres!$A$1:$I$89,5,0)</f>
        <v>6.7984728957526396E-14</v>
      </c>
      <c r="P77" s="14">
        <f t="shared" si="87"/>
        <v>1.0682447123141398E-12</v>
      </c>
      <c r="Q77" s="22">
        <f t="shared" si="54"/>
        <v>1.978932943548152E-12</v>
      </c>
      <c r="R77" s="62">
        <f t="shared" si="55"/>
        <v>293.3333333333353</v>
      </c>
      <c r="S77" s="62">
        <f ca="1">AVERAGE(OFFSET($R$3,0,0,'Données projet'!$E$9+1,1))-AVERAGE(OFFSET($H$3,0,0,'Données projet'!$E$9+1,1))</f>
        <v>147.72913422715322</v>
      </c>
      <c r="T77" s="62">
        <f t="shared" si="88"/>
        <v>361.07991692964799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22.307749842315072</v>
      </c>
      <c r="AA77" s="23">
        <f>EXP(-LN(2)/25)*AA76+(1-EXP(-LN(2)/25))/(LN(2)/25)*Calculateur!V77*Calculateur!X77*VLOOKUP('Données projet'!$B$9,Paramètres!$A$1:$I$89,3,0)*0.475*44/12</f>
        <v>12.975806914865844</v>
      </c>
      <c r="AB77" s="23">
        <f>EXP(-LN(2)/2)*AB76+(1-EXP(-LN(2)/2))/(LN(2)/2)*V77*Y77*VLOOKUP('Données projet'!$B$9,Paramètres!$A$1:$I$89,3,0)*0.475*44/12</f>
        <v>1.0387273978449956E-5</v>
      </c>
      <c r="AC77" s="24">
        <f t="shared" si="57"/>
        <v>35.283567144454899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1.1368683772161603E-13</v>
      </c>
      <c r="O78" s="14">
        <f>N78*VLOOKUP('Données projet'!$B$9,Paramètres!$A$1:$I$89,3,0)*VLOOKUP('Données projet'!$B$9,Paramètres!$A$1:$I$89,5,0)</f>
        <v>6.7984728957526396E-14</v>
      </c>
      <c r="P78" s="14">
        <f t="shared" si="87"/>
        <v>1.0682447123141398E-12</v>
      </c>
      <c r="Q78" s="22">
        <f t="shared" si="54"/>
        <v>1.978932943548152E-12</v>
      </c>
      <c r="R78" s="62">
        <f t="shared" si="55"/>
        <v>293.3333333333353</v>
      </c>
      <c r="S78" s="62">
        <f ca="1">AVERAGE(OFFSET($R$3,0,0,'Données projet'!$E$9+1,1))-AVERAGE(OFFSET($H$3,0,0,'Données projet'!$E$9+1,1))</f>
        <v>147.72913422715322</v>
      </c>
      <c r="T78" s="62">
        <f t="shared" si="88"/>
        <v>361.07991692964799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21.870308474291157</v>
      </c>
      <c r="AA78" s="23">
        <f>EXP(-LN(2)/25)*AA77+(1-EXP(-LN(2)/25))/(LN(2)/25)*Calculateur!V78*Calculateur!X78*VLOOKUP('Données projet'!$B$9,Paramètres!$A$1:$I$89,3,0)*0.475*44/12</f>
        <v>12.620982792410809</v>
      </c>
      <c r="AB78" s="23">
        <f>EXP(-LN(2)/2)*AB77+(1-EXP(-LN(2)/2))/(LN(2)/2)*V78*Y78*VLOOKUP('Données projet'!$B$9,Paramètres!$A$1:$I$89,3,0)*0.475*44/12</f>
        <v>7.3449118682045322E-6</v>
      </c>
      <c r="AC78" s="24">
        <f t="shared" si="57"/>
        <v>34.491298611613836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1.1368683772161603E-13</v>
      </c>
      <c r="O79" s="14">
        <f>N79*VLOOKUP('Données projet'!$B$9,Paramètres!$A$1:$I$89,3,0)*VLOOKUP('Données projet'!$B$9,Paramètres!$A$1:$I$89,5,0)</f>
        <v>6.7984728957526396E-14</v>
      </c>
      <c r="P79" s="14">
        <f t="shared" si="87"/>
        <v>1.0682447123141398E-12</v>
      </c>
      <c r="Q79" s="22">
        <f t="shared" si="54"/>
        <v>1.978932943548152E-12</v>
      </c>
      <c r="R79" s="62">
        <f t="shared" si="55"/>
        <v>293.3333333333353</v>
      </c>
      <c r="S79" s="62">
        <f ca="1">AVERAGE(OFFSET($R$3,0,0,'Données projet'!$E$9+1,1))-AVERAGE(OFFSET($H$3,0,0,'Données projet'!$E$9+1,1))</f>
        <v>147.72913422715322</v>
      </c>
      <c r="T79" s="62">
        <f t="shared" si="88"/>
        <v>361.07991692964799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21.441445064681304</v>
      </c>
      <c r="AA79" s="23">
        <f>EXP(-LN(2)/25)*AA78+(1-EXP(-LN(2)/25))/(LN(2)/25)*Calculateur!V79*Calculateur!X79*VLOOKUP('Données projet'!$B$9,Paramètres!$A$1:$I$89,3,0)*0.475*44/12</f>
        <v>12.275861354243697</v>
      </c>
      <c r="AB79" s="23">
        <f>EXP(-LN(2)/2)*AB78+(1-EXP(-LN(2)/2))/(LN(2)/2)*V79*Y79*VLOOKUP('Données projet'!$B$9,Paramètres!$A$1:$I$89,3,0)*0.475*44/12</f>
        <v>5.1936369892249787E-6</v>
      </c>
      <c r="AC79" s="24">
        <f t="shared" si="57"/>
        <v>33.717311612561986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1.1368683772161603E-13</v>
      </c>
      <c r="O80" s="14">
        <f>N80*VLOOKUP('Données projet'!$B$9,Paramètres!$A$1:$I$89,3,0)*VLOOKUP('Données projet'!$B$9,Paramètres!$A$1:$I$89,5,0)</f>
        <v>6.7984728957526396E-14</v>
      </c>
      <c r="P80" s="14">
        <f t="shared" si="87"/>
        <v>1.0682447123141398E-12</v>
      </c>
      <c r="Q80" s="22">
        <f t="shared" si="54"/>
        <v>1.978932943548152E-12</v>
      </c>
      <c r="R80" s="62">
        <f t="shared" si="55"/>
        <v>293.3333333333353</v>
      </c>
      <c r="S80" s="62">
        <f ca="1">AVERAGE(OFFSET($R$3,0,0,'Données projet'!$E$9+1,1))-AVERAGE(OFFSET($H$3,0,0,'Données projet'!$E$9+1,1))</f>
        <v>147.72913422715322</v>
      </c>
      <c r="T80" s="62">
        <f t="shared" si="88"/>
        <v>361.07991692964799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21.020991404953048</v>
      </c>
      <c r="AA80" s="23">
        <f>EXP(-LN(2)/25)*AA79+(1-EXP(-LN(2)/25))/(LN(2)/25)*Calculateur!V80*Calculateur!X80*VLOOKUP('Données projet'!$B$9,Paramètres!$A$1:$I$89,3,0)*0.475*44/12</f>
        <v>11.940177279952412</v>
      </c>
      <c r="AB80" s="23">
        <f>EXP(-LN(2)/2)*AB79+(1-EXP(-LN(2)/2))/(LN(2)/2)*V80*Y80*VLOOKUP('Données projet'!$B$9,Paramètres!$A$1:$I$89,3,0)*0.475*44/12</f>
        <v>3.6724559341022665E-6</v>
      </c>
      <c r="AC80" s="24">
        <f t="shared" si="57"/>
        <v>32.961172357361392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1.1368683772161603E-13</v>
      </c>
      <c r="O81" s="14">
        <f>N81*VLOOKUP('Données projet'!$B$9,Paramètres!$A$1:$I$89,3,0)*VLOOKUP('Données projet'!$B$9,Paramètres!$A$1:$I$89,5,0)</f>
        <v>6.7984728957526396E-14</v>
      </c>
      <c r="P81" s="14">
        <f t="shared" si="87"/>
        <v>1.0682447123141398E-12</v>
      </c>
      <c r="Q81" s="22">
        <f t="shared" si="54"/>
        <v>1.978932943548152E-12</v>
      </c>
      <c r="R81" s="62">
        <f t="shared" si="55"/>
        <v>293.3333333333353</v>
      </c>
      <c r="S81" s="62">
        <f ca="1">AVERAGE(OFFSET($R$3,0,0,'Données projet'!$E$9+1,1))-AVERAGE(OFFSET($H$3,0,0,'Données projet'!$E$9+1,1))</f>
        <v>147.72913422715322</v>
      </c>
      <c r="T81" s="62">
        <f t="shared" si="88"/>
        <v>361.07991692964799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20.608782585040654</v>
      </c>
      <c r="AA81" s="23">
        <f>EXP(-LN(2)/25)*AA80+(1-EXP(-LN(2)/25))/(LN(2)/25)*Calculateur!V81*Calculateur!X81*VLOOKUP('Données projet'!$B$9,Paramètres!$A$1:$I$89,3,0)*0.475*44/12</f>
        <v>11.61367250432548</v>
      </c>
      <c r="AB81" s="23">
        <f>EXP(-LN(2)/2)*AB80+(1-EXP(-LN(2)/2))/(LN(2)/2)*V81*Y81*VLOOKUP('Données projet'!$B$9,Paramètres!$A$1:$I$89,3,0)*0.475*44/12</f>
        <v>2.5968184946124898E-6</v>
      </c>
      <c r="AC81" s="24">
        <f t="shared" si="57"/>
        <v>32.222457686184633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1.1368683772161603E-13</v>
      </c>
      <c r="O82" s="14">
        <f>N82*VLOOKUP('Données projet'!$B$9,Paramètres!$A$1:$I$89,3,0)*VLOOKUP('Données projet'!$B$9,Paramètres!$A$1:$I$89,5,0)</f>
        <v>6.7984728957526396E-14</v>
      </c>
      <c r="P82" s="14">
        <f t="shared" si="87"/>
        <v>1.0682447123141398E-12</v>
      </c>
      <c r="Q82" s="22">
        <f t="shared" si="54"/>
        <v>1.978932943548152E-12</v>
      </c>
      <c r="R82" s="62">
        <f t="shared" si="55"/>
        <v>293.3333333333353</v>
      </c>
      <c r="S82" s="62">
        <f ca="1">AVERAGE(OFFSET($R$3,0,0,'Données projet'!$E$9+1,1))-AVERAGE(OFFSET($H$3,0,0,'Données projet'!$E$9+1,1))</f>
        <v>147.72913422715322</v>
      </c>
      <c r="T82" s="62">
        <f t="shared" si="88"/>
        <v>361.07991692964799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20.204656928664189</v>
      </c>
      <c r="AA82" s="23">
        <f>EXP(-LN(2)/25)*AA81+(1-EXP(-LN(2)/25))/(LN(2)/25)*Calculateur!V82*Calculateur!X82*VLOOKUP('Données projet'!$B$9,Paramètres!$A$1:$I$89,3,0)*0.475*44/12</f>
        <v>11.296096018958206</v>
      </c>
      <c r="AB82" s="23">
        <f>EXP(-LN(2)/2)*AB81+(1-EXP(-LN(2)/2))/(LN(2)/2)*V82*Y82*VLOOKUP('Données projet'!$B$9,Paramètres!$A$1:$I$89,3,0)*0.475*44/12</f>
        <v>1.8362279670511337E-6</v>
      </c>
      <c r="AC82" s="24">
        <f t="shared" si="57"/>
        <v>31.500754783850361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1.1368683772161603E-13</v>
      </c>
      <c r="O83" s="14">
        <f>N83*VLOOKUP('Données projet'!$B$9,Paramètres!$A$1:$I$89,3,0)*VLOOKUP('Données projet'!$B$9,Paramètres!$A$1:$I$89,5,0)</f>
        <v>6.7984728957526396E-14</v>
      </c>
      <c r="P83" s="14">
        <f t="shared" si="87"/>
        <v>1.0682447123141398E-12</v>
      </c>
      <c r="Q83" s="22">
        <f t="shared" si="54"/>
        <v>1.978932943548152E-12</v>
      </c>
      <c r="R83" s="62">
        <f t="shared" si="55"/>
        <v>293.3333333333353</v>
      </c>
      <c r="S83" s="62">
        <f ca="1">AVERAGE(OFFSET($R$3,0,0,'Données projet'!$E$9+1,1))-AVERAGE(OFFSET($H$3,0,0,'Données projet'!$E$9+1,1))</f>
        <v>147.72913422715322</v>
      </c>
      <c r="T83" s="62">
        <f t="shared" si="88"/>
        <v>361.07991692964799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19.808455929916953</v>
      </c>
      <c r="AA83" s="23">
        <f>EXP(-LN(2)/25)*AA82+(1-EXP(-LN(2)/25))/(LN(2)/25)*Calculateur!V83*Calculateur!X83*VLOOKUP('Données projet'!$B$9,Paramètres!$A$1:$I$89,3,0)*0.475*44/12</f>
        <v>10.987203679283922</v>
      </c>
      <c r="AB83" s="23">
        <f>EXP(-LN(2)/2)*AB82+(1-EXP(-LN(2)/2))/(LN(2)/2)*V83*Y83*VLOOKUP('Données projet'!$B$9,Paramètres!$A$1:$I$89,3,0)*0.475*44/12</f>
        <v>1.2984092473062451E-6</v>
      </c>
      <c r="AC83" s="24">
        <f t="shared" si="57"/>
        <v>30.795660907610124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1.1368683772161603E-13</v>
      </c>
      <c r="O84" s="14">
        <f>N84*VLOOKUP('Données projet'!$B$9,Paramètres!$A$1:$I$89,3,0)*VLOOKUP('Données projet'!$B$9,Paramètres!$A$1:$I$89,5,0)</f>
        <v>6.7984728957526396E-14</v>
      </c>
      <c r="P84" s="14">
        <f t="shared" si="87"/>
        <v>1.0682447123141398E-12</v>
      </c>
      <c r="Q84" s="22">
        <f t="shared" si="54"/>
        <v>1.978932943548152E-12</v>
      </c>
      <c r="R84" s="62">
        <f t="shared" si="55"/>
        <v>293.3333333333353</v>
      </c>
      <c r="S84" s="62">
        <f ca="1">AVERAGE(OFFSET($R$3,0,0,'Données projet'!$E$9+1,1))-AVERAGE(OFFSET($H$3,0,0,'Données projet'!$E$9+1,1))</f>
        <v>147.72913422715322</v>
      </c>
      <c r="T84" s="62">
        <f t="shared" si="88"/>
        <v>361.07991692964799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19.420024191096402</v>
      </c>
      <c r="AA84" s="23">
        <f>EXP(-LN(2)/25)*AA83+(1-EXP(-LN(2)/25))/(LN(2)/25)*Calculateur!V84*Calculateur!X84*VLOOKUP('Données projet'!$B$9,Paramètres!$A$1:$I$89,3,0)*0.475*44/12</f>
        <v>10.686758016881974</v>
      </c>
      <c r="AB84" s="23">
        <f>EXP(-LN(2)/2)*AB83+(1-EXP(-LN(2)/2))/(LN(2)/2)*V84*Y84*VLOOKUP('Données projet'!$B$9,Paramètres!$A$1:$I$89,3,0)*0.475*44/12</f>
        <v>9.1811398352556695E-7</v>
      </c>
      <c r="AC84" s="24">
        <f t="shared" si="57"/>
        <v>30.10678312609236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1.1368683772161603E-13</v>
      </c>
      <c r="O85" s="14">
        <f>N85*VLOOKUP('Données projet'!$B$9,Paramètres!$A$1:$I$89,3,0)*VLOOKUP('Données projet'!$B$9,Paramètres!$A$1:$I$89,5,0)</f>
        <v>6.7984728957526396E-14</v>
      </c>
      <c r="P85" s="14">
        <f t="shared" si="87"/>
        <v>1.0682447123141398E-12</v>
      </c>
      <c r="Q85" s="22">
        <f t="shared" si="54"/>
        <v>1.978932943548152E-12</v>
      </c>
      <c r="R85" s="62">
        <f t="shared" si="55"/>
        <v>293.3333333333353</v>
      </c>
      <c r="S85" s="62">
        <f ca="1">AVERAGE(OFFSET($R$3,0,0,'Données projet'!$E$9+1,1))-AVERAGE(OFFSET($H$3,0,0,'Données projet'!$E$9+1,1))</f>
        <v>147.72913422715322</v>
      </c>
      <c r="T85" s="62">
        <f t="shared" si="88"/>
        <v>361.07991692964799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19.039209361754157</v>
      </c>
      <c r="AA85" s="23">
        <f>EXP(-LN(2)/25)*AA84+(1-EXP(-LN(2)/25))/(LN(2)/25)*Calculateur!V85*Calculateur!X85*VLOOKUP('Données projet'!$B$9,Paramètres!$A$1:$I$89,3,0)*0.475*44/12</f>
        <v>10.394528056918157</v>
      </c>
      <c r="AB85" s="23">
        <f>EXP(-LN(2)/2)*AB84+(1-EXP(-LN(2)/2))/(LN(2)/2)*V85*Y85*VLOOKUP('Données projet'!$B$9,Paramètres!$A$1:$I$89,3,0)*0.475*44/12</f>
        <v>6.4920462365312265E-7</v>
      </c>
      <c r="AC85" s="24">
        <f t="shared" si="57"/>
        <v>29.433738067876938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1.1368683772161603E-13</v>
      </c>
      <c r="O86" s="14">
        <f>N86*VLOOKUP('Données projet'!$B$9,Paramètres!$A$1:$I$89,3,0)*VLOOKUP('Données projet'!$B$9,Paramètres!$A$1:$I$89,5,0)</f>
        <v>6.7984728957526396E-14</v>
      </c>
      <c r="P86" s="14">
        <f t="shared" si="87"/>
        <v>1.0682447123141398E-12</v>
      </c>
      <c r="Q86" s="22">
        <f t="shared" si="54"/>
        <v>1.978932943548152E-12</v>
      </c>
      <c r="R86" s="62">
        <f t="shared" si="55"/>
        <v>293.3333333333353</v>
      </c>
      <c r="S86" s="62">
        <f ca="1">AVERAGE(OFFSET($R$3,0,0,'Données projet'!$E$9+1,1))-AVERAGE(OFFSET($H$3,0,0,'Données projet'!$E$9+1,1))</f>
        <v>147.72913422715322</v>
      </c>
      <c r="T86" s="62">
        <f t="shared" si="88"/>
        <v>361.07991692964799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18.665862078941203</v>
      </c>
      <c r="AA86" s="23">
        <f>EXP(-LN(2)/25)*AA85+(1-EXP(-LN(2)/25))/(LN(2)/25)*Calculateur!V86*Calculateur!X86*VLOOKUP('Données projet'!$B$9,Paramètres!$A$1:$I$89,3,0)*0.475*44/12</f>
        <v>10.110289140577256</v>
      </c>
      <c r="AB86" s="23">
        <f>EXP(-LN(2)/2)*AB85+(1-EXP(-LN(2)/2))/(LN(2)/2)*V86*Y86*VLOOKUP('Données projet'!$B$9,Paramètres!$A$1:$I$89,3,0)*0.475*44/12</f>
        <v>4.5905699176278358E-7</v>
      </c>
      <c r="AC86" s="24">
        <f t="shared" si="57"/>
        <v>28.776151678575452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1.1368683772161603E-13</v>
      </c>
      <c r="O87" s="14">
        <f>N87*VLOOKUP('Données projet'!$B$9,Paramètres!$A$1:$I$89,3,0)*VLOOKUP('Données projet'!$B$9,Paramètres!$A$1:$I$89,5,0)</f>
        <v>6.7984728957526396E-14</v>
      </c>
      <c r="P87" s="14">
        <f t="shared" si="87"/>
        <v>1.0682447123141398E-12</v>
      </c>
      <c r="Q87" s="22">
        <f t="shared" si="54"/>
        <v>1.978932943548152E-12</v>
      </c>
      <c r="R87" s="62">
        <f t="shared" si="55"/>
        <v>293.3333333333353</v>
      </c>
      <c r="S87" s="62">
        <f ca="1">AVERAGE(OFFSET($R$3,0,0,'Données projet'!$E$9+1,1))-AVERAGE(OFFSET($H$3,0,0,'Données projet'!$E$9+1,1))</f>
        <v>147.72913422715322</v>
      </c>
      <c r="T87" s="62">
        <f t="shared" si="88"/>
        <v>361.07991692964799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18.299835908624853</v>
      </c>
      <c r="AA87" s="23">
        <f>EXP(-LN(2)/25)*AA86+(1-EXP(-LN(2)/25))/(LN(2)/25)*Calculateur!V87*Calculateur!X87*VLOOKUP('Données projet'!$B$9,Paramètres!$A$1:$I$89,3,0)*0.475*44/12</f>
        <v>9.833822752351173</v>
      </c>
      <c r="AB87" s="23">
        <f>EXP(-LN(2)/2)*AB86+(1-EXP(-LN(2)/2))/(LN(2)/2)*V87*Y87*VLOOKUP('Données projet'!$B$9,Paramètres!$A$1:$I$89,3,0)*0.475*44/12</f>
        <v>3.2460231182656138E-7</v>
      </c>
      <c r="AC87" s="24">
        <f t="shared" si="57"/>
        <v>28.133658985578336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1.1368683772161603E-13</v>
      </c>
      <c r="O88" s="14">
        <f>N88*VLOOKUP('Données projet'!$B$9,Paramètres!$A$1:$I$89,3,0)*VLOOKUP('Données projet'!$B$9,Paramètres!$A$1:$I$89,5,0)</f>
        <v>6.7984728957526396E-14</v>
      </c>
      <c r="P88" s="14">
        <f t="shared" si="87"/>
        <v>1.0682447123141398E-12</v>
      </c>
      <c r="Q88" s="22">
        <f t="shared" si="54"/>
        <v>1.978932943548152E-12</v>
      </c>
      <c r="R88" s="62">
        <f t="shared" si="55"/>
        <v>293.3333333333353</v>
      </c>
      <c r="S88" s="62">
        <f ca="1">AVERAGE(OFFSET($R$3,0,0,'Données projet'!$E$9+1,1))-AVERAGE(OFFSET($H$3,0,0,'Données projet'!$E$9+1,1))</f>
        <v>147.72913422715322</v>
      </c>
      <c r="T88" s="62">
        <f t="shared" si="88"/>
        <v>361.07991692964799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17.940987288254487</v>
      </c>
      <c r="AA88" s="23">
        <f>EXP(-LN(2)/25)*AA87+(1-EXP(-LN(2)/25))/(LN(2)/25)*Calculateur!V88*Calculateur!X88*VLOOKUP('Données projet'!$B$9,Paramètres!$A$1:$I$89,3,0)*0.475*44/12</f>
        <v>9.5649163520498668</v>
      </c>
      <c r="AB88" s="23">
        <f>EXP(-LN(2)/2)*AB87+(1-EXP(-LN(2)/2))/(LN(2)/2)*V88*Y88*VLOOKUP('Données projet'!$B$9,Paramètres!$A$1:$I$89,3,0)*0.475*44/12</f>
        <v>2.2952849588139182E-7</v>
      </c>
      <c r="AC88" s="24">
        <f t="shared" si="57"/>
        <v>27.505903869832849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1.1368683772161603E-13</v>
      </c>
      <c r="O89" s="14">
        <f>N89*VLOOKUP('Données projet'!$B$9,Paramètres!$A$1:$I$89,3,0)*VLOOKUP('Données projet'!$B$9,Paramètres!$A$1:$I$89,5,0)</f>
        <v>6.7984728957526396E-14</v>
      </c>
      <c r="P89" s="14">
        <f t="shared" si="87"/>
        <v>1.0682447123141398E-12</v>
      </c>
      <c r="Q89" s="22">
        <f t="shared" si="54"/>
        <v>1.978932943548152E-12</v>
      </c>
      <c r="R89" s="62">
        <f t="shared" si="55"/>
        <v>293.3333333333353</v>
      </c>
      <c r="S89" s="62">
        <f ca="1">AVERAGE(OFFSET($R$3,0,0,'Données projet'!$E$9+1,1))-AVERAGE(OFFSET($H$3,0,0,'Données projet'!$E$9+1,1))</f>
        <v>147.72913422715322</v>
      </c>
      <c r="T89" s="62">
        <f t="shared" si="88"/>
        <v>361.07991692964799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17.589175470453537</v>
      </c>
      <c r="AA89" s="23">
        <f>EXP(-LN(2)/25)*AA88+(1-EXP(-LN(2)/25))/(LN(2)/25)*Calculateur!V89*Calculateur!X89*VLOOKUP('Données projet'!$B$9,Paramètres!$A$1:$I$89,3,0)*0.475*44/12</f>
        <v>9.3033632114059728</v>
      </c>
      <c r="AB89" s="23">
        <f>EXP(-LN(2)/2)*AB88+(1-EXP(-LN(2)/2))/(LN(2)/2)*V89*Y89*VLOOKUP('Données projet'!$B$9,Paramètres!$A$1:$I$89,3,0)*0.475*44/12</f>
        <v>1.6230115591328072E-7</v>
      </c>
      <c r="AC89" s="24">
        <f t="shared" si="57"/>
        <v>26.892538844160665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1.1368683772161603E-13</v>
      </c>
      <c r="O90" s="14">
        <f>N90*VLOOKUP('Données projet'!$B$9,Paramètres!$A$1:$I$89,3,0)*VLOOKUP('Données projet'!$B$9,Paramètres!$A$1:$I$89,5,0)</f>
        <v>6.7984728957526396E-14</v>
      </c>
      <c r="P90" s="14">
        <f t="shared" si="87"/>
        <v>1.0682447123141398E-12</v>
      </c>
      <c r="Q90" s="22">
        <f t="shared" si="54"/>
        <v>1.978932943548152E-12</v>
      </c>
      <c r="R90" s="62">
        <f t="shared" si="55"/>
        <v>293.3333333333353</v>
      </c>
      <c r="S90" s="62">
        <f ca="1">AVERAGE(OFFSET($R$3,0,0,'Données projet'!$E$9+1,1))-AVERAGE(OFFSET($H$3,0,0,'Données projet'!$E$9+1,1))</f>
        <v>147.72913422715322</v>
      </c>
      <c r="T90" s="62">
        <f t="shared" si="88"/>
        <v>361.07991692964799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17.244262467815645</v>
      </c>
      <c r="AA90" s="23">
        <f>EXP(-LN(2)/25)*AA89+(1-EXP(-LN(2)/25))/(LN(2)/25)*Calculateur!V90*Calculateur!X90*VLOOKUP('Données projet'!$B$9,Paramètres!$A$1:$I$89,3,0)*0.475*44/12</f>
        <v>9.0489622551474689</v>
      </c>
      <c r="AB90" s="23">
        <f>EXP(-LN(2)/2)*AB89+(1-EXP(-LN(2)/2))/(LN(2)/2)*V90*Y90*VLOOKUP('Données projet'!$B$9,Paramètres!$A$1:$I$89,3,0)*0.475*44/12</f>
        <v>1.1476424794069594E-7</v>
      </c>
      <c r="AC90" s="24">
        <f t="shared" si="57"/>
        <v>26.293224837727362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1.1368683772161603E-13</v>
      </c>
      <c r="O91" s="14">
        <f>N91*VLOOKUP('Données projet'!$B$9,Paramètres!$A$1:$I$89,3,0)*VLOOKUP('Données projet'!$B$9,Paramètres!$A$1:$I$89,5,0)</f>
        <v>6.7984728957526396E-14</v>
      </c>
      <c r="P91" s="14">
        <f t="shared" si="87"/>
        <v>1.0682447123141398E-12</v>
      </c>
      <c r="Q91" s="22">
        <f t="shared" si="54"/>
        <v>1.978932943548152E-12</v>
      </c>
      <c r="R91" s="62">
        <f t="shared" si="55"/>
        <v>293.3333333333353</v>
      </c>
      <c r="S91" s="62">
        <f ca="1">AVERAGE(OFFSET($R$3,0,0,'Données projet'!$E$9+1,1))-AVERAGE(OFFSET($H$3,0,0,'Données projet'!$E$9+1,1))</f>
        <v>147.72913422715322</v>
      </c>
      <c r="T91" s="62">
        <f t="shared" si="88"/>
        <v>361.07991692964799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16.906112998783325</v>
      </c>
      <c r="AA91" s="23">
        <f>EXP(-LN(2)/25)*AA90+(1-EXP(-LN(2)/25))/(LN(2)/25)*Calculateur!V91*Calculateur!X91*VLOOKUP('Données projet'!$B$9,Paramètres!$A$1:$I$89,3,0)*0.475*44/12</f>
        <v>8.8015179064162172</v>
      </c>
      <c r="AB91" s="23">
        <f>EXP(-LN(2)/2)*AB90+(1-EXP(-LN(2)/2))/(LN(2)/2)*V91*Y91*VLOOKUP('Données projet'!$B$9,Paramètres!$A$1:$I$89,3,0)*0.475*44/12</f>
        <v>8.1150577956640371E-8</v>
      </c>
      <c r="AC91" s="24">
        <f t="shared" si="57"/>
        <v>25.707630986350122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1.1368683772161603E-13</v>
      </c>
      <c r="O92" s="14">
        <f>N92*VLOOKUP('Données projet'!$B$9,Paramètres!$A$1:$I$89,3,0)*VLOOKUP('Données projet'!$B$9,Paramètres!$A$1:$I$89,5,0)</f>
        <v>6.7984728957526396E-14</v>
      </c>
      <c r="P92" s="14">
        <f t="shared" si="87"/>
        <v>1.0682447123141398E-12</v>
      </c>
      <c r="Q92" s="22">
        <f t="shared" si="54"/>
        <v>1.978932943548152E-12</v>
      </c>
      <c r="R92" s="62">
        <f t="shared" si="55"/>
        <v>293.3333333333353</v>
      </c>
      <c r="S92" s="62">
        <f ca="1">AVERAGE(OFFSET($R$3,0,0,'Données projet'!$E$9+1,1))-AVERAGE(OFFSET($H$3,0,0,'Données projet'!$E$9+1,1))</f>
        <v>147.72913422715322</v>
      </c>
      <c r="T92" s="62">
        <f t="shared" si="88"/>
        <v>361.07991692964799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16.574594434587915</v>
      </c>
      <c r="AA92" s="23">
        <f>EXP(-LN(2)/25)*AA91+(1-EXP(-LN(2)/25))/(LN(2)/25)*Calculateur!V92*Calculateur!X92*VLOOKUP('Données projet'!$B$9,Paramètres!$A$1:$I$89,3,0)*0.475*44/12</f>
        <v>8.5608399364135543</v>
      </c>
      <c r="AB92" s="23">
        <f>EXP(-LN(2)/2)*AB91+(1-EXP(-LN(2)/2))/(LN(2)/2)*V92*Y92*VLOOKUP('Données projet'!$B$9,Paramètres!$A$1:$I$89,3,0)*0.475*44/12</f>
        <v>5.7382123970347974E-8</v>
      </c>
      <c r="AC92" s="24">
        <f t="shared" si="57"/>
        <v>25.135434428383594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1.1368683772161603E-13</v>
      </c>
      <c r="O93" s="14">
        <f>N93*VLOOKUP('Données projet'!$B$9,Paramètres!$A$1:$I$89,3,0)*VLOOKUP('Données projet'!$B$9,Paramètres!$A$1:$I$89,5,0)</f>
        <v>6.7984728957526396E-14</v>
      </c>
      <c r="P93" s="14">
        <f t="shared" si="87"/>
        <v>1.0682447123141398E-12</v>
      </c>
      <c r="Q93" s="22">
        <f t="shared" si="54"/>
        <v>1.978932943548152E-12</v>
      </c>
      <c r="R93" s="62">
        <f t="shared" si="55"/>
        <v>293.3333333333353</v>
      </c>
      <c r="S93" s="62">
        <f ca="1">AVERAGE(OFFSET($R$3,0,0,'Données projet'!$E$9+1,1))-AVERAGE(OFFSET($H$3,0,0,'Données projet'!$E$9+1,1))</f>
        <v>147.72913422715322</v>
      </c>
      <c r="T93" s="62">
        <f t="shared" si="88"/>
        <v>361.07991692964799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16.249576747230019</v>
      </c>
      <c r="AA93" s="23">
        <f>EXP(-LN(2)/25)*AA92+(1-EXP(-LN(2)/25))/(LN(2)/25)*Calculateur!V93*Calculateur!X93*VLOOKUP('Données projet'!$B$9,Paramètres!$A$1:$I$89,3,0)*0.475*44/12</f>
        <v>8.3267433181573196</v>
      </c>
      <c r="AB93" s="23">
        <f>EXP(-LN(2)/2)*AB92+(1-EXP(-LN(2)/2))/(LN(2)/2)*V93*Y93*VLOOKUP('Données projet'!$B$9,Paramètres!$A$1:$I$89,3,0)*0.475*44/12</f>
        <v>4.0575288978320192E-8</v>
      </c>
      <c r="AC93" s="24">
        <f t="shared" si="57"/>
        <v>24.57632010596263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1.1368683772161603E-13</v>
      </c>
      <c r="O94" s="14">
        <f>N94*VLOOKUP('Données projet'!$B$9,Paramètres!$A$1:$I$89,3,0)*VLOOKUP('Données projet'!$B$9,Paramètres!$A$1:$I$89,5,0)</f>
        <v>6.7984728957526396E-14</v>
      </c>
      <c r="P94" s="14">
        <f t="shared" si="87"/>
        <v>1.0682447123141398E-12</v>
      </c>
      <c r="Q94" s="22">
        <f t="shared" si="54"/>
        <v>1.978932943548152E-12</v>
      </c>
      <c r="R94" s="62">
        <f t="shared" si="55"/>
        <v>293.3333333333353</v>
      </c>
      <c r="S94" s="62">
        <f ca="1">AVERAGE(OFFSET($R$3,0,0,'Données projet'!$E$9+1,1))-AVERAGE(OFFSET($H$3,0,0,'Données projet'!$E$9+1,1))</f>
        <v>147.72913422715322</v>
      </c>
      <c r="T94" s="62">
        <f t="shared" si="88"/>
        <v>361.07991692964799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15.930932458479999</v>
      </c>
      <c r="AA94" s="23">
        <f>EXP(-LN(2)/25)*AA93+(1-EXP(-LN(2)/25))/(LN(2)/25)*Calculateur!V94*Calculateur!X94*VLOOKUP('Données projet'!$B$9,Paramètres!$A$1:$I$89,3,0)*0.475*44/12</f>
        <v>8.0990480842379071</v>
      </c>
      <c r="AB94" s="23">
        <f>EXP(-LN(2)/2)*AB93+(1-EXP(-LN(2)/2))/(LN(2)/2)*V94*Y94*VLOOKUP('Données projet'!$B$9,Paramètres!$A$1:$I$89,3,0)*0.475*44/12</f>
        <v>2.869106198517399E-8</v>
      </c>
      <c r="AC94" s="24">
        <f t="shared" si="57"/>
        <v>24.02998057140897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1.1368683772161603E-13</v>
      </c>
      <c r="O95" s="14">
        <f>N95*VLOOKUP('Données projet'!$B$9,Paramètres!$A$1:$I$89,3,0)*VLOOKUP('Données projet'!$B$9,Paramètres!$A$1:$I$89,5,0)</f>
        <v>6.7984728957526396E-14</v>
      </c>
      <c r="P95" s="14">
        <f t="shared" si="87"/>
        <v>1.0682447123141398E-12</v>
      </c>
      <c r="Q95" s="22">
        <f t="shared" si="54"/>
        <v>1.978932943548152E-12</v>
      </c>
      <c r="R95" s="62">
        <f t="shared" si="55"/>
        <v>293.3333333333353</v>
      </c>
      <c r="S95" s="62">
        <f ca="1">AVERAGE(OFFSET($R$3,0,0,'Données projet'!$E$9+1,1))-AVERAGE(OFFSET($H$3,0,0,'Données projet'!$E$9+1,1))</f>
        <v>147.72913422715322</v>
      </c>
      <c r="T95" s="62">
        <f t="shared" si="88"/>
        <v>361.07991692964799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15.618536589878541</v>
      </c>
      <c r="AA95" s="23">
        <f>EXP(-LN(2)/25)*AA94+(1-EXP(-LN(2)/25))/(LN(2)/25)*Calculateur!V95*Calculateur!X95*VLOOKUP('Données projet'!$B$9,Paramètres!$A$1:$I$89,3,0)*0.475*44/12</f>
        <v>7.8775791884639936</v>
      </c>
      <c r="AB95" s="23">
        <f>EXP(-LN(2)/2)*AB94+(1-EXP(-LN(2)/2))/(LN(2)/2)*V95*Y95*VLOOKUP('Données projet'!$B$9,Paramètres!$A$1:$I$89,3,0)*0.475*44/12</f>
        <v>2.0287644489160099E-8</v>
      </c>
      <c r="AC95" s="24">
        <f t="shared" si="57"/>
        <v>23.496115798630179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1.1368683772161603E-13</v>
      </c>
      <c r="O96" s="14">
        <f>N96*VLOOKUP('Données projet'!$B$9,Paramètres!$A$1:$I$89,3,0)*VLOOKUP('Données projet'!$B$9,Paramètres!$A$1:$I$89,5,0)</f>
        <v>6.7984728957526396E-14</v>
      </c>
      <c r="P96" s="14">
        <f t="shared" si="87"/>
        <v>1.0682447123141398E-12</v>
      </c>
      <c r="Q96" s="22">
        <f t="shared" si="54"/>
        <v>1.978932943548152E-12</v>
      </c>
      <c r="R96" s="62">
        <f t="shared" si="55"/>
        <v>293.3333333333353</v>
      </c>
      <c r="S96" s="62">
        <f ca="1">AVERAGE(OFFSET($R$3,0,0,'Données projet'!$E$9+1,1))-AVERAGE(OFFSET($H$3,0,0,'Données projet'!$E$9+1,1))</f>
        <v>147.72913422715322</v>
      </c>
      <c r="T96" s="62">
        <f t="shared" si="88"/>
        <v>361.07991692964799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15.312266613717693</v>
      </c>
      <c r="AA96" s="23">
        <f>EXP(-LN(2)/25)*AA95+(1-EXP(-LN(2)/25))/(LN(2)/25)*Calculateur!V96*Calculateur!X96*VLOOKUP('Données projet'!$B$9,Paramètres!$A$1:$I$89,3,0)*0.475*44/12</f>
        <v>7.6621663712915611</v>
      </c>
      <c r="AB96" s="23">
        <f>EXP(-LN(2)/2)*AB95+(1-EXP(-LN(2)/2))/(LN(2)/2)*V96*Y96*VLOOKUP('Données projet'!$B$9,Paramètres!$A$1:$I$89,3,0)*0.475*44/12</f>
        <v>1.4345530992586999E-8</v>
      </c>
      <c r="AC96" s="24">
        <f t="shared" si="57"/>
        <v>22.974432999354786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1.1368683772161603E-13</v>
      </c>
      <c r="O97" s="14">
        <f>N97*VLOOKUP('Données projet'!$B$9,Paramètres!$A$1:$I$89,3,0)*VLOOKUP('Données projet'!$B$9,Paramètres!$A$1:$I$89,5,0)</f>
        <v>6.7984728957526396E-14</v>
      </c>
      <c r="P97" s="14">
        <f t="shared" si="87"/>
        <v>1.0682447123141398E-12</v>
      </c>
      <c r="Q97" s="22">
        <f t="shared" si="54"/>
        <v>1.978932943548152E-12</v>
      </c>
      <c r="R97" s="62">
        <f t="shared" si="55"/>
        <v>293.3333333333353</v>
      </c>
      <c r="S97" s="62">
        <f ca="1">AVERAGE(OFFSET($R$3,0,0,'Données projet'!$E$9+1,1))-AVERAGE(OFFSET($H$3,0,0,'Données projet'!$E$9+1,1))</f>
        <v>147.72913422715322</v>
      </c>
      <c r="T97" s="62">
        <f t="shared" si="88"/>
        <v>361.07991692964799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15.012002404983118</v>
      </c>
      <c r="AA97" s="23">
        <f>EXP(-LN(2)/25)*AA96+(1-EXP(-LN(2)/25))/(LN(2)/25)*Calculateur!V97*Calculateur!X97*VLOOKUP('Données projet'!$B$9,Paramètres!$A$1:$I$89,3,0)*0.475*44/12</f>
        <v>7.4526440289327756</v>
      </c>
      <c r="AB97" s="23">
        <f>EXP(-LN(2)/2)*AB96+(1-EXP(-LN(2)/2))/(LN(2)/2)*V97*Y97*VLOOKUP('Données projet'!$B$9,Paramètres!$A$1:$I$89,3,0)*0.475*44/12</f>
        <v>1.0143822244580051E-8</v>
      </c>
      <c r="AC97" s="24">
        <f t="shared" si="57"/>
        <v>22.464646444059717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1.1368683772161603E-13</v>
      </c>
      <c r="O98" s="14">
        <f>N98*VLOOKUP('Données projet'!$B$9,Paramètres!$A$1:$I$89,3,0)*VLOOKUP('Données projet'!$B$9,Paramètres!$A$1:$I$89,5,0)</f>
        <v>6.7984728957526396E-14</v>
      </c>
      <c r="P98" s="14">
        <f t="shared" si="87"/>
        <v>1.0682447123141398E-12</v>
      </c>
      <c r="Q98" s="22">
        <f t="shared" si="54"/>
        <v>1.978932943548152E-12</v>
      </c>
      <c r="R98" s="62">
        <f t="shared" si="55"/>
        <v>293.3333333333353</v>
      </c>
      <c r="S98" s="62">
        <f ca="1">AVERAGE(OFFSET($R$3,0,0,'Données projet'!$E$9+1,1))-AVERAGE(OFFSET($H$3,0,0,'Données projet'!$E$9+1,1))</f>
        <v>147.72913422715322</v>
      </c>
      <c r="T98" s="62">
        <f t="shared" si="88"/>
        <v>361.07991692964799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14.717626194238745</v>
      </c>
      <c r="AA98" s="23">
        <f>EXP(-LN(2)/25)*AA97+(1-EXP(-LN(2)/25))/(LN(2)/25)*Calculateur!V98*Calculateur!X98*VLOOKUP('Données projet'!$B$9,Paramètres!$A$1:$I$89,3,0)*0.475*44/12</f>
        <v>7.2488510860440929</v>
      </c>
      <c r="AB98" s="23">
        <f>EXP(-LN(2)/2)*AB97+(1-EXP(-LN(2)/2))/(LN(2)/2)*V98*Y98*VLOOKUP('Données projet'!$B$9,Paramètres!$A$1:$I$89,3,0)*0.475*44/12</f>
        <v>7.1727654962935001E-9</v>
      </c>
      <c r="AC98" s="24">
        <f t="shared" si="57"/>
        <v>21.966477287455604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1.1368683772161603E-13</v>
      </c>
      <c r="O99" s="14">
        <f>N99*VLOOKUP('Données projet'!$B$9,Paramètres!$A$1:$I$89,3,0)*VLOOKUP('Données projet'!$B$9,Paramètres!$A$1:$I$89,5,0)</f>
        <v>6.7984728957526396E-14</v>
      </c>
      <c r="P99" s="14">
        <f t="shared" si="87"/>
        <v>1.0682447123141398E-12</v>
      </c>
      <c r="Q99" s="22">
        <f t="shared" ref="Q99:Q130" si="107">(O99+P99)*0.475*44/12</f>
        <v>1.978932943548152E-12</v>
      </c>
      <c r="R99" s="62">
        <f t="shared" si="55"/>
        <v>293.3333333333353</v>
      </c>
      <c r="S99" s="62">
        <f ca="1">AVERAGE(OFFSET($R$3,0,0,'Données projet'!$E$9+1,1))-AVERAGE(OFFSET($H$3,0,0,'Données projet'!$E$9+1,1))</f>
        <v>147.72913422715322</v>
      </c>
      <c r="T99" s="62">
        <f t="shared" si="88"/>
        <v>361.07991692964799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14.429022521435311</v>
      </c>
      <c r="AA99" s="23">
        <f>EXP(-LN(2)/25)*AA98+(1-EXP(-LN(2)/25))/(LN(2)/25)*Calculateur!V99*Calculateur!X99*VLOOKUP('Données projet'!$B$9,Paramètres!$A$1:$I$89,3,0)*0.475*44/12</f>
        <v>7.0506308718957058</v>
      </c>
      <c r="AB99" s="23">
        <f>EXP(-LN(2)/2)*AB98+(1-EXP(-LN(2)/2))/(LN(2)/2)*V99*Y99*VLOOKUP('Données projet'!$B$9,Paramètres!$A$1:$I$89,3,0)*0.475*44/12</f>
        <v>5.0719111222900265E-9</v>
      </c>
      <c r="AC99" s="24">
        <f t="shared" si="57"/>
        <v>21.479653398402927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1.1368683772161603E-13</v>
      </c>
      <c r="O100" s="14">
        <f>N100*VLOOKUP('Données projet'!$B$9,Paramètres!$A$1:$I$89,3,0)*VLOOKUP('Données projet'!$B$9,Paramètres!$A$1:$I$89,5,0)</f>
        <v>6.7984728957526396E-14</v>
      </c>
      <c r="P100" s="14">
        <f t="shared" si="87"/>
        <v>1.0682447123141398E-12</v>
      </c>
      <c r="Q100" s="22">
        <f t="shared" si="107"/>
        <v>1.978932943548152E-12</v>
      </c>
      <c r="R100" s="62">
        <f t="shared" si="55"/>
        <v>293.3333333333353</v>
      </c>
      <c r="S100" s="62">
        <f ca="1">AVERAGE(OFFSET($R$3,0,0,'Données projet'!$E$9+1,1))-AVERAGE(OFFSET($H$3,0,0,'Données projet'!$E$9+1,1))</f>
        <v>147.72913422715322</v>
      </c>
      <c r="T100" s="62">
        <f t="shared" si="88"/>
        <v>361.07991692964799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14.146078190624692</v>
      </c>
      <c r="AA100" s="23">
        <f>EXP(-LN(2)/25)*AA99+(1-EXP(-LN(2)/25))/(LN(2)/25)*Calculateur!V100*Calculateur!X100*VLOOKUP('Données projet'!$B$9,Paramètres!$A$1:$I$89,3,0)*0.475*44/12</f>
        <v>6.8578309999271543</v>
      </c>
      <c r="AB100" s="23">
        <f>EXP(-LN(2)/2)*AB99+(1-EXP(-LN(2)/2))/(LN(2)/2)*V100*Y100*VLOOKUP('Données projet'!$B$9,Paramètres!$A$1:$I$89,3,0)*0.475*44/12</f>
        <v>3.5863827481467509E-9</v>
      </c>
      <c r="AC100" s="24">
        <f t="shared" si="57"/>
        <v>21.003909194138227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1.1368683772161603E-13</v>
      </c>
      <c r="O101" s="14">
        <f>N101*VLOOKUP('Données projet'!$B$9,Paramètres!$A$1:$I$89,3,0)*VLOOKUP('Données projet'!$B$9,Paramètres!$A$1:$I$89,5,0)</f>
        <v>6.7984728957526396E-14</v>
      </c>
      <c r="P101" s="14">
        <f t="shared" si="87"/>
        <v>1.0682447123141398E-12</v>
      </c>
      <c r="Q101" s="22">
        <f t="shared" si="107"/>
        <v>1.978932943548152E-12</v>
      </c>
      <c r="R101" s="62">
        <f t="shared" si="55"/>
        <v>293.3333333333353</v>
      </c>
      <c r="S101" s="62">
        <f ca="1">AVERAGE(OFFSET($R$3,0,0,'Données projet'!$E$9+1,1))-AVERAGE(OFFSET($H$3,0,0,'Données projet'!$E$9+1,1))</f>
        <v>147.72913422715322</v>
      </c>
      <c r="T101" s="62">
        <f t="shared" si="88"/>
        <v>361.07991692964799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13.868682225562269</v>
      </c>
      <c r="AA101" s="23">
        <f>EXP(-LN(2)/25)*AA100+(1-EXP(-LN(2)/25))/(LN(2)/25)*Calculateur!V101*Calculateur!X101*VLOOKUP('Données projet'!$B$9,Paramètres!$A$1:$I$89,3,0)*0.475*44/12</f>
        <v>6.6703032505964881</v>
      </c>
      <c r="AB101" s="23">
        <f>EXP(-LN(2)/2)*AB100+(1-EXP(-LN(2)/2))/(LN(2)/2)*V101*Y101*VLOOKUP('Données projet'!$B$9,Paramètres!$A$1:$I$89,3,0)*0.475*44/12</f>
        <v>2.5359555611450137E-9</v>
      </c>
      <c r="AC101" s="24">
        <f t="shared" si="57"/>
        <v>20.538985478694713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1.1368683772161603E-13</v>
      </c>
      <c r="O102" s="14">
        <f>N102*VLOOKUP('Données projet'!$B$9,Paramètres!$A$1:$I$89,3,0)*VLOOKUP('Données projet'!$B$9,Paramètres!$A$1:$I$89,5,0)</f>
        <v>6.7984728957526396E-14</v>
      </c>
      <c r="P102" s="14">
        <f t="shared" si="87"/>
        <v>1.0682447123141398E-12</v>
      </c>
      <c r="Q102" s="22">
        <f t="shared" si="107"/>
        <v>1.978932943548152E-12</v>
      </c>
      <c r="R102" s="62">
        <f t="shared" si="55"/>
        <v>293.3333333333353</v>
      </c>
      <c r="S102" s="62">
        <f ca="1">AVERAGE(OFFSET($R$3,0,0,'Données projet'!$E$9+1,1))-AVERAGE(OFFSET($H$3,0,0,'Données projet'!$E$9+1,1))</f>
        <v>147.72913422715322</v>
      </c>
      <c r="T102" s="62">
        <f t="shared" si="88"/>
        <v>361.07991692964799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13.596725826179888</v>
      </c>
      <c r="AA102" s="23">
        <f>EXP(-LN(2)/25)*AA101+(1-EXP(-LN(2)/25))/(LN(2)/25)*Calculateur!V102*Calculateur!X102*VLOOKUP('Données projet'!$B$9,Paramètres!$A$1:$I$89,3,0)*0.475*44/12</f>
        <v>6.4879034574329246</v>
      </c>
      <c r="AB102" s="23">
        <f>EXP(-LN(2)/2)*AB101+(1-EXP(-LN(2)/2))/(LN(2)/2)*V102*Y102*VLOOKUP('Données projet'!$B$9,Paramètres!$A$1:$I$89,3,0)*0.475*44/12</f>
        <v>1.7931913740733756E-9</v>
      </c>
      <c r="AC102" s="24">
        <f t="shared" si="57"/>
        <v>20.084629285406006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1.1368683772161603E-13</v>
      </c>
      <c r="O103" s="14">
        <f>N103*VLOOKUP('Données projet'!$B$9,Paramètres!$A$1:$I$89,3,0)*VLOOKUP('Données projet'!$B$9,Paramètres!$A$1:$I$89,5,0)</f>
        <v>6.7984728957526396E-14</v>
      </c>
      <c r="P103" s="14">
        <f t="shared" si="87"/>
        <v>1.0682447123141398E-12</v>
      </c>
      <c r="Q103" s="22">
        <f t="shared" si="107"/>
        <v>1.978932943548152E-12</v>
      </c>
      <c r="R103" s="62">
        <f t="shared" si="55"/>
        <v>293.3333333333353</v>
      </c>
      <c r="S103" s="62">
        <f ca="1">AVERAGE(OFFSET($R$3,0,0,'Données projet'!$E$9+1,1))-AVERAGE(OFFSET($H$3,0,0,'Données projet'!$E$9+1,1))</f>
        <v>147.72913422715322</v>
      </c>
      <c r="T103" s="62">
        <f t="shared" si="88"/>
        <v>361.07991692964799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13.330102325912371</v>
      </c>
      <c r="AA103" s="23">
        <f>EXP(-LN(2)/25)*AA102+(1-EXP(-LN(2)/25))/(LN(2)/25)*Calculateur!V103*Calculateur!X103*VLOOKUP('Données projet'!$B$9,Paramètres!$A$1:$I$89,3,0)*0.475*44/12</f>
        <v>6.310491396205407</v>
      </c>
      <c r="AB103" s="23">
        <f>EXP(-LN(2)/2)*AB102+(1-EXP(-LN(2)/2))/(LN(2)/2)*V103*Y103*VLOOKUP('Données projet'!$B$9,Paramètres!$A$1:$I$89,3,0)*0.475*44/12</f>
        <v>1.267977780572507E-9</v>
      </c>
      <c r="AC103" s="24">
        <f t="shared" si="57"/>
        <v>19.640593723385756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1.1368683772161603E-13</v>
      </c>
      <c r="O104" s="14">
        <f>N104*VLOOKUP('Données projet'!$B$9,Paramètres!$A$1:$I$89,3,0)*VLOOKUP('Données projet'!$B$9,Paramètres!$A$1:$I$89,5,0)</f>
        <v>6.7984728957526396E-14</v>
      </c>
      <c r="P104" s="14">
        <f t="shared" si="87"/>
        <v>1.0682447123141398E-12</v>
      </c>
      <c r="Q104" s="22">
        <f t="shared" si="107"/>
        <v>1.978932943548152E-12</v>
      </c>
      <c r="R104" s="62">
        <f t="shared" si="55"/>
        <v>293.3333333333353</v>
      </c>
      <c r="S104" s="62">
        <f ca="1">AVERAGE(OFFSET($R$3,0,0,'Données projet'!$E$9+1,1))-AVERAGE(OFFSET($H$3,0,0,'Données projet'!$E$9+1,1))</f>
        <v>147.72913422715322</v>
      </c>
      <c r="T104" s="62">
        <f t="shared" si="88"/>
        <v>361.07991692964799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13.068707149860822</v>
      </c>
      <c r="AA104" s="23">
        <f>EXP(-LN(2)/25)*AA103+(1-EXP(-LN(2)/25))/(LN(2)/25)*Calculateur!V104*Calculateur!X104*VLOOKUP('Données projet'!$B$9,Paramètres!$A$1:$I$89,3,0)*0.475*44/12</f>
        <v>6.13793067712185</v>
      </c>
      <c r="AB104" s="23">
        <f>EXP(-LN(2)/2)*AB103+(1-EXP(-LN(2)/2))/(LN(2)/2)*V104*Y104*VLOOKUP('Données projet'!$B$9,Paramètres!$A$1:$I$89,3,0)*0.475*44/12</f>
        <v>8.9659568703668793E-10</v>
      </c>
      <c r="AC104" s="24">
        <f t="shared" si="57"/>
        <v>19.206637827879266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1.1368683772161603E-13</v>
      </c>
      <c r="O105" s="14">
        <f>N105*VLOOKUP('Données projet'!$B$9,Paramètres!$A$1:$I$89,3,0)*VLOOKUP('Données projet'!$B$9,Paramètres!$A$1:$I$89,5,0)</f>
        <v>6.7984728957526396E-14</v>
      </c>
      <c r="P105" s="14">
        <f t="shared" si="87"/>
        <v>1.0682447123141398E-12</v>
      </c>
      <c r="Q105" s="22">
        <f t="shared" si="107"/>
        <v>1.978932943548152E-12</v>
      </c>
      <c r="R105" s="62">
        <f t="shared" si="55"/>
        <v>293.3333333333353</v>
      </c>
      <c r="S105" s="62">
        <f ca="1">AVERAGE(OFFSET($R$3,0,0,'Données projet'!$E$9+1,1))-AVERAGE(OFFSET($H$3,0,0,'Données projet'!$E$9+1,1))</f>
        <v>147.72913422715322</v>
      </c>
      <c r="T105" s="62">
        <f t="shared" si="88"/>
        <v>361.07991692964799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12.812437773776329</v>
      </c>
      <c r="AA105" s="23">
        <f>EXP(-LN(2)/25)*AA104+(1-EXP(-LN(2)/25))/(LN(2)/25)*Calculateur!V105*Calculateur!X105*VLOOKUP('Données projet'!$B$9,Paramètres!$A$1:$I$89,3,0)*0.475*44/12</f>
        <v>5.9700886399762068</v>
      </c>
      <c r="AB105" s="23">
        <f>EXP(-LN(2)/2)*AB104+(1-EXP(-LN(2)/2))/(LN(2)/2)*V105*Y105*VLOOKUP('Données projet'!$B$9,Paramètres!$A$1:$I$89,3,0)*0.475*44/12</f>
        <v>6.3398889028625362E-10</v>
      </c>
      <c r="AC105" s="24">
        <f t="shared" si="57"/>
        <v>18.782526414386524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1.1368683772161603E-13</v>
      </c>
      <c r="O106" s="14">
        <f>N106*VLOOKUP('Données projet'!$B$9,Paramètres!$A$1:$I$89,3,0)*VLOOKUP('Données projet'!$B$9,Paramètres!$A$1:$I$89,5,0)</f>
        <v>6.7984728957526396E-14</v>
      </c>
      <c r="P106" s="14">
        <f t="shared" si="87"/>
        <v>1.0682447123141398E-12</v>
      </c>
      <c r="Q106" s="22">
        <f t="shared" si="107"/>
        <v>1.978932943548152E-12</v>
      </c>
      <c r="R106" s="62">
        <f t="shared" si="55"/>
        <v>293.3333333333353</v>
      </c>
      <c r="S106" s="62">
        <f ca="1">AVERAGE(OFFSET($R$3,0,0,'Données projet'!$E$9+1,1))-AVERAGE(OFFSET($H$3,0,0,'Données projet'!$E$9+1,1))</f>
        <v>147.72913422715322</v>
      </c>
      <c r="T106" s="62">
        <f t="shared" si="88"/>
        <v>361.07991692964799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12.561193683847968</v>
      </c>
      <c r="AA106" s="23">
        <f>EXP(-LN(2)/25)*AA105+(1-EXP(-LN(2)/25))/(LN(2)/25)*Calculateur!V106*Calculateur!X106*VLOOKUP('Données projet'!$B$9,Paramètres!$A$1:$I$89,3,0)*0.475*44/12</f>
        <v>5.806836252162741</v>
      </c>
      <c r="AB106" s="23">
        <f>EXP(-LN(2)/2)*AB105+(1-EXP(-LN(2)/2))/(LN(2)/2)*V106*Y106*VLOOKUP('Données projet'!$B$9,Paramètres!$A$1:$I$89,3,0)*0.475*44/12</f>
        <v>4.4829784351834407E-10</v>
      </c>
      <c r="AC106" s="24">
        <f t="shared" si="57"/>
        <v>18.368029936459006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1.1368683772161603E-13</v>
      </c>
      <c r="O107" s="14">
        <f>N107*VLOOKUP('Données projet'!$B$9,Paramètres!$A$1:$I$89,3,0)*VLOOKUP('Données projet'!$B$9,Paramètres!$A$1:$I$89,5,0)</f>
        <v>6.7984728957526396E-14</v>
      </c>
      <c r="P107" s="14">
        <f t="shared" si="87"/>
        <v>1.0682447123141398E-12</v>
      </c>
      <c r="Q107" s="22">
        <f t="shared" si="107"/>
        <v>1.978932943548152E-12</v>
      </c>
      <c r="R107" s="62">
        <f t="shared" si="55"/>
        <v>293.3333333333353</v>
      </c>
      <c r="S107" s="62">
        <f ca="1">AVERAGE(OFFSET($R$3,0,0,'Données projet'!$E$9+1,1))-AVERAGE(OFFSET($H$3,0,0,'Données projet'!$E$9+1,1))</f>
        <v>147.72913422715322</v>
      </c>
      <c r="T107" s="62">
        <f t="shared" si="88"/>
        <v>361.07991692964799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12.314876337279339</v>
      </c>
      <c r="AA107" s="23">
        <f>EXP(-LN(2)/25)*AA106+(1-EXP(-LN(2)/25))/(LN(2)/25)*Calculateur!V107*Calculateur!X107*VLOOKUP('Données projet'!$B$9,Paramètres!$A$1:$I$89,3,0)*0.475*44/12</f>
        <v>5.6480480094791039</v>
      </c>
      <c r="AB107" s="23">
        <f>EXP(-LN(2)/2)*AB106+(1-EXP(-LN(2)/2))/(LN(2)/2)*V107*Y107*VLOOKUP('Données projet'!$B$9,Paramètres!$A$1:$I$89,3,0)*0.475*44/12</f>
        <v>3.1699444514312686E-10</v>
      </c>
      <c r="AC107" s="24">
        <f t="shared" si="57"/>
        <v>17.962924347075436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1.1368683772161603E-13</v>
      </c>
      <c r="O108" s="14">
        <f>N108*VLOOKUP('Données projet'!$B$9,Paramètres!$A$1:$I$89,3,0)*VLOOKUP('Données projet'!$B$9,Paramètres!$A$1:$I$89,5,0)</f>
        <v>6.7984728957526396E-14</v>
      </c>
      <c r="P108" s="14">
        <f t="shared" si="87"/>
        <v>1.0682447123141398E-12</v>
      </c>
      <c r="Q108" s="22">
        <f t="shared" si="107"/>
        <v>1.978932943548152E-12</v>
      </c>
      <c r="R108" s="62">
        <f t="shared" si="55"/>
        <v>293.3333333333353</v>
      </c>
      <c r="S108" s="62">
        <f ca="1">AVERAGE(OFFSET($R$3,0,0,'Données projet'!$E$9+1,1))-AVERAGE(OFFSET($H$3,0,0,'Données projet'!$E$9+1,1))</f>
        <v>147.72913422715322</v>
      </c>
      <c r="T108" s="62">
        <f t="shared" si="88"/>
        <v>361.07991692964799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12.073389123638174</v>
      </c>
      <c r="AA108" s="23">
        <f>EXP(-LN(2)/25)*AA107+(1-EXP(-LN(2)/25))/(LN(2)/25)*Calculateur!V108*Calculateur!X108*VLOOKUP('Données projet'!$B$9,Paramètres!$A$1:$I$89,3,0)*0.475*44/12</f>
        <v>5.4936018396419621</v>
      </c>
      <c r="AB108" s="23">
        <f>EXP(-LN(2)/2)*AB107+(1-EXP(-LN(2)/2))/(LN(2)/2)*V108*Y108*VLOOKUP('Données projet'!$B$9,Paramètres!$A$1:$I$89,3,0)*0.475*44/12</f>
        <v>2.2414892175917206E-10</v>
      </c>
      <c r="AC108" s="24">
        <f t="shared" si="57"/>
        <v>17.566990963504285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1.1368683772161603E-13</v>
      </c>
      <c r="O109" s="14">
        <f>N109*VLOOKUP('Données projet'!$B$9,Paramètres!$A$1:$I$89,3,0)*VLOOKUP('Données projet'!$B$9,Paramètres!$A$1:$I$89,5,0)</f>
        <v>6.7984728957526396E-14</v>
      </c>
      <c r="P109" s="14">
        <f t="shared" si="87"/>
        <v>1.0682447123141398E-12</v>
      </c>
      <c r="Q109" s="22">
        <f t="shared" si="107"/>
        <v>1.978932943548152E-12</v>
      </c>
      <c r="R109" s="62">
        <f t="shared" si="55"/>
        <v>293.3333333333353</v>
      </c>
      <c r="S109" s="62">
        <f ca="1">AVERAGE(OFFSET($R$3,0,0,'Données projet'!$E$9+1,1))-AVERAGE(OFFSET($H$3,0,0,'Données projet'!$E$9+1,1))</f>
        <v>147.72913422715322</v>
      </c>
      <c r="T109" s="62">
        <f t="shared" si="88"/>
        <v>361.07991692964799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11.836637326963857</v>
      </c>
      <c r="AA109" s="23">
        <f>EXP(-LN(2)/25)*AA108+(1-EXP(-LN(2)/25))/(LN(2)/25)*Calculateur!V109*Calculateur!X109*VLOOKUP('Données projet'!$B$9,Paramètres!$A$1:$I$89,3,0)*0.475*44/12</f>
        <v>5.343379008440988</v>
      </c>
      <c r="AB109" s="23">
        <f>EXP(-LN(2)/2)*AB108+(1-EXP(-LN(2)/2))/(LN(2)/2)*V109*Y109*VLOOKUP('Données projet'!$B$9,Paramètres!$A$1:$I$89,3,0)*0.475*44/12</f>
        <v>1.5849722257156346E-10</v>
      </c>
      <c r="AC109" s="24">
        <f t="shared" si="57"/>
        <v>17.180016335563341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1.1368683772161603E-13</v>
      </c>
      <c r="O110" s="14">
        <f>N110*VLOOKUP('Données projet'!$B$9,Paramètres!$A$1:$I$89,3,0)*VLOOKUP('Données projet'!$B$9,Paramètres!$A$1:$I$89,5,0)</f>
        <v>6.7984728957526396E-14</v>
      </c>
      <c r="P110" s="14">
        <f t="shared" si="87"/>
        <v>1.0682447123141398E-12</v>
      </c>
      <c r="Q110" s="22">
        <f t="shared" si="107"/>
        <v>1.978932943548152E-12</v>
      </c>
      <c r="R110" s="62">
        <f t="shared" si="55"/>
        <v>293.3333333333353</v>
      </c>
      <c r="S110" s="62">
        <f ca="1">AVERAGE(OFFSET($R$3,0,0,'Données projet'!$E$9+1,1))-AVERAGE(OFFSET($H$3,0,0,'Données projet'!$E$9+1,1))</f>
        <v>147.72913422715322</v>
      </c>
      <c r="T110" s="62">
        <f t="shared" si="88"/>
        <v>361.07991692964799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11.604528088617984</v>
      </c>
      <c r="AA110" s="23">
        <f>EXP(-LN(2)/25)*AA109+(1-EXP(-LN(2)/25))/(LN(2)/25)*Calculateur!V110*Calculateur!X110*VLOOKUP('Données projet'!$B$9,Paramètres!$A$1:$I$89,3,0)*0.475*44/12</f>
        <v>5.1972640284590792</v>
      </c>
      <c r="AB110" s="23">
        <f>EXP(-LN(2)/2)*AB109+(1-EXP(-LN(2)/2))/(LN(2)/2)*V110*Y110*VLOOKUP('Données projet'!$B$9,Paramètres!$A$1:$I$89,3,0)*0.475*44/12</f>
        <v>1.1207446087958606E-10</v>
      </c>
      <c r="AC110" s="24">
        <f t="shared" si="57"/>
        <v>16.801792117189137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1.1368683772161603E-13</v>
      </c>
      <c r="O111" s="14">
        <f>N111*VLOOKUP('Données projet'!$B$9,Paramètres!$A$1:$I$89,3,0)*VLOOKUP('Données projet'!$B$9,Paramètres!$A$1:$I$89,5,0)</f>
        <v>6.7984728957526396E-14</v>
      </c>
      <c r="P111" s="14">
        <f t="shared" si="87"/>
        <v>1.0682447123141398E-12</v>
      </c>
      <c r="Q111" s="22">
        <f t="shared" si="107"/>
        <v>1.978932943548152E-12</v>
      </c>
      <c r="R111" s="62">
        <f t="shared" si="55"/>
        <v>293.3333333333353</v>
      </c>
      <c r="S111" s="62">
        <f ca="1">AVERAGE(OFFSET($R$3,0,0,'Données projet'!$E$9+1,1))-AVERAGE(OFFSET($H$3,0,0,'Données projet'!$E$9+1,1))</f>
        <v>147.72913422715322</v>
      </c>
      <c r="T111" s="62">
        <f t="shared" si="88"/>
        <v>361.07991692964799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11.376970370863418</v>
      </c>
      <c r="AA111" s="23">
        <f>EXP(-LN(2)/25)*AA110+(1-EXP(-LN(2)/25))/(LN(2)/25)*Calculateur!V111*Calculateur!X111*VLOOKUP('Données projet'!$B$9,Paramètres!$A$1:$I$89,3,0)*0.475*44/12</f>
        <v>5.0551445702886291</v>
      </c>
      <c r="AB111" s="23">
        <f>EXP(-LN(2)/2)*AB110+(1-EXP(-LN(2)/2))/(LN(2)/2)*V111*Y111*VLOOKUP('Données projet'!$B$9,Paramètres!$A$1:$I$89,3,0)*0.475*44/12</f>
        <v>7.9248611285781742E-11</v>
      </c>
      <c r="AC111" s="24">
        <f t="shared" si="57"/>
        <v>16.432114941231298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1.1368683772161603E-13</v>
      </c>
      <c r="O112" s="14">
        <f>N112*VLOOKUP('Données projet'!$B$9,Paramètres!$A$1:$I$89,3,0)*VLOOKUP('Données projet'!$B$9,Paramètres!$A$1:$I$89,5,0)</f>
        <v>6.7984728957526396E-14</v>
      </c>
      <c r="P112" s="14">
        <f t="shared" si="87"/>
        <v>1.0682447123141398E-12</v>
      </c>
      <c r="Q112" s="22">
        <f t="shared" si="107"/>
        <v>1.978932943548152E-12</v>
      </c>
      <c r="R112" s="62">
        <f t="shared" si="55"/>
        <v>293.3333333333353</v>
      </c>
      <c r="S112" s="62">
        <f ca="1">AVERAGE(OFFSET($R$3,0,0,'Données projet'!$E$9+1,1))-AVERAGE(OFFSET($H$3,0,0,'Données projet'!$E$9+1,1))</f>
        <v>147.72913422715322</v>
      </c>
      <c r="T112" s="62">
        <f t="shared" si="88"/>
        <v>361.07991692964799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11.153874921157517</v>
      </c>
      <c r="AA112" s="23">
        <f>EXP(-LN(2)/25)*AA111+(1-EXP(-LN(2)/25))/(LN(2)/25)*Calculateur!V112*Calculateur!X112*VLOOKUP('Données projet'!$B$9,Paramètres!$A$1:$I$89,3,0)*0.475*44/12</f>
        <v>4.9169113761755874</v>
      </c>
      <c r="AB112" s="23">
        <f>EXP(-LN(2)/2)*AB111+(1-EXP(-LN(2)/2))/(LN(2)/2)*V112*Y112*VLOOKUP('Données projet'!$B$9,Paramètres!$A$1:$I$89,3,0)*0.475*44/12</f>
        <v>5.6037230439793034E-11</v>
      </c>
      <c r="AC112" s="24">
        <f t="shared" si="57"/>
        <v>16.070786297389141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1.1368683772161603E-13</v>
      </c>
      <c r="O113" s="14">
        <f>N113*VLOOKUP('Données projet'!$B$9,Paramètres!$A$1:$I$89,3,0)*VLOOKUP('Données projet'!$B$9,Paramètres!$A$1:$I$89,5,0)</f>
        <v>6.7984728957526396E-14</v>
      </c>
      <c r="P113" s="14">
        <f t="shared" si="87"/>
        <v>1.0682447123141398E-12</v>
      </c>
      <c r="Q113" s="22">
        <f t="shared" si="107"/>
        <v>1.978932943548152E-12</v>
      </c>
      <c r="R113" s="62">
        <f t="shared" si="55"/>
        <v>293.3333333333353</v>
      </c>
      <c r="S113" s="62">
        <f ca="1">AVERAGE(OFFSET($R$3,0,0,'Données projet'!$E$9+1,1))-AVERAGE(OFFSET($H$3,0,0,'Données projet'!$E$9+1,1))</f>
        <v>147.72913422715322</v>
      </c>
      <c r="T113" s="62">
        <f t="shared" si="88"/>
        <v>361.07991692964799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10.935154237145561</v>
      </c>
      <c r="AA113" s="23">
        <f>EXP(-LN(2)/25)*AA112+(1-EXP(-LN(2)/25))/(LN(2)/25)*Calculateur!V113*Calculateur!X113*VLOOKUP('Données projet'!$B$9,Paramètres!$A$1:$I$89,3,0)*0.475*44/12</f>
        <v>4.7824581760249343</v>
      </c>
      <c r="AB113" s="23">
        <f>EXP(-LN(2)/2)*AB112+(1-EXP(-LN(2)/2))/(LN(2)/2)*V113*Y113*VLOOKUP('Données projet'!$B$9,Paramètres!$A$1:$I$89,3,0)*0.475*44/12</f>
        <v>3.9624305642890877E-11</v>
      </c>
      <c r="AC113" s="24">
        <f t="shared" si="57"/>
        <v>15.717612413210121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1.1368683772161603E-13</v>
      </c>
      <c r="O114" s="14">
        <f>N114*VLOOKUP('Données projet'!$B$9,Paramètres!$A$1:$I$89,3,0)*VLOOKUP('Données projet'!$B$9,Paramètres!$A$1:$I$89,5,0)</f>
        <v>6.7984728957526396E-14</v>
      </c>
      <c r="P114" s="14">
        <f t="shared" si="87"/>
        <v>1.0682447123141398E-12</v>
      </c>
      <c r="Q114" s="22">
        <f t="shared" si="107"/>
        <v>1.978932943548152E-12</v>
      </c>
      <c r="R114" s="62">
        <f t="shared" si="55"/>
        <v>293.3333333333353</v>
      </c>
      <c r="S114" s="62">
        <f ca="1">AVERAGE(OFFSET($R$3,0,0,'Données projet'!$E$9+1,1))-AVERAGE(OFFSET($H$3,0,0,'Données projet'!$E$9+1,1))</f>
        <v>147.72913422715322</v>
      </c>
      <c r="T114" s="62">
        <f t="shared" si="88"/>
        <v>361.07991692964799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10.720722532340634</v>
      </c>
      <c r="AA114" s="23">
        <f>EXP(-LN(2)/25)*AA113+(1-EXP(-LN(2)/25))/(LN(2)/25)*Calculateur!V114*Calculateur!X114*VLOOKUP('Données projet'!$B$9,Paramètres!$A$1:$I$89,3,0)*0.475*44/12</f>
        <v>4.6516816057029873</v>
      </c>
      <c r="AB114" s="23">
        <f>EXP(-LN(2)/2)*AB113+(1-EXP(-LN(2)/2))/(LN(2)/2)*V114*Y114*VLOOKUP('Données projet'!$B$9,Paramètres!$A$1:$I$89,3,0)*0.475*44/12</f>
        <v>2.801861521989652E-11</v>
      </c>
      <c r="AC114" s="24">
        <f t="shared" si="57"/>
        <v>15.372404138071639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1.1368683772161603E-13</v>
      </c>
      <c r="O115" s="14">
        <f>N115*VLOOKUP('Données projet'!$B$9,Paramètres!$A$1:$I$89,3,0)*VLOOKUP('Données projet'!$B$9,Paramètres!$A$1:$I$89,5,0)</f>
        <v>6.7984728957526396E-14</v>
      </c>
      <c r="P115" s="14">
        <f t="shared" si="87"/>
        <v>1.0682447123141398E-12</v>
      </c>
      <c r="Q115" s="22">
        <f t="shared" si="107"/>
        <v>1.978932943548152E-12</v>
      </c>
      <c r="R115" s="62">
        <f t="shared" si="55"/>
        <v>293.3333333333353</v>
      </c>
      <c r="S115" s="62">
        <f ca="1">AVERAGE(OFFSET($R$3,0,0,'Données projet'!$E$9+1,1))-AVERAGE(OFFSET($H$3,0,0,'Données projet'!$E$9+1,1))</f>
        <v>147.72913422715322</v>
      </c>
      <c r="T115" s="62">
        <f t="shared" si="88"/>
        <v>361.07991692964799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10.510495702476506</v>
      </c>
      <c r="AA115" s="23">
        <f>EXP(-LN(2)/25)*AA114+(1-EXP(-LN(2)/25))/(LN(2)/25)*Calculateur!V115*Calculateur!X115*VLOOKUP('Données projet'!$B$9,Paramètres!$A$1:$I$89,3,0)*0.475*44/12</f>
        <v>4.5244811275737353</v>
      </c>
      <c r="AB115" s="23">
        <f>EXP(-LN(2)/2)*AB114+(1-EXP(-LN(2)/2))/(LN(2)/2)*V115*Y115*VLOOKUP('Données projet'!$B$9,Paramètres!$A$1:$I$89,3,0)*0.475*44/12</f>
        <v>1.9812152821445439E-11</v>
      </c>
      <c r="AC115" s="24">
        <f t="shared" si="57"/>
        <v>15.034976830070052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1.1368683772161603E-13</v>
      </c>
      <c r="O116" s="14">
        <f>N116*VLOOKUP('Données projet'!$B$9,Paramètres!$A$1:$I$89,3,0)*VLOOKUP('Données projet'!$B$9,Paramètres!$A$1:$I$89,5,0)</f>
        <v>6.7984728957526396E-14</v>
      </c>
      <c r="P116" s="14">
        <f t="shared" si="87"/>
        <v>1.0682447123141398E-12</v>
      </c>
      <c r="Q116" s="22">
        <f t="shared" si="107"/>
        <v>1.978932943548152E-12</v>
      </c>
      <c r="R116" s="62">
        <f t="shared" si="55"/>
        <v>293.3333333333353</v>
      </c>
      <c r="S116" s="62">
        <f ca="1">AVERAGE(OFFSET($R$3,0,0,'Données projet'!$E$9+1,1))-AVERAGE(OFFSET($H$3,0,0,'Données projet'!$E$9+1,1))</f>
        <v>147.72913422715322</v>
      </c>
      <c r="T116" s="62">
        <f t="shared" si="88"/>
        <v>361.07991692964799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10.304391292520309</v>
      </c>
      <c r="AA116" s="23">
        <f>EXP(-LN(2)/25)*AA115+(1-EXP(-LN(2)/25))/(LN(2)/25)*Calculateur!V116*Calculateur!X116*VLOOKUP('Données projet'!$B$9,Paramètres!$A$1:$I$89,3,0)*0.475*44/12</f>
        <v>4.4007589532081095</v>
      </c>
      <c r="AB116" s="23">
        <f>EXP(-LN(2)/2)*AB115+(1-EXP(-LN(2)/2))/(LN(2)/2)*V116*Y116*VLOOKUP('Données projet'!$B$9,Paramètres!$A$1:$I$89,3,0)*0.475*44/12</f>
        <v>1.400930760994826E-11</v>
      </c>
      <c r="AC116" s="24">
        <f t="shared" si="57"/>
        <v>14.705150245742429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1.1368683772161603E-13</v>
      </c>
      <c r="O117" s="14">
        <f>N117*VLOOKUP('Données projet'!$B$9,Paramètres!$A$1:$I$89,3,0)*VLOOKUP('Données projet'!$B$9,Paramètres!$A$1:$I$89,5,0)</f>
        <v>6.7984728957526396E-14</v>
      </c>
      <c r="P117" s="14">
        <f t="shared" si="87"/>
        <v>1.0682447123141398E-12</v>
      </c>
      <c r="Q117" s="22">
        <f t="shared" si="107"/>
        <v>1.978932943548152E-12</v>
      </c>
      <c r="R117" s="62">
        <f t="shared" si="55"/>
        <v>293.3333333333353</v>
      </c>
      <c r="S117" s="62">
        <f ca="1">AVERAGE(OFFSET($R$3,0,0,'Données projet'!$E$9+1,1))-AVERAGE(OFFSET($H$3,0,0,'Données projet'!$E$9+1,1))</f>
        <v>147.72913422715322</v>
      </c>
      <c r="T117" s="62">
        <f t="shared" si="88"/>
        <v>361.07991692964799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10.102328464332077</v>
      </c>
      <c r="AA117" s="23">
        <f>EXP(-LN(2)/25)*AA116+(1-EXP(-LN(2)/25))/(LN(2)/25)*Calculateur!V117*Calculateur!X117*VLOOKUP('Données projet'!$B$9,Paramètres!$A$1:$I$89,3,0)*0.475*44/12</f>
        <v>4.2804199682067781</v>
      </c>
      <c r="AB117" s="23">
        <f>EXP(-LN(2)/2)*AB116+(1-EXP(-LN(2)/2))/(LN(2)/2)*V117*Y117*VLOOKUP('Données projet'!$B$9,Paramètres!$A$1:$I$89,3,0)*0.475*44/12</f>
        <v>9.9060764107227193E-12</v>
      </c>
      <c r="AC117" s="24">
        <f t="shared" si="57"/>
        <v>14.382748432548761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1.1368683772161603E-13</v>
      </c>
      <c r="O118" s="14">
        <f>N118*VLOOKUP('Données projet'!$B$9,Paramètres!$A$1:$I$89,3,0)*VLOOKUP('Données projet'!$B$9,Paramètres!$A$1:$I$89,5,0)</f>
        <v>6.7984728957526396E-14</v>
      </c>
      <c r="P118" s="14">
        <f t="shared" si="87"/>
        <v>1.0682447123141398E-12</v>
      </c>
      <c r="Q118" s="22">
        <f t="shared" si="107"/>
        <v>1.978932943548152E-12</v>
      </c>
      <c r="R118" s="62">
        <f t="shared" si="55"/>
        <v>293.3333333333353</v>
      </c>
      <c r="S118" s="62">
        <f ca="1">AVERAGE(OFFSET($R$3,0,0,'Données projet'!$E$9+1,1))-AVERAGE(OFFSET($H$3,0,0,'Données projet'!$E$9+1,1))</f>
        <v>147.72913422715322</v>
      </c>
      <c r="T118" s="62">
        <f t="shared" si="88"/>
        <v>361.07991692964799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9.9042279649584604</v>
      </c>
      <c r="AA118" s="23">
        <f>EXP(-LN(2)/25)*AA117+(1-EXP(-LN(2)/25))/(LN(2)/25)*Calculateur!V118*Calculateur!X118*VLOOKUP('Données projet'!$B$9,Paramètres!$A$1:$I$89,3,0)*0.475*44/12</f>
        <v>4.1633716590786607</v>
      </c>
      <c r="AB118" s="23">
        <f>EXP(-LN(2)/2)*AB117+(1-EXP(-LN(2)/2))/(LN(2)/2)*V118*Y118*VLOOKUP('Données projet'!$B$9,Paramètres!$A$1:$I$89,3,0)*0.475*44/12</f>
        <v>7.0046538049741301E-12</v>
      </c>
      <c r="AC118" s="24">
        <f t="shared" si="57"/>
        <v>14.067599624044126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1.1368683772161603E-13</v>
      </c>
      <c r="O119" s="14">
        <f>N119*VLOOKUP('Données projet'!$B$9,Paramètres!$A$1:$I$89,3,0)*VLOOKUP('Données projet'!$B$9,Paramètres!$A$1:$I$89,5,0)</f>
        <v>6.7984728957526396E-14</v>
      </c>
      <c r="P119" s="14">
        <f t="shared" si="87"/>
        <v>1.0682447123141398E-12</v>
      </c>
      <c r="Q119" s="22">
        <f t="shared" si="107"/>
        <v>1.978932943548152E-12</v>
      </c>
      <c r="R119" s="62">
        <f t="shared" si="55"/>
        <v>293.3333333333353</v>
      </c>
      <c r="S119" s="62">
        <f ca="1">AVERAGE(OFFSET($R$3,0,0,'Données projet'!$E$9+1,1))-AVERAGE(OFFSET($H$3,0,0,'Données projet'!$E$9+1,1))</f>
        <v>147.72913422715322</v>
      </c>
      <c r="T119" s="62">
        <f t="shared" si="88"/>
        <v>361.07991692964799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9.7100120955481852</v>
      </c>
      <c r="AA119" s="23">
        <f>EXP(-LN(2)/25)*AA118+(1-EXP(-LN(2)/25))/(LN(2)/25)*Calculateur!V119*Calculateur!X119*VLOOKUP('Données projet'!$B$9,Paramètres!$A$1:$I$89,3,0)*0.475*44/12</f>
        <v>4.0495240421189544</v>
      </c>
      <c r="AB119" s="23">
        <f>EXP(-LN(2)/2)*AB118+(1-EXP(-LN(2)/2))/(LN(2)/2)*V119*Y119*VLOOKUP('Données projet'!$B$9,Paramètres!$A$1:$I$89,3,0)*0.475*44/12</f>
        <v>4.9530382053613597E-12</v>
      </c>
      <c r="AC119" s="24">
        <f t="shared" si="57"/>
        <v>13.759536137672093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1.1368683772161603E-13</v>
      </c>
      <c r="O120" s="14">
        <f>N120*VLOOKUP('Données projet'!$B$9,Paramètres!$A$1:$I$89,3,0)*VLOOKUP('Données projet'!$B$9,Paramètres!$A$1:$I$89,5,0)</f>
        <v>6.7984728957526396E-14</v>
      </c>
      <c r="P120" s="14">
        <f t="shared" si="87"/>
        <v>1.0682447123141398E-12</v>
      </c>
      <c r="Q120" s="22">
        <f t="shared" si="107"/>
        <v>1.978932943548152E-12</v>
      </c>
      <c r="R120" s="62">
        <f t="shared" si="55"/>
        <v>293.3333333333353</v>
      </c>
      <c r="S120" s="62">
        <f ca="1">AVERAGE(OFFSET($R$3,0,0,'Données projet'!$E$9+1,1))-AVERAGE(OFFSET($H$3,0,0,'Données projet'!$E$9+1,1))</f>
        <v>147.72913422715322</v>
      </c>
      <c r="T120" s="62">
        <f t="shared" si="88"/>
        <v>361.07991692964799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9.5196046808770625</v>
      </c>
      <c r="AA120" s="23">
        <f>EXP(-LN(2)/25)*AA119+(1-EXP(-LN(2)/25))/(LN(2)/25)*Calculateur!V120*Calculateur!X120*VLOOKUP('Données projet'!$B$9,Paramètres!$A$1:$I$89,3,0)*0.475*44/12</f>
        <v>3.9387895942319977</v>
      </c>
      <c r="AB120" s="23">
        <f>EXP(-LN(2)/2)*AB119+(1-EXP(-LN(2)/2))/(LN(2)/2)*V120*Y120*VLOOKUP('Données projet'!$B$9,Paramètres!$A$1:$I$89,3,0)*0.475*44/12</f>
        <v>3.502326902487065E-12</v>
      </c>
      <c r="AC120" s="24">
        <f t="shared" si="57"/>
        <v>13.458394275112564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1.1368683772161603E-13</v>
      </c>
      <c r="O121" s="14">
        <f>N121*VLOOKUP('Données projet'!$B$9,Paramètres!$A$1:$I$89,3,0)*VLOOKUP('Données projet'!$B$9,Paramètres!$A$1:$I$89,5,0)</f>
        <v>6.7984728957526396E-14</v>
      </c>
      <c r="P121" s="14">
        <f t="shared" si="87"/>
        <v>1.0682447123141398E-12</v>
      </c>
      <c r="Q121" s="22">
        <f t="shared" si="107"/>
        <v>1.978932943548152E-12</v>
      </c>
      <c r="R121" s="62">
        <f t="shared" si="55"/>
        <v>293.3333333333353</v>
      </c>
      <c r="S121" s="62">
        <f ca="1">AVERAGE(OFFSET($R$3,0,0,'Données projet'!$E$9+1,1))-AVERAGE(OFFSET($H$3,0,0,'Données projet'!$E$9+1,1))</f>
        <v>147.72913422715322</v>
      </c>
      <c r="T121" s="62">
        <f t="shared" si="88"/>
        <v>361.07991692964799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9.3329310394705853</v>
      </c>
      <c r="AA121" s="23">
        <f>EXP(-LN(2)/25)*AA120+(1-EXP(-LN(2)/25))/(LN(2)/25)*Calculateur!V121*Calculateur!X121*VLOOKUP('Données projet'!$B$9,Paramètres!$A$1:$I$89,3,0)*0.475*44/12</f>
        <v>3.831083185645781</v>
      </c>
      <c r="AB121" s="23">
        <f>EXP(-LN(2)/2)*AB120+(1-EXP(-LN(2)/2))/(LN(2)/2)*V121*Y121*VLOOKUP('Données projet'!$B$9,Paramètres!$A$1:$I$89,3,0)*0.475*44/12</f>
        <v>2.4765191026806798E-12</v>
      </c>
      <c r="AC121" s="24">
        <f t="shared" si="57"/>
        <v>13.164014225118843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1.1368683772161603E-13</v>
      </c>
      <c r="O122" s="14">
        <f>N122*VLOOKUP('Données projet'!$B$9,Paramètres!$A$1:$I$89,3,0)*VLOOKUP('Données projet'!$B$9,Paramètres!$A$1:$I$89,5,0)</f>
        <v>6.7984728957526396E-14</v>
      </c>
      <c r="P122" s="14">
        <f t="shared" si="87"/>
        <v>1.0682447123141398E-12</v>
      </c>
      <c r="Q122" s="22">
        <f t="shared" si="107"/>
        <v>1.978932943548152E-12</v>
      </c>
      <c r="R122" s="62">
        <f t="shared" si="55"/>
        <v>293.3333333333353</v>
      </c>
      <c r="S122" s="62">
        <f ca="1">AVERAGE(OFFSET($R$3,0,0,'Données projet'!$E$9+1,1))-AVERAGE(OFFSET($H$3,0,0,'Données projet'!$E$9+1,1))</f>
        <v>147.72913422715322</v>
      </c>
      <c r="T122" s="62">
        <f t="shared" si="88"/>
        <v>361.07991692964799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9.1499179543124107</v>
      </c>
      <c r="AA122" s="23">
        <f>EXP(-LN(2)/25)*AA121+(1-EXP(-LN(2)/25))/(LN(2)/25)*Calculateur!V122*Calculateur!X122*VLOOKUP('Données projet'!$B$9,Paramètres!$A$1:$I$89,3,0)*0.475*44/12</f>
        <v>3.7263220144663882</v>
      </c>
      <c r="AB122" s="23">
        <f>EXP(-LN(2)/2)*AB121+(1-EXP(-LN(2)/2))/(LN(2)/2)*V122*Y122*VLOOKUP('Données projet'!$B$9,Paramètres!$A$1:$I$89,3,0)*0.475*44/12</f>
        <v>1.7511634512435325E-12</v>
      </c>
      <c r="AC122" s="24">
        <f t="shared" si="57"/>
        <v>12.876239968780551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1.1368683772161603E-13</v>
      </c>
      <c r="O123" s="14">
        <f>N123*VLOOKUP('Données projet'!$B$9,Paramètres!$A$1:$I$89,3,0)*VLOOKUP('Données projet'!$B$9,Paramètres!$A$1:$I$89,5,0)</f>
        <v>6.7984728957526396E-14</v>
      </c>
      <c r="P123" s="14">
        <f t="shared" si="87"/>
        <v>1.0682447123141398E-12</v>
      </c>
      <c r="Q123" s="22">
        <f t="shared" si="107"/>
        <v>1.978932943548152E-12</v>
      </c>
      <c r="R123" s="62">
        <f t="shared" si="55"/>
        <v>293.3333333333353</v>
      </c>
      <c r="S123" s="62">
        <f ca="1">AVERAGE(OFFSET($R$3,0,0,'Données projet'!$E$9+1,1))-AVERAGE(OFFSET($H$3,0,0,'Données projet'!$E$9+1,1))</f>
        <v>147.72913422715322</v>
      </c>
      <c r="T123" s="62">
        <f t="shared" si="88"/>
        <v>361.07991692964799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8.9704936441272292</v>
      </c>
      <c r="AA123" s="23">
        <f>EXP(-LN(2)/25)*AA122+(1-EXP(-LN(2)/25))/(LN(2)/25)*Calculateur!V123*Calculateur!X123*VLOOKUP('Données projet'!$B$9,Paramètres!$A$1:$I$89,3,0)*0.475*44/12</f>
        <v>3.6244255430220469</v>
      </c>
      <c r="AB123" s="23">
        <f>EXP(-LN(2)/2)*AB122+(1-EXP(-LN(2)/2))/(LN(2)/2)*V123*Y123*VLOOKUP('Données projet'!$B$9,Paramètres!$A$1:$I$89,3,0)*0.475*44/12</f>
        <v>1.2382595513403399E-12</v>
      </c>
      <c r="AC123" s="24">
        <f t="shared" si="57"/>
        <v>12.594919187150515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1.1368683772161603E-13</v>
      </c>
      <c r="O124" s="14">
        <f>N124*VLOOKUP('Données projet'!$B$9,Paramètres!$A$1:$I$89,3,0)*VLOOKUP('Données projet'!$B$9,Paramètres!$A$1:$I$89,5,0)</f>
        <v>6.7984728957526396E-14</v>
      </c>
      <c r="P124" s="14">
        <f t="shared" si="87"/>
        <v>1.0682447123141398E-12</v>
      </c>
      <c r="Q124" s="22">
        <f t="shared" si="107"/>
        <v>1.978932943548152E-12</v>
      </c>
      <c r="R124" s="62">
        <f t="shared" si="55"/>
        <v>293.3333333333353</v>
      </c>
      <c r="S124" s="62">
        <f ca="1">AVERAGE(OFFSET($R$3,0,0,'Données projet'!$E$9+1,1))-AVERAGE(OFFSET($H$3,0,0,'Données projet'!$E$9+1,1))</f>
        <v>147.72913422715322</v>
      </c>
      <c r="T124" s="62">
        <f t="shared" si="88"/>
        <v>361.07991692964799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8.7945877352267559</v>
      </c>
      <c r="AA124" s="23">
        <f>EXP(-LN(2)/25)*AA123+(1-EXP(-LN(2)/25))/(LN(2)/25)*Calculateur!V124*Calculateur!X124*VLOOKUP('Données projet'!$B$9,Paramètres!$A$1:$I$89,3,0)*0.475*44/12</f>
        <v>3.5253154359478533</v>
      </c>
      <c r="AB124" s="23">
        <f>EXP(-LN(2)/2)*AB123+(1-EXP(-LN(2)/2))/(LN(2)/2)*V124*Y124*VLOOKUP('Données projet'!$B$9,Paramètres!$A$1:$I$89,3,0)*0.475*44/12</f>
        <v>8.7558172562176626E-13</v>
      </c>
      <c r="AC124" s="24">
        <f t="shared" si="57"/>
        <v>12.319903171175485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1.1368683772161603E-13</v>
      </c>
      <c r="O125" s="14">
        <f>N125*VLOOKUP('Données projet'!$B$9,Paramètres!$A$1:$I$89,3,0)*VLOOKUP('Données projet'!$B$9,Paramètres!$A$1:$I$89,5,0)</f>
        <v>6.7984728957526396E-14</v>
      </c>
      <c r="P125" s="14">
        <f t="shared" si="87"/>
        <v>1.0682447123141398E-12</v>
      </c>
      <c r="Q125" s="22">
        <f t="shared" si="107"/>
        <v>1.978932943548152E-12</v>
      </c>
      <c r="R125" s="62">
        <f t="shared" si="55"/>
        <v>293.3333333333353</v>
      </c>
      <c r="S125" s="62">
        <f ca="1">AVERAGE(OFFSET($R$3,0,0,'Données projet'!$E$9+1,1))-AVERAGE(OFFSET($H$3,0,0,'Données projet'!$E$9+1,1))</f>
        <v>147.72913422715322</v>
      </c>
      <c r="T125" s="62">
        <f t="shared" si="88"/>
        <v>361.07991692964799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8.62213123390781</v>
      </c>
      <c r="AA125" s="23">
        <f>EXP(-LN(2)/25)*AA124+(1-EXP(-LN(2)/25))/(LN(2)/25)*Calculateur!V125*Calculateur!X125*VLOOKUP('Données projet'!$B$9,Paramètres!$A$1:$I$89,3,0)*0.475*44/12</f>
        <v>3.4289154999635776</v>
      </c>
      <c r="AB125" s="23">
        <f>EXP(-LN(2)/2)*AB124+(1-EXP(-LN(2)/2))/(LN(2)/2)*V125*Y125*VLOOKUP('Données projet'!$B$9,Paramètres!$A$1:$I$89,3,0)*0.475*44/12</f>
        <v>6.1912977567016996E-13</v>
      </c>
      <c r="AC125" s="24">
        <f t="shared" si="57"/>
        <v>12.051046733872008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1.1368683772161603E-13</v>
      </c>
      <c r="O126" s="14">
        <f>N126*VLOOKUP('Données projet'!$B$9,Paramètres!$A$1:$I$89,3,0)*VLOOKUP('Données projet'!$B$9,Paramètres!$A$1:$I$89,5,0)</f>
        <v>6.7984728957526396E-14</v>
      </c>
      <c r="P126" s="14">
        <f t="shared" si="87"/>
        <v>1.0682447123141398E-12</v>
      </c>
      <c r="Q126" s="22">
        <f t="shared" si="107"/>
        <v>1.978932943548152E-12</v>
      </c>
      <c r="R126" s="62">
        <f t="shared" si="55"/>
        <v>293.3333333333353</v>
      </c>
      <c r="S126" s="62">
        <f ca="1">AVERAGE(OFFSET($R$3,0,0,'Données projet'!$E$9+1,1))-AVERAGE(OFFSET($H$3,0,0,'Données projet'!$E$9+1,1))</f>
        <v>147.72913422715322</v>
      </c>
      <c r="T126" s="62">
        <f t="shared" si="88"/>
        <v>361.07991692964799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8.4530564993916499</v>
      </c>
      <c r="AA126" s="23">
        <f>EXP(-LN(2)/25)*AA125+(1-EXP(-LN(2)/25))/(LN(2)/25)*Calculateur!V126*Calculateur!X126*VLOOKUP('Données projet'!$B$9,Paramètres!$A$1:$I$89,3,0)*0.475*44/12</f>
        <v>3.3351516252982445</v>
      </c>
      <c r="AB126" s="23">
        <f>EXP(-LN(2)/2)*AB125+(1-EXP(-LN(2)/2))/(LN(2)/2)*V126*Y126*VLOOKUP('Données projet'!$B$9,Paramètres!$A$1:$I$89,3,0)*0.475*44/12</f>
        <v>4.3779086281088313E-13</v>
      </c>
      <c r="AC126" s="24">
        <f t="shared" si="57"/>
        <v>11.788208124690332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1.1368683772161603E-13</v>
      </c>
      <c r="O127" s="14">
        <f>N127*VLOOKUP('Données projet'!$B$9,Paramètres!$A$1:$I$89,3,0)*VLOOKUP('Données projet'!$B$9,Paramètres!$A$1:$I$89,5,0)</f>
        <v>6.7984728957526396E-14</v>
      </c>
      <c r="P127" s="14">
        <f t="shared" si="87"/>
        <v>1.0682447123141398E-12</v>
      </c>
      <c r="Q127" s="22">
        <f t="shared" si="107"/>
        <v>1.978932943548152E-12</v>
      </c>
      <c r="R127" s="62">
        <f t="shared" si="55"/>
        <v>293.3333333333353</v>
      </c>
      <c r="S127" s="62">
        <f ca="1">AVERAGE(OFFSET($R$3,0,0,'Données projet'!$E$9+1,1))-AVERAGE(OFFSET($H$3,0,0,'Données projet'!$E$9+1,1))</f>
        <v>147.72913422715322</v>
      </c>
      <c r="T127" s="62">
        <f t="shared" si="88"/>
        <v>361.07991692964799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8.2872972172939452</v>
      </c>
      <c r="AA127" s="23">
        <f>EXP(-LN(2)/25)*AA126+(1-EXP(-LN(2)/25))/(LN(2)/25)*Calculateur!V127*Calculateur!X127*VLOOKUP('Données projet'!$B$9,Paramètres!$A$1:$I$89,3,0)*0.475*44/12</f>
        <v>3.2439517287164628</v>
      </c>
      <c r="AB127" s="23">
        <f>EXP(-LN(2)/2)*AB126+(1-EXP(-LN(2)/2))/(LN(2)/2)*V127*Y127*VLOOKUP('Données projet'!$B$9,Paramètres!$A$1:$I$89,3,0)*0.475*44/12</f>
        <v>3.0956488783508498E-13</v>
      </c>
      <c r="AC127" s="24">
        <f t="shared" si="57"/>
        <v>11.531248946010717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1.1368683772161603E-13</v>
      </c>
      <c r="O128" s="14">
        <f>N128*VLOOKUP('Données projet'!$B$9,Paramètres!$A$1:$I$89,3,0)*VLOOKUP('Données projet'!$B$9,Paramètres!$A$1:$I$89,5,0)</f>
        <v>6.7984728957526396E-14</v>
      </c>
      <c r="P128" s="14">
        <f t="shared" si="87"/>
        <v>1.0682447123141398E-12</v>
      </c>
      <c r="Q128" s="22">
        <f t="shared" si="107"/>
        <v>1.978932943548152E-12</v>
      </c>
      <c r="R128" s="62">
        <f t="shared" si="55"/>
        <v>293.3333333333353</v>
      </c>
      <c r="S128" s="62">
        <f ca="1">AVERAGE(OFFSET($R$3,0,0,'Données projet'!$E$9+1,1))-AVERAGE(OFFSET($H$3,0,0,'Données projet'!$E$9+1,1))</f>
        <v>147.72913422715322</v>
      </c>
      <c r="T128" s="62">
        <f t="shared" si="88"/>
        <v>361.07991692964799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8.1247883736149973</v>
      </c>
      <c r="AA128" s="23">
        <f>EXP(-LN(2)/25)*AA127+(1-EXP(-LN(2)/25))/(LN(2)/25)*Calculateur!V128*Calculateur!X128*VLOOKUP('Données projet'!$B$9,Paramètres!$A$1:$I$89,3,0)*0.475*44/12</f>
        <v>3.1552456981027039</v>
      </c>
      <c r="AB128" s="23">
        <f>EXP(-LN(2)/2)*AB127+(1-EXP(-LN(2)/2))/(LN(2)/2)*V128*Y128*VLOOKUP('Données projet'!$B$9,Paramètres!$A$1:$I$89,3,0)*0.475*44/12</f>
        <v>2.1889543140544156E-13</v>
      </c>
      <c r="AC128" s="24">
        <f t="shared" si="57"/>
        <v>11.280034071717919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1.1368683772161603E-13</v>
      </c>
      <c r="O129" s="14">
        <f>N129*VLOOKUP('Données projet'!$B$9,Paramètres!$A$1:$I$89,3,0)*VLOOKUP('Données projet'!$B$9,Paramètres!$A$1:$I$89,5,0)</f>
        <v>6.7984728957526396E-14</v>
      </c>
      <c r="P129" s="14">
        <f t="shared" si="87"/>
        <v>1.0682447123141398E-12</v>
      </c>
      <c r="Q129" s="22">
        <f t="shared" si="107"/>
        <v>1.978932943548152E-12</v>
      </c>
      <c r="R129" s="62">
        <f t="shared" si="55"/>
        <v>293.3333333333353</v>
      </c>
      <c r="S129" s="62">
        <f ca="1">AVERAGE(OFFSET($R$3,0,0,'Données projet'!$E$9+1,1))-AVERAGE(OFFSET($H$3,0,0,'Données projet'!$E$9+1,1))</f>
        <v>147.72913422715322</v>
      </c>
      <c r="T129" s="62">
        <f t="shared" si="88"/>
        <v>361.07991692964799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7.9654662292399872</v>
      </c>
      <c r="AA129" s="23">
        <f>EXP(-LN(2)/25)*AA128+(1-EXP(-LN(2)/25))/(LN(2)/25)*Calculateur!V129*Calculateur!X129*VLOOKUP('Données projet'!$B$9,Paramètres!$A$1:$I$89,3,0)*0.475*44/12</f>
        <v>3.0689653385609255</v>
      </c>
      <c r="AB129" s="23">
        <f>EXP(-LN(2)/2)*AB128+(1-EXP(-LN(2)/2))/(LN(2)/2)*V129*Y129*VLOOKUP('Données projet'!$B$9,Paramètres!$A$1:$I$89,3,0)*0.475*44/12</f>
        <v>1.5478244391754249E-13</v>
      </c>
      <c r="AC129" s="24">
        <f t="shared" si="57"/>
        <v>11.034431567801066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1.1368683772161603E-13</v>
      </c>
      <c r="O130" s="14">
        <f>N130*VLOOKUP('Données projet'!$B$9,Paramètres!$A$1:$I$89,3,0)*VLOOKUP('Données projet'!$B$9,Paramètres!$A$1:$I$89,5,0)</f>
        <v>6.7984728957526396E-14</v>
      </c>
      <c r="P130" s="14">
        <f t="shared" si="87"/>
        <v>1.0682447123141398E-12</v>
      </c>
      <c r="Q130" s="22">
        <f t="shared" si="107"/>
        <v>1.978932943548152E-12</v>
      </c>
      <c r="R130" s="62">
        <f t="shared" si="55"/>
        <v>293.3333333333353</v>
      </c>
      <c r="S130" s="62">
        <f ca="1">AVERAGE(OFFSET($R$3,0,0,'Données projet'!$E$9+1,1))-AVERAGE(OFFSET($H$3,0,0,'Données projet'!$E$9+1,1))</f>
        <v>147.72913422715322</v>
      </c>
      <c r="T130" s="62">
        <f t="shared" si="88"/>
        <v>361.07991692964799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7.8092682949392582</v>
      </c>
      <c r="AA130" s="23">
        <f>EXP(-LN(2)/25)*AA129+(1-EXP(-LN(2)/25))/(LN(2)/25)*Calculateur!V130*Calculateur!X130*VLOOKUP('Données projet'!$B$9,Paramètres!$A$1:$I$89,3,0)*0.475*44/12</f>
        <v>2.9850443199881038</v>
      </c>
      <c r="AB130" s="23">
        <f>EXP(-LN(2)/2)*AB129+(1-EXP(-LN(2)/2))/(LN(2)/2)*V130*Y130*VLOOKUP('Données projet'!$B$9,Paramètres!$A$1:$I$89,3,0)*0.475*44/12</f>
        <v>1.0944771570272078E-13</v>
      </c>
      <c r="AC130" s="24">
        <f t="shared" si="57"/>
        <v>10.794312614927472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1.1368683772161603E-13</v>
      </c>
      <c r="O131" s="14">
        <f>N131*VLOOKUP('Données projet'!$B$9,Paramètres!$A$1:$I$89,3,0)*VLOOKUP('Données projet'!$B$9,Paramètres!$A$1:$I$89,5,0)</f>
        <v>6.7984728957526396E-14</v>
      </c>
      <c r="P131" s="14">
        <f t="shared" si="87"/>
        <v>1.0682447123141398E-12</v>
      </c>
      <c r="Q131" s="22">
        <f t="shared" ref="Q131:Q153" si="108">(O131+P131)*0.475*44/12</f>
        <v>1.978932943548152E-12</v>
      </c>
      <c r="R131" s="62">
        <f t="shared" ref="R131:R194" si="109">Q131+(I131+J131)*44/12</f>
        <v>293.3333333333353</v>
      </c>
      <c r="S131" s="62">
        <f ca="1">AVERAGE(OFFSET($R$3,0,0,'Données projet'!$E$9+1,1))-AVERAGE(OFFSET($H$3,0,0,'Données projet'!$E$9+1,1))</f>
        <v>147.72913422715322</v>
      </c>
      <c r="T131" s="62">
        <f t="shared" si="88"/>
        <v>361.07991692964799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7.656133306858834</v>
      </c>
      <c r="AA131" s="23">
        <f>EXP(-LN(2)/25)*AA130+(1-EXP(-LN(2)/25))/(LN(2)/25)*Calculateur!V131*Calculateur!X131*VLOOKUP('Données projet'!$B$9,Paramètres!$A$1:$I$89,3,0)*0.475*44/12</f>
        <v>2.903418126081371</v>
      </c>
      <c r="AB131" s="23">
        <f>EXP(-LN(2)/2)*AB130+(1-EXP(-LN(2)/2))/(LN(2)/2)*V131*Y131*VLOOKUP('Données projet'!$B$9,Paramètres!$A$1:$I$89,3,0)*0.475*44/12</f>
        <v>7.7391221958771245E-14</v>
      </c>
      <c r="AC131" s="24">
        <f t="shared" si="57"/>
        <v>10.559551432940284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1.1368683772161603E-13</v>
      </c>
      <c r="O132" s="14">
        <f>N132*VLOOKUP('Données projet'!$B$9,Paramètres!$A$1:$I$89,3,0)*VLOOKUP('Données projet'!$B$9,Paramètres!$A$1:$I$89,5,0)</f>
        <v>6.7984728957526396E-14</v>
      </c>
      <c r="P132" s="14">
        <f t="shared" si="87"/>
        <v>1.0682447123141398E-12</v>
      </c>
      <c r="Q132" s="22">
        <f t="shared" si="108"/>
        <v>1.978932943548152E-12</v>
      </c>
      <c r="R132" s="62">
        <f t="shared" si="109"/>
        <v>293.3333333333353</v>
      </c>
      <c r="S132" s="62">
        <f ca="1">AVERAGE(OFFSET($R$3,0,0,'Données projet'!$E$9+1,1))-AVERAGE(OFFSET($H$3,0,0,'Données projet'!$E$9+1,1))</f>
        <v>147.72913422715322</v>
      </c>
      <c r="T132" s="62">
        <f t="shared" si="88"/>
        <v>361.07991692964799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7.5060012024915466</v>
      </c>
      <c r="AA132" s="23">
        <f>EXP(-LN(2)/25)*AA131+(1-EXP(-LN(2)/25))/(LN(2)/25)*Calculateur!V132*Calculateur!X132*VLOOKUP('Données projet'!$B$9,Paramètres!$A$1:$I$89,3,0)*0.475*44/12</f>
        <v>2.8240240047395524</v>
      </c>
      <c r="AB132" s="23">
        <f>EXP(-LN(2)/2)*AB131+(1-EXP(-LN(2)/2))/(LN(2)/2)*V132*Y132*VLOOKUP('Données projet'!$B$9,Paramètres!$A$1:$I$89,3,0)*0.475*44/12</f>
        <v>5.4723857851360391E-14</v>
      </c>
      <c r="AC132" s="24">
        <f t="shared" ref="AC132:AC153" si="111">SUM(Z132:AB132)</f>
        <v>10.330025207231154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1.1368683772161603E-13</v>
      </c>
      <c r="O133" s="14">
        <f>N133*VLOOKUP('Données projet'!$B$9,Paramètres!$A$1:$I$89,3,0)*VLOOKUP('Données projet'!$B$9,Paramètres!$A$1:$I$89,5,0)</f>
        <v>6.7984728957526396E-14</v>
      </c>
      <c r="P133" s="14">
        <f t="shared" ref="P133:P196" si="141">EXP(-1.0587+0.8836*LN(O133)+0.284)</f>
        <v>1.0682447123141398E-12</v>
      </c>
      <c r="Q133" s="22">
        <f t="shared" si="108"/>
        <v>1.978932943548152E-12</v>
      </c>
      <c r="R133" s="62">
        <f t="shared" si="109"/>
        <v>293.3333333333353</v>
      </c>
      <c r="S133" s="62">
        <f ca="1">AVERAGE(OFFSET($R$3,0,0,'Données projet'!$E$9+1,1))-AVERAGE(OFFSET($H$3,0,0,'Données projet'!$E$9+1,1))</f>
        <v>147.72913422715322</v>
      </c>
      <c r="T133" s="62">
        <f t="shared" ref="T133:T196" si="142">$T$3</f>
        <v>361.07991692964799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7.3588130971193602</v>
      </c>
      <c r="AA133" s="23">
        <f>EXP(-LN(2)/25)*AA132+(1-EXP(-LN(2)/25))/(LN(2)/25)*Calculateur!V133*Calculateur!X133*VLOOKUP('Données projet'!$B$9,Paramètres!$A$1:$I$89,3,0)*0.475*44/12</f>
        <v>2.7468009198209815</v>
      </c>
      <c r="AB133" s="23">
        <f>EXP(-LN(2)/2)*AB132+(1-EXP(-LN(2)/2))/(LN(2)/2)*V133*Y133*VLOOKUP('Données projet'!$B$9,Paramètres!$A$1:$I$89,3,0)*0.475*44/12</f>
        <v>3.8695610979385622E-14</v>
      </c>
      <c r="AC133" s="24">
        <f t="shared" si="111"/>
        <v>10.105614016940381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1.1368683772161603E-13</v>
      </c>
      <c r="O134" s="14">
        <f>N134*VLOOKUP('Données projet'!$B$9,Paramètres!$A$1:$I$89,3,0)*VLOOKUP('Données projet'!$B$9,Paramètres!$A$1:$I$89,5,0)</f>
        <v>6.7984728957526396E-14</v>
      </c>
      <c r="P134" s="14">
        <f t="shared" si="141"/>
        <v>1.0682447123141398E-12</v>
      </c>
      <c r="Q134" s="22">
        <f t="shared" si="108"/>
        <v>1.978932943548152E-12</v>
      </c>
      <c r="R134" s="62">
        <f t="shared" si="109"/>
        <v>293.3333333333353</v>
      </c>
      <c r="S134" s="62">
        <f ca="1">AVERAGE(OFFSET($R$3,0,0,'Données projet'!$E$9+1,1))-AVERAGE(OFFSET($H$3,0,0,'Données projet'!$E$9+1,1))</f>
        <v>147.72913422715322</v>
      </c>
      <c r="T134" s="62">
        <f t="shared" si="142"/>
        <v>361.07991692964799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7.2145112607176429</v>
      </c>
      <c r="AA134" s="23">
        <f>EXP(-LN(2)/25)*AA133+(1-EXP(-LN(2)/25))/(LN(2)/25)*Calculateur!V134*Calculateur!X134*VLOOKUP('Données projet'!$B$9,Paramètres!$A$1:$I$89,3,0)*0.475*44/12</f>
        <v>2.6716895042204944</v>
      </c>
      <c r="AB134" s="23">
        <f>EXP(-LN(2)/2)*AB133+(1-EXP(-LN(2)/2))/(LN(2)/2)*V134*Y134*VLOOKUP('Données projet'!$B$9,Paramètres!$A$1:$I$89,3,0)*0.475*44/12</f>
        <v>2.7361928925680196E-14</v>
      </c>
      <c r="AC134" s="24">
        <f t="shared" si="111"/>
        <v>9.8862007649381649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1.1368683772161603E-13</v>
      </c>
      <c r="O135" s="14">
        <f>N135*VLOOKUP('Données projet'!$B$9,Paramètres!$A$1:$I$89,3,0)*VLOOKUP('Données projet'!$B$9,Paramètres!$A$1:$I$89,5,0)</f>
        <v>6.7984728957526396E-14</v>
      </c>
      <c r="P135" s="14">
        <f t="shared" si="141"/>
        <v>1.0682447123141398E-12</v>
      </c>
      <c r="Q135" s="22">
        <f t="shared" si="108"/>
        <v>1.978932943548152E-12</v>
      </c>
      <c r="R135" s="62">
        <f t="shared" si="109"/>
        <v>293.3333333333353</v>
      </c>
      <c r="S135" s="62">
        <f ca="1">AVERAGE(OFFSET($R$3,0,0,'Données projet'!$E$9+1,1))-AVERAGE(OFFSET($H$3,0,0,'Données projet'!$E$9+1,1))</f>
        <v>147.72913422715322</v>
      </c>
      <c r="T135" s="62">
        <f t="shared" si="142"/>
        <v>361.07991692964799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7.0730390953123337</v>
      </c>
      <c r="AA135" s="23">
        <f>EXP(-LN(2)/25)*AA134+(1-EXP(-LN(2)/25))/(LN(2)/25)*Calculateur!V135*Calculateur!X135*VLOOKUP('Données projet'!$B$9,Paramètres!$A$1:$I$89,3,0)*0.475*44/12</f>
        <v>2.59863201422954</v>
      </c>
      <c r="AB135" s="23">
        <f>EXP(-LN(2)/2)*AB134+(1-EXP(-LN(2)/2))/(LN(2)/2)*V135*Y135*VLOOKUP('Données projet'!$B$9,Paramètres!$A$1:$I$89,3,0)*0.475*44/12</f>
        <v>1.9347805489692811E-14</v>
      </c>
      <c r="AC135" s="24">
        <f t="shared" si="111"/>
        <v>9.6716711095418937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1.1368683772161603E-13</v>
      </c>
      <c r="O136" s="14">
        <f>N136*VLOOKUP('Données projet'!$B$9,Paramètres!$A$1:$I$89,3,0)*VLOOKUP('Données projet'!$B$9,Paramètres!$A$1:$I$89,5,0)</f>
        <v>6.7984728957526396E-14</v>
      </c>
      <c r="P136" s="14">
        <f t="shared" si="141"/>
        <v>1.0682447123141398E-12</v>
      </c>
      <c r="Q136" s="22">
        <f t="shared" si="108"/>
        <v>1.978932943548152E-12</v>
      </c>
      <c r="R136" s="62">
        <f t="shared" si="109"/>
        <v>293.3333333333353</v>
      </c>
      <c r="S136" s="62">
        <f ca="1">AVERAGE(OFFSET($R$3,0,0,'Données projet'!$E$9+1,1))-AVERAGE(OFFSET($H$3,0,0,'Données projet'!$E$9+1,1))</f>
        <v>147.72913422715322</v>
      </c>
      <c r="T136" s="62">
        <f t="shared" si="142"/>
        <v>361.07991692964799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6.9343411127811221</v>
      </c>
      <c r="AA136" s="23">
        <f>EXP(-LN(2)/25)*AA135+(1-EXP(-LN(2)/25))/(LN(2)/25)*Calculateur!V136*Calculateur!X136*VLOOKUP('Données projet'!$B$9,Paramètres!$A$1:$I$89,3,0)*0.475*44/12</f>
        <v>2.527572285144315</v>
      </c>
      <c r="AB136" s="23">
        <f>EXP(-LN(2)/2)*AB135+(1-EXP(-LN(2)/2))/(LN(2)/2)*V136*Y136*VLOOKUP('Données projet'!$B$9,Paramètres!$A$1:$I$89,3,0)*0.475*44/12</f>
        <v>1.3680964462840098E-14</v>
      </c>
      <c r="AC136" s="24">
        <f t="shared" si="111"/>
        <v>9.4619133979254517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1.1368683772161603E-13</v>
      </c>
      <c r="O137" s="14">
        <f>N137*VLOOKUP('Données projet'!$B$9,Paramètres!$A$1:$I$89,3,0)*VLOOKUP('Données projet'!$B$9,Paramètres!$A$1:$I$89,5,0)</f>
        <v>6.7984728957526396E-14</v>
      </c>
      <c r="P137" s="14">
        <f t="shared" si="141"/>
        <v>1.0682447123141398E-12</v>
      </c>
      <c r="Q137" s="22">
        <f t="shared" si="108"/>
        <v>1.978932943548152E-12</v>
      </c>
      <c r="R137" s="62">
        <f t="shared" si="109"/>
        <v>293.3333333333353</v>
      </c>
      <c r="S137" s="62">
        <f ca="1">AVERAGE(OFFSET($R$3,0,0,'Données projet'!$E$9+1,1))-AVERAGE(OFFSET($H$3,0,0,'Données projet'!$E$9+1,1))</f>
        <v>147.72913422715322</v>
      </c>
      <c r="T137" s="62">
        <f t="shared" si="142"/>
        <v>361.07991692964799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6.7983629130899317</v>
      </c>
      <c r="AA137" s="23">
        <f>EXP(-LN(2)/25)*AA136+(1-EXP(-LN(2)/25))/(LN(2)/25)*Calculateur!V137*Calculateur!X137*VLOOKUP('Données projet'!$B$9,Paramètres!$A$1:$I$89,3,0)*0.475*44/12</f>
        <v>2.4584556880877941</v>
      </c>
      <c r="AB137" s="23">
        <f>EXP(-LN(2)/2)*AB136+(1-EXP(-LN(2)/2))/(LN(2)/2)*V137*Y137*VLOOKUP('Données projet'!$B$9,Paramètres!$A$1:$I$89,3,0)*0.475*44/12</f>
        <v>9.6739027448464056E-15</v>
      </c>
      <c r="AC137" s="24">
        <f t="shared" si="111"/>
        <v>9.2568186011777343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1.1368683772161603E-13</v>
      </c>
      <c r="O138" s="14">
        <f>N138*VLOOKUP('Données projet'!$B$9,Paramètres!$A$1:$I$89,3,0)*VLOOKUP('Données projet'!$B$9,Paramètres!$A$1:$I$89,5,0)</f>
        <v>6.7984728957526396E-14</v>
      </c>
      <c r="P138" s="14">
        <f t="shared" si="141"/>
        <v>1.0682447123141398E-12</v>
      </c>
      <c r="Q138" s="22">
        <f t="shared" si="108"/>
        <v>1.978932943548152E-12</v>
      </c>
      <c r="R138" s="62">
        <f t="shared" si="109"/>
        <v>293.3333333333353</v>
      </c>
      <c r="S138" s="62">
        <f ca="1">AVERAGE(OFFSET($R$3,0,0,'Données projet'!$E$9+1,1))-AVERAGE(OFFSET($H$3,0,0,'Données projet'!$E$9+1,1))</f>
        <v>147.72913422715322</v>
      </c>
      <c r="T138" s="62">
        <f t="shared" si="142"/>
        <v>361.07991692964799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6.6650511629561731</v>
      </c>
      <c r="AA138" s="23">
        <f>EXP(-LN(2)/25)*AA137+(1-EXP(-LN(2)/25))/(LN(2)/25)*Calculateur!V138*Calculateur!X138*VLOOKUP('Données projet'!$B$9,Paramètres!$A$1:$I$89,3,0)*0.475*44/12</f>
        <v>2.3912290880124676</v>
      </c>
      <c r="AB138" s="23">
        <f>EXP(-LN(2)/2)*AB137+(1-EXP(-LN(2)/2))/(LN(2)/2)*V138*Y138*VLOOKUP('Données projet'!$B$9,Paramètres!$A$1:$I$89,3,0)*0.475*44/12</f>
        <v>6.8404822314200489E-15</v>
      </c>
      <c r="AC138" s="24">
        <f t="shared" si="111"/>
        <v>9.0562802509686477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1.1368683772161603E-13</v>
      </c>
      <c r="O139" s="14">
        <f>N139*VLOOKUP('Données projet'!$B$9,Paramètres!$A$1:$I$89,3,0)*VLOOKUP('Données projet'!$B$9,Paramètres!$A$1:$I$89,5,0)</f>
        <v>6.7984728957526396E-14</v>
      </c>
      <c r="P139" s="14">
        <f t="shared" si="141"/>
        <v>1.0682447123141398E-12</v>
      </c>
      <c r="Q139" s="22">
        <f t="shared" si="108"/>
        <v>1.978932943548152E-12</v>
      </c>
      <c r="R139" s="62">
        <f t="shared" si="109"/>
        <v>293.3333333333353</v>
      </c>
      <c r="S139" s="62">
        <f ca="1">AVERAGE(OFFSET($R$3,0,0,'Données projet'!$E$9+1,1))-AVERAGE(OFFSET($H$3,0,0,'Données projet'!$E$9+1,1))</f>
        <v>147.72913422715322</v>
      </c>
      <c r="T139" s="62">
        <f t="shared" si="142"/>
        <v>361.07991692964799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6.5343535749303987</v>
      </c>
      <c r="AA139" s="23">
        <f>EXP(-LN(2)/25)*AA138+(1-EXP(-LN(2)/25))/(LN(2)/25)*Calculateur!V139*Calculateur!X139*VLOOKUP('Données projet'!$B$9,Paramètres!$A$1:$I$89,3,0)*0.475*44/12</f>
        <v>2.3258408028514941</v>
      </c>
      <c r="AB139" s="23">
        <f>EXP(-LN(2)/2)*AB138+(1-EXP(-LN(2)/2))/(LN(2)/2)*V139*Y139*VLOOKUP('Données projet'!$B$9,Paramètres!$A$1:$I$89,3,0)*0.475*44/12</f>
        <v>4.8369513724232028E-15</v>
      </c>
      <c r="AC139" s="24">
        <f t="shared" si="111"/>
        <v>8.8601943777818981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1.1368683772161603E-13</v>
      </c>
      <c r="O140" s="14">
        <f>N140*VLOOKUP('Données projet'!$B$9,Paramètres!$A$1:$I$89,3,0)*VLOOKUP('Données projet'!$B$9,Paramètres!$A$1:$I$89,5,0)</f>
        <v>6.7984728957526396E-14</v>
      </c>
      <c r="P140" s="14">
        <f t="shared" si="141"/>
        <v>1.0682447123141398E-12</v>
      </c>
      <c r="Q140" s="22">
        <f t="shared" si="108"/>
        <v>1.978932943548152E-12</v>
      </c>
      <c r="R140" s="62">
        <f t="shared" si="109"/>
        <v>293.3333333333353</v>
      </c>
      <c r="S140" s="62">
        <f ca="1">AVERAGE(OFFSET($R$3,0,0,'Données projet'!$E$9+1,1))-AVERAGE(OFFSET($H$3,0,0,'Données projet'!$E$9+1,1))</f>
        <v>147.72913422715322</v>
      </c>
      <c r="T140" s="62">
        <f t="shared" si="142"/>
        <v>361.07991692964799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6.4062188868881531</v>
      </c>
      <c r="AA140" s="23">
        <f>EXP(-LN(2)/25)*AA139+(1-EXP(-LN(2)/25))/(LN(2)/25)*Calculateur!V140*Calculateur!X140*VLOOKUP('Données projet'!$B$9,Paramètres!$A$1:$I$89,3,0)*0.475*44/12</f>
        <v>2.2622405637868681</v>
      </c>
      <c r="AB140" s="23">
        <f>EXP(-LN(2)/2)*AB139+(1-EXP(-LN(2)/2))/(LN(2)/2)*V140*Y140*VLOOKUP('Données projet'!$B$9,Paramètres!$A$1:$I$89,3,0)*0.475*44/12</f>
        <v>3.4202411157100244E-15</v>
      </c>
      <c r="AC140" s="24">
        <f t="shared" si="111"/>
        <v>8.6684594506750248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1.1368683772161603E-13</v>
      </c>
      <c r="O141" s="14">
        <f>N141*VLOOKUP('Données projet'!$B$9,Paramètres!$A$1:$I$89,3,0)*VLOOKUP('Données projet'!$B$9,Paramètres!$A$1:$I$89,5,0)</f>
        <v>6.7984728957526396E-14</v>
      </c>
      <c r="P141" s="14">
        <f t="shared" si="141"/>
        <v>1.0682447123141398E-12</v>
      </c>
      <c r="Q141" s="22">
        <f t="shared" si="108"/>
        <v>1.978932943548152E-12</v>
      </c>
      <c r="R141" s="62">
        <f t="shared" si="109"/>
        <v>293.3333333333353</v>
      </c>
      <c r="S141" s="62">
        <f ca="1">AVERAGE(OFFSET($R$3,0,0,'Données projet'!$E$9+1,1))-AVERAGE(OFFSET($H$3,0,0,'Données projet'!$E$9+1,1))</f>
        <v>147.72913422715322</v>
      </c>
      <c r="T141" s="62">
        <f t="shared" si="142"/>
        <v>361.07991692964799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6.2805968419239733</v>
      </c>
      <c r="AA141" s="23">
        <f>EXP(-LN(2)/25)*AA140+(1-EXP(-LN(2)/25))/(LN(2)/25)*Calculateur!V141*Calculateur!X141*VLOOKUP('Données projet'!$B$9,Paramètres!$A$1:$I$89,3,0)*0.475*44/12</f>
        <v>2.2003794766040552</v>
      </c>
      <c r="AB141" s="23">
        <f>EXP(-LN(2)/2)*AB140+(1-EXP(-LN(2)/2))/(LN(2)/2)*V141*Y141*VLOOKUP('Données projet'!$B$9,Paramètres!$A$1:$I$89,3,0)*0.475*44/12</f>
        <v>2.4184756862116014E-15</v>
      </c>
      <c r="AC141" s="24">
        <f t="shared" si="111"/>
        <v>8.4809763185280307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1.1368683772161603E-13</v>
      </c>
      <c r="O142" s="14">
        <f>N142*VLOOKUP('Données projet'!$B$9,Paramètres!$A$1:$I$89,3,0)*VLOOKUP('Données projet'!$B$9,Paramètres!$A$1:$I$89,5,0)</f>
        <v>6.7984728957526396E-14</v>
      </c>
      <c r="P142" s="14">
        <f t="shared" si="141"/>
        <v>1.0682447123141398E-12</v>
      </c>
      <c r="Q142" s="22">
        <f t="shared" si="108"/>
        <v>1.978932943548152E-12</v>
      </c>
      <c r="R142" s="62">
        <f t="shared" si="109"/>
        <v>293.3333333333353</v>
      </c>
      <c r="S142" s="62">
        <f ca="1">AVERAGE(OFFSET($R$3,0,0,'Données projet'!$E$9+1,1))-AVERAGE(OFFSET($H$3,0,0,'Données projet'!$E$9+1,1))</f>
        <v>147.72913422715322</v>
      </c>
      <c r="T142" s="62">
        <f t="shared" si="142"/>
        <v>361.07991692964799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6.1574381686396586</v>
      </c>
      <c r="AA142" s="23">
        <f>EXP(-LN(2)/25)*AA141+(1-EXP(-LN(2)/25))/(LN(2)/25)*Calculateur!V142*Calculateur!X142*VLOOKUP('Données projet'!$B$9,Paramètres!$A$1:$I$89,3,0)*0.475*44/12</f>
        <v>2.1402099841033895</v>
      </c>
      <c r="AB142" s="23">
        <f>EXP(-LN(2)/2)*AB141+(1-EXP(-LN(2)/2))/(LN(2)/2)*V142*Y142*VLOOKUP('Données projet'!$B$9,Paramètres!$A$1:$I$89,3,0)*0.475*44/12</f>
        <v>1.7101205578550122E-15</v>
      </c>
      <c r="AC142" s="24">
        <f t="shared" si="111"/>
        <v>8.297648152743049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1.1368683772161603E-13</v>
      </c>
      <c r="O143" s="14">
        <f>N143*VLOOKUP('Données projet'!$B$9,Paramètres!$A$1:$I$89,3,0)*VLOOKUP('Données projet'!$B$9,Paramètres!$A$1:$I$89,5,0)</f>
        <v>6.7984728957526396E-14</v>
      </c>
      <c r="P143" s="14">
        <f t="shared" si="141"/>
        <v>1.0682447123141398E-12</v>
      </c>
      <c r="Q143" s="22">
        <f t="shared" si="108"/>
        <v>1.978932943548152E-12</v>
      </c>
      <c r="R143" s="62">
        <f t="shared" si="109"/>
        <v>293.3333333333353</v>
      </c>
      <c r="S143" s="62">
        <f ca="1">AVERAGE(OFFSET($R$3,0,0,'Données projet'!$E$9+1,1))-AVERAGE(OFFSET($H$3,0,0,'Données projet'!$E$9+1,1))</f>
        <v>147.72913422715322</v>
      </c>
      <c r="T143" s="62">
        <f t="shared" si="142"/>
        <v>361.07991692964799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6.0366945618190764</v>
      </c>
      <c r="AA143" s="23">
        <f>EXP(-LN(2)/25)*AA142+(1-EXP(-LN(2)/25))/(LN(2)/25)*Calculateur!V143*Calculateur!X143*VLOOKUP('Données projet'!$B$9,Paramètres!$A$1:$I$89,3,0)*0.475*44/12</f>
        <v>2.0816858295393308</v>
      </c>
      <c r="AB143" s="23">
        <f>EXP(-LN(2)/2)*AB142+(1-EXP(-LN(2)/2))/(LN(2)/2)*V143*Y143*VLOOKUP('Données projet'!$B$9,Paramètres!$A$1:$I$89,3,0)*0.475*44/12</f>
        <v>1.2092378431058007E-15</v>
      </c>
      <c r="AC143" s="24">
        <f t="shared" si="111"/>
        <v>8.1183803913584089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1.1368683772161603E-13</v>
      </c>
      <c r="O144" s="14">
        <f>N144*VLOOKUP('Données projet'!$B$9,Paramètres!$A$1:$I$89,3,0)*VLOOKUP('Données projet'!$B$9,Paramètres!$A$1:$I$89,5,0)</f>
        <v>6.7984728957526396E-14</v>
      </c>
      <c r="P144" s="14">
        <f t="shared" si="141"/>
        <v>1.0682447123141398E-12</v>
      </c>
      <c r="Q144" s="22">
        <f t="shared" si="108"/>
        <v>1.978932943548152E-12</v>
      </c>
      <c r="R144" s="62">
        <f t="shared" si="109"/>
        <v>293.3333333333353</v>
      </c>
      <c r="S144" s="62">
        <f ca="1">AVERAGE(OFFSET($R$3,0,0,'Données projet'!$E$9+1,1))-AVERAGE(OFFSET($H$3,0,0,'Données projet'!$E$9+1,1))</f>
        <v>147.72913422715322</v>
      </c>
      <c r="T144" s="62">
        <f t="shared" si="142"/>
        <v>361.07991692964799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5.9183186634819176</v>
      </c>
      <c r="AA144" s="23">
        <f>EXP(-LN(2)/25)*AA143+(1-EXP(-LN(2)/25))/(LN(2)/25)*Calculateur!V144*Calculateur!X144*VLOOKUP('Données projet'!$B$9,Paramètres!$A$1:$I$89,3,0)*0.475*44/12</f>
        <v>2.0247620210594777</v>
      </c>
      <c r="AB144" s="23">
        <f>EXP(-LN(2)/2)*AB143+(1-EXP(-LN(2)/2))/(LN(2)/2)*V144*Y144*VLOOKUP('Données projet'!$B$9,Paramètres!$A$1:$I$89,3,0)*0.475*44/12</f>
        <v>8.5506027892750611E-16</v>
      </c>
      <c r="AC144" s="24">
        <f t="shared" si="111"/>
        <v>7.9430806845413962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1.1368683772161603E-13</v>
      </c>
      <c r="O145" s="14">
        <f>N145*VLOOKUP('Données projet'!$B$9,Paramètres!$A$1:$I$89,3,0)*VLOOKUP('Données projet'!$B$9,Paramètres!$A$1:$I$89,5,0)</f>
        <v>6.7984728957526396E-14</v>
      </c>
      <c r="P145" s="14">
        <f t="shared" si="141"/>
        <v>1.0682447123141398E-12</v>
      </c>
      <c r="Q145" s="22">
        <f t="shared" si="108"/>
        <v>1.978932943548152E-12</v>
      </c>
      <c r="R145" s="62">
        <f t="shared" si="109"/>
        <v>293.3333333333353</v>
      </c>
      <c r="S145" s="62">
        <f ca="1">AVERAGE(OFFSET($R$3,0,0,'Données projet'!$E$9+1,1))-AVERAGE(OFFSET($H$3,0,0,'Données projet'!$E$9+1,1))</f>
        <v>147.72913422715322</v>
      </c>
      <c r="T145" s="62">
        <f t="shared" si="142"/>
        <v>361.07991692964799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5.8022640443089823</v>
      </c>
      <c r="AA145" s="23">
        <f>EXP(-LN(2)/25)*AA144+(1-EXP(-LN(2)/25))/(LN(2)/25)*Calculateur!V145*Calculateur!X145*VLOOKUP('Données projet'!$B$9,Paramètres!$A$1:$I$89,3,0)*0.475*44/12</f>
        <v>1.9693947971159993</v>
      </c>
      <c r="AB145" s="23">
        <f>EXP(-LN(2)/2)*AB144+(1-EXP(-LN(2)/2))/(LN(2)/2)*V145*Y145*VLOOKUP('Données projet'!$B$9,Paramètres!$A$1:$I$89,3,0)*0.475*44/12</f>
        <v>6.0461892155290035E-16</v>
      </c>
      <c r="AC145" s="24">
        <f t="shared" si="111"/>
        <v>7.7716588414249825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1.1368683772161603E-13</v>
      </c>
      <c r="O146" s="14">
        <f>N146*VLOOKUP('Données projet'!$B$9,Paramètres!$A$1:$I$89,3,0)*VLOOKUP('Données projet'!$B$9,Paramètres!$A$1:$I$89,5,0)</f>
        <v>6.7984728957526396E-14</v>
      </c>
      <c r="P146" s="14">
        <f t="shared" si="141"/>
        <v>1.0682447123141398E-12</v>
      </c>
      <c r="Q146" s="22">
        <f t="shared" si="108"/>
        <v>1.978932943548152E-12</v>
      </c>
      <c r="R146" s="62">
        <f t="shared" si="109"/>
        <v>293.3333333333353</v>
      </c>
      <c r="S146" s="62">
        <f ca="1">AVERAGE(OFFSET($R$3,0,0,'Données projet'!$E$9+1,1))-AVERAGE(OFFSET($H$3,0,0,'Données projet'!$E$9+1,1))</f>
        <v>147.72913422715322</v>
      </c>
      <c r="T146" s="62">
        <f t="shared" si="142"/>
        <v>361.07991692964799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5.6884851854317002</v>
      </c>
      <c r="AA146" s="23">
        <f>EXP(-LN(2)/25)*AA145+(1-EXP(-LN(2)/25))/(LN(2)/25)*Calculateur!V146*Calculateur!X146*VLOOKUP('Données projet'!$B$9,Paramètres!$A$1:$I$89,3,0)*0.475*44/12</f>
        <v>1.9155415928228909</v>
      </c>
      <c r="AB146" s="23">
        <f>EXP(-LN(2)/2)*AB145+(1-EXP(-LN(2)/2))/(LN(2)/2)*V146*Y146*VLOOKUP('Données projet'!$B$9,Paramètres!$A$1:$I$89,3,0)*0.475*44/12</f>
        <v>4.2753013946375306E-16</v>
      </c>
      <c r="AC146" s="24">
        <f t="shared" si="111"/>
        <v>7.6040267782545907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1.1368683772161603E-13</v>
      </c>
      <c r="O147" s="14">
        <f>N147*VLOOKUP('Données projet'!$B$9,Paramètres!$A$1:$I$89,3,0)*VLOOKUP('Données projet'!$B$9,Paramètres!$A$1:$I$89,5,0)</f>
        <v>6.7984728957526396E-14</v>
      </c>
      <c r="P147" s="14">
        <f t="shared" si="141"/>
        <v>1.0682447123141398E-12</v>
      </c>
      <c r="Q147" s="22">
        <f t="shared" si="108"/>
        <v>1.978932943548152E-12</v>
      </c>
      <c r="R147" s="62">
        <f t="shared" si="109"/>
        <v>293.3333333333353</v>
      </c>
      <c r="S147" s="62">
        <f ca="1">AVERAGE(OFFSET($R$3,0,0,'Données projet'!$E$9+1,1))-AVERAGE(OFFSET($H$3,0,0,'Données projet'!$E$9+1,1))</f>
        <v>147.72913422715322</v>
      </c>
      <c r="T147" s="62">
        <f t="shared" si="142"/>
        <v>361.07991692964799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5.5769374605787503</v>
      </c>
      <c r="AA147" s="23">
        <f>EXP(-LN(2)/25)*AA146+(1-EXP(-LN(2)/25))/(LN(2)/25)*Calculateur!V147*Calculateur!X147*VLOOKUP('Données projet'!$B$9,Paramètres!$A$1:$I$89,3,0)*0.475*44/12</f>
        <v>1.8631610072331946</v>
      </c>
      <c r="AB147" s="23">
        <f>EXP(-LN(2)/2)*AB146+(1-EXP(-LN(2)/2))/(LN(2)/2)*V147*Y147*VLOOKUP('Données projet'!$B$9,Paramètres!$A$1:$I$89,3,0)*0.475*44/12</f>
        <v>3.0230946077645017E-16</v>
      </c>
      <c r="AC147" s="24">
        <f t="shared" si="111"/>
        <v>7.4400984678119446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1.1368683772161603E-13</v>
      </c>
      <c r="O148" s="14">
        <f>N148*VLOOKUP('Données projet'!$B$9,Paramètres!$A$1:$I$89,3,0)*VLOOKUP('Données projet'!$B$9,Paramètres!$A$1:$I$89,5,0)</f>
        <v>6.7984728957526396E-14</v>
      </c>
      <c r="P148" s="14">
        <f t="shared" si="141"/>
        <v>1.0682447123141398E-12</v>
      </c>
      <c r="Q148" s="22">
        <f t="shared" si="108"/>
        <v>1.978932943548152E-12</v>
      </c>
      <c r="R148" s="62">
        <f t="shared" si="109"/>
        <v>293.3333333333353</v>
      </c>
      <c r="S148" s="62">
        <f ca="1">AVERAGE(OFFSET($R$3,0,0,'Données projet'!$E$9+1,1))-AVERAGE(OFFSET($H$3,0,0,'Données projet'!$E$9+1,1))</f>
        <v>147.72913422715322</v>
      </c>
      <c r="T148" s="62">
        <f t="shared" si="142"/>
        <v>361.07991692964799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5.4675771185727724</v>
      </c>
      <c r="AA148" s="23">
        <f>EXP(-LN(2)/25)*AA147+(1-EXP(-LN(2)/25))/(LN(2)/25)*Calculateur!V148*Calculateur!X148*VLOOKUP('Données projet'!$B$9,Paramètres!$A$1:$I$89,3,0)*0.475*44/12</f>
        <v>1.8122127715110239</v>
      </c>
      <c r="AB148" s="23">
        <f>EXP(-LN(2)/2)*AB147+(1-EXP(-LN(2)/2))/(LN(2)/2)*V148*Y148*VLOOKUP('Données projet'!$B$9,Paramètres!$A$1:$I$89,3,0)*0.475*44/12</f>
        <v>2.1376506973187653E-16</v>
      </c>
      <c r="AC148" s="24">
        <f t="shared" si="111"/>
        <v>7.2797898900837961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1.1368683772161603E-13</v>
      </c>
      <c r="O149" s="14">
        <f>N149*VLOOKUP('Données projet'!$B$9,Paramètres!$A$1:$I$89,3,0)*VLOOKUP('Données projet'!$B$9,Paramètres!$A$1:$I$89,5,0)</f>
        <v>6.7984728957526396E-14</v>
      </c>
      <c r="P149" s="14">
        <f t="shared" si="141"/>
        <v>1.0682447123141398E-12</v>
      </c>
      <c r="Q149" s="22">
        <f t="shared" si="108"/>
        <v>1.978932943548152E-12</v>
      </c>
      <c r="R149" s="62">
        <f t="shared" si="109"/>
        <v>293.3333333333353</v>
      </c>
      <c r="S149" s="62">
        <f ca="1">AVERAGE(OFFSET($R$3,0,0,'Données projet'!$E$9+1,1))-AVERAGE(OFFSET($H$3,0,0,'Données projet'!$E$9+1,1))</f>
        <v>147.72913422715322</v>
      </c>
      <c r="T149" s="62">
        <f t="shared" si="142"/>
        <v>361.07991692964799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5.3603612661703091</v>
      </c>
      <c r="AA149" s="23">
        <f>EXP(-LN(2)/25)*AA148+(1-EXP(-LN(2)/25))/(LN(2)/25)*Calculateur!V149*Calculateur!X149*VLOOKUP('Données projet'!$B$9,Paramètres!$A$1:$I$89,3,0)*0.475*44/12</f>
        <v>1.7626577179739271</v>
      </c>
      <c r="AB149" s="23">
        <f>EXP(-LN(2)/2)*AB148+(1-EXP(-LN(2)/2))/(LN(2)/2)*V149*Y149*VLOOKUP('Données projet'!$B$9,Paramètres!$A$1:$I$89,3,0)*0.475*44/12</f>
        <v>1.5115473038822509E-16</v>
      </c>
      <c r="AC149" s="24">
        <f t="shared" si="111"/>
        <v>7.1230189841442364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1.1368683772161603E-13</v>
      </c>
      <c r="O150" s="14">
        <f>N150*VLOOKUP('Données projet'!$B$9,Paramètres!$A$1:$I$89,3,0)*VLOOKUP('Données projet'!$B$9,Paramètres!$A$1:$I$89,5,0)</f>
        <v>6.7984728957526396E-14</v>
      </c>
      <c r="P150" s="14">
        <f t="shared" si="141"/>
        <v>1.0682447123141398E-12</v>
      </c>
      <c r="Q150" s="22">
        <f t="shared" si="108"/>
        <v>1.978932943548152E-12</v>
      </c>
      <c r="R150" s="62">
        <f t="shared" si="109"/>
        <v>293.3333333333353</v>
      </c>
      <c r="S150" s="62">
        <f ca="1">AVERAGE(OFFSET($R$3,0,0,'Données projet'!$E$9+1,1))-AVERAGE(OFFSET($H$3,0,0,'Données projet'!$E$9+1,1))</f>
        <v>147.72913422715322</v>
      </c>
      <c r="T150" s="62">
        <f t="shared" si="142"/>
        <v>361.07991692964799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5.2552478512382459</v>
      </c>
      <c r="AA150" s="23">
        <f>EXP(-LN(2)/25)*AA149+(1-EXP(-LN(2)/25))/(LN(2)/25)*Calculateur!V150*Calculateur!X150*VLOOKUP('Données projet'!$B$9,Paramètres!$A$1:$I$89,3,0)*0.475*44/12</f>
        <v>1.7144577499817892</v>
      </c>
      <c r="AB150" s="23">
        <f>EXP(-LN(2)/2)*AB149+(1-EXP(-LN(2)/2))/(LN(2)/2)*V150*Y150*VLOOKUP('Données projet'!$B$9,Paramètres!$A$1:$I$89,3,0)*0.475*44/12</f>
        <v>1.0688253486593826E-16</v>
      </c>
      <c r="AC150" s="24">
        <f t="shared" si="111"/>
        <v>6.9697056012200349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1.1368683772161603E-13</v>
      </c>
      <c r="O151" s="14">
        <f>N151*VLOOKUP('Données projet'!$B$9,Paramètres!$A$1:$I$89,3,0)*VLOOKUP('Données projet'!$B$9,Paramètres!$A$1:$I$89,5,0)</f>
        <v>6.7984728957526396E-14</v>
      </c>
      <c r="P151" s="14">
        <f t="shared" si="141"/>
        <v>1.0682447123141398E-12</v>
      </c>
      <c r="Q151" s="22">
        <f t="shared" si="108"/>
        <v>1.978932943548152E-12</v>
      </c>
      <c r="R151" s="62">
        <f t="shared" si="109"/>
        <v>293.3333333333353</v>
      </c>
      <c r="S151" s="62">
        <f ca="1">AVERAGE(OFFSET($R$3,0,0,'Données projet'!$E$9+1,1))-AVERAGE(OFFSET($H$3,0,0,'Données projet'!$E$9+1,1))</f>
        <v>147.72913422715322</v>
      </c>
      <c r="T151" s="62">
        <f t="shared" si="142"/>
        <v>361.07991692964799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5.1521956462601475</v>
      </c>
      <c r="AA151" s="23">
        <f>EXP(-LN(2)/25)*AA150+(1-EXP(-LN(2)/25))/(LN(2)/25)*Calculateur!V151*Calculateur!X151*VLOOKUP('Données projet'!$B$9,Paramètres!$A$1:$I$89,3,0)*0.475*44/12</f>
        <v>1.6675758126491227</v>
      </c>
      <c r="AB151" s="23">
        <f>EXP(-LN(2)/2)*AB150+(1-EXP(-LN(2)/2))/(LN(2)/2)*V151*Y151*VLOOKUP('Données projet'!$B$9,Paramètres!$A$1:$I$89,3,0)*0.475*44/12</f>
        <v>7.5577365194112544E-17</v>
      </c>
      <c r="AC151" s="24">
        <f t="shared" si="111"/>
        <v>6.8197714589092699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1.1368683772161603E-13</v>
      </c>
      <c r="O152" s="14">
        <f>N152*VLOOKUP('Données projet'!$B$9,Paramètres!$A$1:$I$89,3,0)*VLOOKUP('Données projet'!$B$9,Paramètres!$A$1:$I$89,5,0)</f>
        <v>6.7984728957526396E-14</v>
      </c>
      <c r="P152" s="14">
        <f t="shared" si="141"/>
        <v>1.0682447123141398E-12</v>
      </c>
      <c r="Q152" s="22">
        <f t="shared" si="108"/>
        <v>1.978932943548152E-12</v>
      </c>
      <c r="R152" s="62">
        <f t="shared" si="109"/>
        <v>293.3333333333353</v>
      </c>
      <c r="S152" s="62">
        <f ca="1">AVERAGE(OFFSET($R$3,0,0,'Données projet'!$E$9+1,1))-AVERAGE(OFFSET($H$3,0,0,'Données projet'!$E$9+1,1))</f>
        <v>147.72913422715322</v>
      </c>
      <c r="T152" s="62">
        <f t="shared" si="142"/>
        <v>361.07991692964799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5.0511642321660313</v>
      </c>
      <c r="AA152" s="23">
        <f>EXP(-LN(2)/25)*AA151+(1-EXP(-LN(2)/25))/(LN(2)/25)*Calculateur!V152*Calculateur!X152*VLOOKUP('Données projet'!$B$9,Paramètres!$A$1:$I$89,3,0)*0.475*44/12</f>
        <v>1.6219758643582318</v>
      </c>
      <c r="AB152" s="23">
        <f>EXP(-LN(2)/2)*AB151+(1-EXP(-LN(2)/2))/(LN(2)/2)*V152*Y152*VLOOKUP('Données projet'!$B$9,Paramètres!$A$1:$I$89,3,0)*0.475*44/12</f>
        <v>5.3441267432969132E-17</v>
      </c>
      <c r="AC152" s="24">
        <f t="shared" si="111"/>
        <v>6.6731400965242633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1.1368683772161603E-13</v>
      </c>
      <c r="O153" s="14">
        <f>N153*VLOOKUP('Données projet'!$B$9,Paramètres!$A$1:$I$89,3,0)*VLOOKUP('Données projet'!$B$9,Paramètres!$A$1:$I$89,5,0)</f>
        <v>6.7984728957526396E-14</v>
      </c>
      <c r="P153" s="14">
        <f t="shared" si="141"/>
        <v>1.0682447123141398E-12</v>
      </c>
      <c r="Q153" s="22">
        <f t="shared" si="108"/>
        <v>1.978932943548152E-12</v>
      </c>
      <c r="R153" s="62">
        <f t="shared" si="109"/>
        <v>293.3333333333353</v>
      </c>
      <c r="S153" s="62">
        <f ca="1">AVERAGE(OFFSET($R$3,0,0,'Données projet'!$E$9+1,1))-AVERAGE(OFFSET($H$3,0,0,'Données projet'!$E$9+1,1))</f>
        <v>147.72913422715322</v>
      </c>
      <c r="T153" s="62">
        <f t="shared" si="142"/>
        <v>361.07991692964799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4.9521139824792231</v>
      </c>
      <c r="AA153" s="23">
        <f>EXP(-LN(2)/25)*AA152+(1-EXP(-LN(2)/25))/(LN(2)/25)*Calculateur!V153*Calculateur!X153*VLOOKUP('Données projet'!$B$9,Paramètres!$A$1:$I$89,3,0)*0.475*44/12</f>
        <v>1.5776228490513524</v>
      </c>
      <c r="AB153" s="23">
        <f>EXP(-LN(2)/2)*AB152+(1-EXP(-LN(2)/2))/(LN(2)/2)*V153*Y153*VLOOKUP('Données projet'!$B$9,Paramètres!$A$1:$I$89,3,0)*0.475*44/12</f>
        <v>3.7788682597056272E-17</v>
      </c>
      <c r="AC153" s="24">
        <f t="shared" si="111"/>
        <v>6.5297368315305757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1.1368683772161603E-13</v>
      </c>
      <c r="O154" s="14">
        <f>N154*VLOOKUP('Données projet'!$B$9,Paramètres!$A$1:$I$89,3,0)*VLOOKUP('Données projet'!$B$9,Paramètres!$A$1:$I$89,5,0)</f>
        <v>6.7984728957526396E-14</v>
      </c>
      <c r="P154" s="14">
        <f t="shared" si="141"/>
        <v>1.0682447123141398E-12</v>
      </c>
      <c r="Q154" s="22">
        <f t="shared" ref="Q154:Q203" si="162">(O154+P154)*0.475*44/12</f>
        <v>1.978932943548152E-12</v>
      </c>
      <c r="R154" s="62">
        <f t="shared" si="109"/>
        <v>293.3333333333353</v>
      </c>
      <c r="S154" s="62">
        <f ca="1">AVERAGE(OFFSET($R$3,0,0,'Données projet'!$E$9+1,1))-AVERAGE(OFFSET($H$3,0,0,'Données projet'!$E$9+1,1))</f>
        <v>147.72913422715322</v>
      </c>
      <c r="T154" s="62">
        <f t="shared" si="142"/>
        <v>361.07991692964799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4.8550060477740864</v>
      </c>
      <c r="AA154" s="23">
        <f>EXP(-LN(2)/25)*AA153+(1-EXP(-LN(2)/25))/(LN(2)/25)*Calculateur!V154*Calculateur!X154*VLOOKUP('Données projet'!$B$9,Paramètres!$A$1:$I$89,3,0)*0.475*44/12</f>
        <v>1.5344826692804632</v>
      </c>
      <c r="AB154" s="23">
        <f>EXP(-LN(2)/2)*AB153+(1-EXP(-LN(2)/2))/(LN(2)/2)*V154*Y154*VLOOKUP('Données projet'!$B$9,Paramètres!$A$1:$I$89,3,0)*0.475*44/12</f>
        <v>2.6720633716484566E-17</v>
      </c>
      <c r="AC154" s="24">
        <f t="shared" ref="AC154:AC203" si="163">SUM(Z154:AB154)</f>
        <v>6.3894887170545491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1.1368683772161603E-13</v>
      </c>
      <c r="O155" s="14">
        <f>N155*VLOOKUP('Données projet'!$B$9,Paramètres!$A$1:$I$89,3,0)*VLOOKUP('Données projet'!$B$9,Paramètres!$A$1:$I$89,5,0)</f>
        <v>6.7984728957526396E-14</v>
      </c>
      <c r="P155" s="14">
        <f t="shared" si="141"/>
        <v>1.0682447123141398E-12</v>
      </c>
      <c r="Q155" s="22">
        <f t="shared" si="162"/>
        <v>1.978932943548152E-12</v>
      </c>
      <c r="R155" s="62">
        <f t="shared" si="109"/>
        <v>293.3333333333353</v>
      </c>
      <c r="S155" s="62">
        <f ca="1">AVERAGE(OFFSET($R$3,0,0,'Données projet'!$E$9+1,1))-AVERAGE(OFFSET($H$3,0,0,'Données projet'!$E$9+1,1))</f>
        <v>147.72913422715322</v>
      </c>
      <c r="T155" s="62">
        <f t="shared" si="142"/>
        <v>361.07991692964799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4.759802340438525</v>
      </c>
      <c r="AA155" s="23">
        <f>EXP(-LN(2)/25)*AA154+(1-EXP(-LN(2)/25))/(LN(2)/25)*Calculateur!V155*Calculateur!X155*VLOOKUP('Données projet'!$B$9,Paramètres!$A$1:$I$89,3,0)*0.475*44/12</f>
        <v>1.4925221599940524</v>
      </c>
      <c r="AB155" s="23">
        <f>EXP(-LN(2)/2)*AB154+(1-EXP(-LN(2)/2))/(LN(2)/2)*V155*Y155*VLOOKUP('Données projet'!$B$9,Paramètres!$A$1:$I$89,3,0)*0.475*44/12</f>
        <v>1.8894341298528136E-17</v>
      </c>
      <c r="AC155" s="24">
        <f t="shared" si="163"/>
        <v>6.2523245004325769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1.1368683772161603E-13</v>
      </c>
      <c r="O156" s="14">
        <f>N156*VLOOKUP('Données projet'!$B$9,Paramètres!$A$1:$I$89,3,0)*VLOOKUP('Données projet'!$B$9,Paramètres!$A$1:$I$89,5,0)</f>
        <v>6.7984728957526396E-14</v>
      </c>
      <c r="P156" s="14">
        <f t="shared" si="141"/>
        <v>1.0682447123141398E-12</v>
      </c>
      <c r="Q156" s="22">
        <f t="shared" si="162"/>
        <v>1.978932943548152E-12</v>
      </c>
      <c r="R156" s="62">
        <f t="shared" si="109"/>
        <v>293.3333333333353</v>
      </c>
      <c r="S156" s="62">
        <f ca="1">AVERAGE(OFFSET($R$3,0,0,'Données projet'!$E$9+1,1))-AVERAGE(OFFSET($H$3,0,0,'Données projet'!$E$9+1,1))</f>
        <v>147.72913422715322</v>
      </c>
      <c r="T156" s="62">
        <f t="shared" si="142"/>
        <v>361.07991692964799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4.6664655197352864</v>
      </c>
      <c r="AA156" s="23">
        <f>EXP(-LN(2)/25)*AA155+(1-EXP(-LN(2)/25))/(LN(2)/25)*Calculateur!V156*Calculateur!X156*VLOOKUP('Données projet'!$B$9,Paramètres!$A$1:$I$89,3,0)*0.475*44/12</f>
        <v>1.4517090630406857</v>
      </c>
      <c r="AB156" s="23">
        <f>EXP(-LN(2)/2)*AB155+(1-EXP(-LN(2)/2))/(LN(2)/2)*V156*Y156*VLOOKUP('Données projet'!$B$9,Paramètres!$A$1:$I$89,3,0)*0.475*44/12</f>
        <v>1.3360316858242283E-17</v>
      </c>
      <c r="AC156" s="24">
        <f t="shared" si="163"/>
        <v>6.1181745827759721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1.1368683772161603E-13</v>
      </c>
      <c r="O157" s="14">
        <f>N157*VLOOKUP('Données projet'!$B$9,Paramètres!$A$1:$I$89,3,0)*VLOOKUP('Données projet'!$B$9,Paramètres!$A$1:$I$89,5,0)</f>
        <v>6.7984728957526396E-14</v>
      </c>
      <c r="P157" s="14">
        <f t="shared" si="141"/>
        <v>1.0682447123141398E-12</v>
      </c>
      <c r="Q157" s="22">
        <f t="shared" si="162"/>
        <v>1.978932943548152E-12</v>
      </c>
      <c r="R157" s="62">
        <f t="shared" si="109"/>
        <v>293.3333333333353</v>
      </c>
      <c r="S157" s="62">
        <f ca="1">AVERAGE(OFFSET($R$3,0,0,'Données projet'!$E$9+1,1))-AVERAGE(OFFSET($H$3,0,0,'Données projet'!$E$9+1,1))</f>
        <v>147.72913422715322</v>
      </c>
      <c r="T157" s="62">
        <f t="shared" si="142"/>
        <v>361.07991692964799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4.5749589771561991</v>
      </c>
      <c r="AA157" s="23">
        <f>EXP(-LN(2)/25)*AA156+(1-EXP(-LN(2)/25))/(LN(2)/25)*Calculateur!V157*Calculateur!X157*VLOOKUP('Données projet'!$B$9,Paramètres!$A$1:$I$89,3,0)*0.475*44/12</f>
        <v>1.4120120023697764</v>
      </c>
      <c r="AB157" s="23">
        <f>EXP(-LN(2)/2)*AB156+(1-EXP(-LN(2)/2))/(LN(2)/2)*V157*Y157*VLOOKUP('Données projet'!$B$9,Paramètres!$A$1:$I$89,3,0)*0.475*44/12</f>
        <v>9.447170649264068E-18</v>
      </c>
      <c r="AC157" s="24">
        <f t="shared" si="163"/>
        <v>5.9869709795259753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1.1368683772161603E-13</v>
      </c>
      <c r="O158" s="14">
        <f>N158*VLOOKUP('Données projet'!$B$9,Paramètres!$A$1:$I$89,3,0)*VLOOKUP('Données projet'!$B$9,Paramètres!$A$1:$I$89,5,0)</f>
        <v>6.7984728957526396E-14</v>
      </c>
      <c r="P158" s="14">
        <f t="shared" si="141"/>
        <v>1.0682447123141398E-12</v>
      </c>
      <c r="Q158" s="22">
        <f t="shared" si="162"/>
        <v>1.978932943548152E-12</v>
      </c>
      <c r="R158" s="62">
        <f t="shared" si="109"/>
        <v>293.3333333333353</v>
      </c>
      <c r="S158" s="62">
        <f ca="1">AVERAGE(OFFSET($R$3,0,0,'Données projet'!$E$9+1,1))-AVERAGE(OFFSET($H$3,0,0,'Données projet'!$E$9+1,1))</f>
        <v>147.72913422715322</v>
      </c>
      <c r="T158" s="62">
        <f t="shared" si="142"/>
        <v>361.07991692964799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4.4852468220636084</v>
      </c>
      <c r="AA158" s="23">
        <f>EXP(-LN(2)/25)*AA157+(1-EXP(-LN(2)/25))/(LN(2)/25)*Calculateur!V158*Calculateur!X158*VLOOKUP('Données projet'!$B$9,Paramètres!$A$1:$I$89,3,0)*0.475*44/12</f>
        <v>1.373400459910491</v>
      </c>
      <c r="AB158" s="23">
        <f>EXP(-LN(2)/2)*AB157+(1-EXP(-LN(2)/2))/(LN(2)/2)*V158*Y158*VLOOKUP('Données projet'!$B$9,Paramètres!$A$1:$I$89,3,0)*0.475*44/12</f>
        <v>6.6801584291211415E-18</v>
      </c>
      <c r="AC158" s="24">
        <f t="shared" si="163"/>
        <v>5.8586472819740996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1.1368683772161603E-13</v>
      </c>
      <c r="O159" s="14">
        <f>N159*VLOOKUP('Données projet'!$B$9,Paramètres!$A$1:$I$89,3,0)*VLOOKUP('Données projet'!$B$9,Paramètres!$A$1:$I$89,5,0)</f>
        <v>6.7984728957526396E-14</v>
      </c>
      <c r="P159" s="14">
        <f t="shared" si="141"/>
        <v>1.0682447123141398E-12</v>
      </c>
      <c r="Q159" s="22">
        <f t="shared" si="162"/>
        <v>1.978932943548152E-12</v>
      </c>
      <c r="R159" s="62">
        <f t="shared" si="109"/>
        <v>293.3333333333353</v>
      </c>
      <c r="S159" s="62">
        <f ca="1">AVERAGE(OFFSET($R$3,0,0,'Données projet'!$E$9+1,1))-AVERAGE(OFFSET($H$3,0,0,'Données projet'!$E$9+1,1))</f>
        <v>147.72913422715322</v>
      </c>
      <c r="T159" s="62">
        <f t="shared" si="142"/>
        <v>361.07991692964799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4.3972938676133717</v>
      </c>
      <c r="AA159" s="23">
        <f>EXP(-LN(2)/25)*AA158+(1-EXP(-LN(2)/25))/(LN(2)/25)*Calculateur!V159*Calculateur!X159*VLOOKUP('Données projet'!$B$9,Paramètres!$A$1:$I$89,3,0)*0.475*44/12</f>
        <v>1.3358447521102474</v>
      </c>
      <c r="AB159" s="23">
        <f>EXP(-LN(2)/2)*AB158+(1-EXP(-LN(2)/2))/(LN(2)/2)*V159*Y159*VLOOKUP('Données projet'!$B$9,Paramètres!$A$1:$I$89,3,0)*0.475*44/12</f>
        <v>4.723585324632034E-18</v>
      </c>
      <c r="AC159" s="24">
        <f t="shared" si="163"/>
        <v>5.7331386197236194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1.1368683772161603E-13</v>
      </c>
      <c r="O160" s="14">
        <f>N160*VLOOKUP('Données projet'!$B$9,Paramètres!$A$1:$I$89,3,0)*VLOOKUP('Données projet'!$B$9,Paramètres!$A$1:$I$89,5,0)</f>
        <v>6.7984728957526396E-14</v>
      </c>
      <c r="P160" s="14">
        <f t="shared" si="141"/>
        <v>1.0682447123141398E-12</v>
      </c>
      <c r="Q160" s="22">
        <f t="shared" si="162"/>
        <v>1.978932943548152E-12</v>
      </c>
      <c r="R160" s="62">
        <f t="shared" si="109"/>
        <v>293.3333333333353</v>
      </c>
      <c r="S160" s="62">
        <f ca="1">AVERAGE(OFFSET($R$3,0,0,'Données projet'!$E$9+1,1))-AVERAGE(OFFSET($H$3,0,0,'Données projet'!$E$9+1,1))</f>
        <v>147.72913422715322</v>
      </c>
      <c r="T160" s="62">
        <f t="shared" si="142"/>
        <v>361.07991692964799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4.3110656169538988</v>
      </c>
      <c r="AA160" s="23">
        <f>EXP(-LN(2)/25)*AA159+(1-EXP(-LN(2)/25))/(LN(2)/25)*Calculateur!V160*Calculateur!X160*VLOOKUP('Données projet'!$B$9,Paramètres!$A$1:$I$89,3,0)*0.475*44/12</f>
        <v>1.2993160071147702</v>
      </c>
      <c r="AB160" s="23">
        <f>EXP(-LN(2)/2)*AB159+(1-EXP(-LN(2)/2))/(LN(2)/2)*V160*Y160*VLOOKUP('Données projet'!$B$9,Paramètres!$A$1:$I$89,3,0)*0.475*44/12</f>
        <v>3.3400792145605707E-18</v>
      </c>
      <c r="AC160" s="24">
        <f t="shared" si="163"/>
        <v>5.610381624068669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1.1368683772161603E-13</v>
      </c>
      <c r="O161" s="14">
        <f>N161*VLOOKUP('Données projet'!$B$9,Paramètres!$A$1:$I$89,3,0)*VLOOKUP('Données projet'!$B$9,Paramètres!$A$1:$I$89,5,0)</f>
        <v>6.7984728957526396E-14</v>
      </c>
      <c r="P161" s="14">
        <f t="shared" si="141"/>
        <v>1.0682447123141398E-12</v>
      </c>
      <c r="Q161" s="22">
        <f t="shared" si="162"/>
        <v>1.978932943548152E-12</v>
      </c>
      <c r="R161" s="62">
        <f t="shared" si="109"/>
        <v>293.3333333333353</v>
      </c>
      <c r="S161" s="62">
        <f ca="1">AVERAGE(OFFSET($R$3,0,0,'Données projet'!$E$9+1,1))-AVERAGE(OFFSET($H$3,0,0,'Données projet'!$E$9+1,1))</f>
        <v>147.72913422715322</v>
      </c>
      <c r="T161" s="62">
        <f t="shared" si="142"/>
        <v>361.07991692964799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4.2265282496958188</v>
      </c>
      <c r="AA161" s="23">
        <f>EXP(-LN(2)/25)*AA160+(1-EXP(-LN(2)/25))/(LN(2)/25)*Calculateur!V161*Calculateur!X161*VLOOKUP('Données projet'!$B$9,Paramètres!$A$1:$I$89,3,0)*0.475*44/12</f>
        <v>1.2637861425721577</v>
      </c>
      <c r="AB161" s="23">
        <f>EXP(-LN(2)/2)*AB160+(1-EXP(-LN(2)/2))/(LN(2)/2)*V161*Y161*VLOOKUP('Données projet'!$B$9,Paramètres!$A$1:$I$89,3,0)*0.475*44/12</f>
        <v>2.361792662316017E-18</v>
      </c>
      <c r="AC161" s="24">
        <f t="shared" si="163"/>
        <v>5.490314392267976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1.1368683772161603E-13</v>
      </c>
      <c r="O162" s="14">
        <f>N162*VLOOKUP('Données projet'!$B$9,Paramètres!$A$1:$I$89,3,0)*VLOOKUP('Données projet'!$B$9,Paramètres!$A$1:$I$89,5,0)</f>
        <v>6.7984728957526396E-14</v>
      </c>
      <c r="P162" s="14">
        <f t="shared" si="141"/>
        <v>1.0682447123141398E-12</v>
      </c>
      <c r="Q162" s="22">
        <f t="shared" si="162"/>
        <v>1.978932943548152E-12</v>
      </c>
      <c r="R162" s="62">
        <f t="shared" si="109"/>
        <v>293.3333333333353</v>
      </c>
      <c r="S162" s="62">
        <f ca="1">AVERAGE(OFFSET($R$3,0,0,'Données projet'!$E$9+1,1))-AVERAGE(OFFSET($H$3,0,0,'Données projet'!$E$9+1,1))</f>
        <v>147.72913422715322</v>
      </c>
      <c r="T162" s="62">
        <f t="shared" si="142"/>
        <v>361.07991692964799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4.1436486086469673</v>
      </c>
      <c r="AA162" s="23">
        <f>EXP(-LN(2)/25)*AA161+(1-EXP(-LN(2)/25))/(LN(2)/25)*Calculateur!V162*Calculateur!X162*VLOOKUP('Données projet'!$B$9,Paramètres!$A$1:$I$89,3,0)*0.475*44/12</f>
        <v>1.2292278440438973</v>
      </c>
      <c r="AB162" s="23">
        <f>EXP(-LN(2)/2)*AB161+(1-EXP(-LN(2)/2))/(LN(2)/2)*V162*Y162*VLOOKUP('Données projet'!$B$9,Paramètres!$A$1:$I$89,3,0)*0.475*44/12</f>
        <v>1.6700396072802854E-18</v>
      </c>
      <c r="AC162" s="24">
        <f t="shared" si="163"/>
        <v>5.3728764526908641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1.1368683772161603E-13</v>
      </c>
      <c r="O163" s="14">
        <f>N163*VLOOKUP('Données projet'!$B$9,Paramètres!$A$1:$I$89,3,0)*VLOOKUP('Données projet'!$B$9,Paramètres!$A$1:$I$89,5,0)</f>
        <v>6.7984728957526396E-14</v>
      </c>
      <c r="P163" s="14">
        <f t="shared" si="141"/>
        <v>1.0682447123141398E-12</v>
      </c>
      <c r="Q163" s="22">
        <f t="shared" si="162"/>
        <v>1.978932943548152E-12</v>
      </c>
      <c r="R163" s="62">
        <f t="shared" si="109"/>
        <v>293.3333333333353</v>
      </c>
      <c r="S163" s="62">
        <f ca="1">AVERAGE(OFFSET($R$3,0,0,'Données projet'!$E$9+1,1))-AVERAGE(OFFSET($H$3,0,0,'Données projet'!$E$9+1,1))</f>
        <v>147.72913422715322</v>
      </c>
      <c r="T163" s="62">
        <f t="shared" si="142"/>
        <v>361.07991692964799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4.0623941868074942</v>
      </c>
      <c r="AA163" s="23">
        <f>EXP(-LN(2)/25)*AA162+(1-EXP(-LN(2)/25))/(LN(2)/25)*Calculateur!V163*Calculateur!X163*VLOOKUP('Données projet'!$B$9,Paramètres!$A$1:$I$89,3,0)*0.475*44/12</f>
        <v>1.195614544006234</v>
      </c>
      <c r="AB163" s="23">
        <f>EXP(-LN(2)/2)*AB162+(1-EXP(-LN(2)/2))/(LN(2)/2)*V163*Y163*VLOOKUP('Données projet'!$B$9,Paramètres!$A$1:$I$89,3,0)*0.475*44/12</f>
        <v>1.1808963311580085E-18</v>
      </c>
      <c r="AC163" s="24">
        <f t="shared" si="163"/>
        <v>5.258008730813728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1.1368683772161603E-13</v>
      </c>
      <c r="O164" s="14">
        <f>N164*VLOOKUP('Données projet'!$B$9,Paramètres!$A$1:$I$89,3,0)*VLOOKUP('Données projet'!$B$9,Paramètres!$A$1:$I$89,5,0)</f>
        <v>6.7984728957526396E-14</v>
      </c>
      <c r="P164" s="14">
        <f t="shared" si="141"/>
        <v>1.0682447123141398E-12</v>
      </c>
      <c r="Q164" s="22">
        <f t="shared" si="162"/>
        <v>1.978932943548152E-12</v>
      </c>
      <c r="R164" s="62">
        <f t="shared" si="109"/>
        <v>293.3333333333353</v>
      </c>
      <c r="S164" s="62">
        <f ca="1">AVERAGE(OFFSET($R$3,0,0,'Données projet'!$E$9+1,1))-AVERAGE(OFFSET($H$3,0,0,'Données projet'!$E$9+1,1))</f>
        <v>147.72913422715322</v>
      </c>
      <c r="T164" s="62">
        <f t="shared" si="142"/>
        <v>361.07991692964799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3.9827331146199891</v>
      </c>
      <c r="AA164" s="23">
        <f>EXP(-LN(2)/25)*AA163+(1-EXP(-LN(2)/25))/(LN(2)/25)*Calculateur!V164*Calculateur!X164*VLOOKUP('Données projet'!$B$9,Paramètres!$A$1:$I$89,3,0)*0.475*44/12</f>
        <v>1.1629204014257473</v>
      </c>
      <c r="AB164" s="23">
        <f>EXP(-LN(2)/2)*AB163+(1-EXP(-LN(2)/2))/(LN(2)/2)*V164*Y164*VLOOKUP('Données projet'!$B$9,Paramètres!$A$1:$I$89,3,0)*0.475*44/12</f>
        <v>8.3501980364014269E-19</v>
      </c>
      <c r="AC164" s="24">
        <f t="shared" si="163"/>
        <v>5.1456535160457362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1.1368683772161603E-13</v>
      </c>
      <c r="O165" s="14">
        <f>N165*VLOOKUP('Données projet'!$B$9,Paramètres!$A$1:$I$89,3,0)*VLOOKUP('Données projet'!$B$9,Paramètres!$A$1:$I$89,5,0)</f>
        <v>6.7984728957526396E-14</v>
      </c>
      <c r="P165" s="14">
        <f t="shared" si="141"/>
        <v>1.0682447123141398E-12</v>
      </c>
      <c r="Q165" s="22">
        <f t="shared" si="162"/>
        <v>1.978932943548152E-12</v>
      </c>
      <c r="R165" s="62">
        <f t="shared" si="109"/>
        <v>293.3333333333353</v>
      </c>
      <c r="S165" s="62">
        <f ca="1">AVERAGE(OFFSET($R$3,0,0,'Données projet'!$E$9+1,1))-AVERAGE(OFFSET($H$3,0,0,'Données projet'!$E$9+1,1))</f>
        <v>147.72913422715322</v>
      </c>
      <c r="T165" s="62">
        <f t="shared" si="142"/>
        <v>361.07991692964799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3.9046341474696247</v>
      </c>
      <c r="AA165" s="23">
        <f>EXP(-LN(2)/25)*AA164+(1-EXP(-LN(2)/25))/(LN(2)/25)*Calculateur!V165*Calculateur!X165*VLOOKUP('Données projet'!$B$9,Paramètres!$A$1:$I$89,3,0)*0.475*44/12</f>
        <v>1.1311202818934343</v>
      </c>
      <c r="AB165" s="23">
        <f>EXP(-LN(2)/2)*AB164+(1-EXP(-LN(2)/2))/(LN(2)/2)*V165*Y165*VLOOKUP('Données projet'!$B$9,Paramètres!$A$1:$I$89,3,0)*0.475*44/12</f>
        <v>5.9044816557900425E-19</v>
      </c>
      <c r="AC165" s="24">
        <f t="shared" si="163"/>
        <v>5.0357544293630587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1.1368683772161603E-13</v>
      </c>
      <c r="O166" s="14">
        <f>N166*VLOOKUP('Données projet'!$B$9,Paramètres!$A$1:$I$89,3,0)*VLOOKUP('Données projet'!$B$9,Paramètres!$A$1:$I$89,5,0)</f>
        <v>6.7984728957526396E-14</v>
      </c>
      <c r="P166" s="14">
        <f t="shared" si="141"/>
        <v>1.0682447123141398E-12</v>
      </c>
      <c r="Q166" s="22">
        <f t="shared" si="162"/>
        <v>1.978932943548152E-12</v>
      </c>
      <c r="R166" s="62">
        <f t="shared" si="109"/>
        <v>293.3333333333353</v>
      </c>
      <c r="S166" s="62">
        <f ca="1">AVERAGE(OFFSET($R$3,0,0,'Données projet'!$E$9+1,1))-AVERAGE(OFFSET($H$3,0,0,'Données projet'!$E$9+1,1))</f>
        <v>147.72913422715322</v>
      </c>
      <c r="T166" s="62">
        <f t="shared" si="142"/>
        <v>361.07991692964799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3.8280666534294125</v>
      </c>
      <c r="AA166" s="23">
        <f>EXP(-LN(2)/25)*AA165+(1-EXP(-LN(2)/25))/(LN(2)/25)*Calculateur!V166*Calculateur!X166*VLOOKUP('Données projet'!$B$9,Paramètres!$A$1:$I$89,3,0)*0.475*44/12</f>
        <v>1.1001897383020278</v>
      </c>
      <c r="AB166" s="23">
        <f>EXP(-LN(2)/2)*AB165+(1-EXP(-LN(2)/2))/(LN(2)/2)*V166*Y166*VLOOKUP('Données projet'!$B$9,Paramètres!$A$1:$I$89,3,0)*0.475*44/12</f>
        <v>4.1750990182007134E-19</v>
      </c>
      <c r="AC166" s="24">
        <f t="shared" si="163"/>
        <v>4.9282563917314404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1.1368683772161603E-13</v>
      </c>
      <c r="O167" s="14">
        <f>N167*VLOOKUP('Données projet'!$B$9,Paramètres!$A$1:$I$89,3,0)*VLOOKUP('Données projet'!$B$9,Paramètres!$A$1:$I$89,5,0)</f>
        <v>6.7984728957526396E-14</v>
      </c>
      <c r="P167" s="14">
        <f t="shared" si="141"/>
        <v>1.0682447123141398E-12</v>
      </c>
      <c r="Q167" s="22">
        <f t="shared" si="162"/>
        <v>1.978932943548152E-12</v>
      </c>
      <c r="R167" s="62">
        <f t="shared" si="109"/>
        <v>293.3333333333353</v>
      </c>
      <c r="S167" s="62">
        <f ca="1">AVERAGE(OFFSET($R$3,0,0,'Données projet'!$E$9+1,1))-AVERAGE(OFFSET($H$3,0,0,'Données projet'!$E$9+1,1))</f>
        <v>147.72913422715322</v>
      </c>
      <c r="T167" s="62">
        <f t="shared" si="142"/>
        <v>361.07991692964799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3.7530006012457693</v>
      </c>
      <c r="AA167" s="23">
        <f>EXP(-LN(2)/25)*AA166+(1-EXP(-LN(2)/25))/(LN(2)/25)*Calculateur!V167*Calculateur!X167*VLOOKUP('Données projet'!$B$9,Paramètres!$A$1:$I$89,3,0)*0.475*44/12</f>
        <v>1.070104992051695</v>
      </c>
      <c r="AB167" s="23">
        <f>EXP(-LN(2)/2)*AB166+(1-EXP(-LN(2)/2))/(LN(2)/2)*V167*Y167*VLOOKUP('Données projet'!$B$9,Paramètres!$A$1:$I$89,3,0)*0.475*44/12</f>
        <v>2.9522408278950212E-19</v>
      </c>
      <c r="AC167" s="24">
        <f t="shared" si="163"/>
        <v>4.8231055932974645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1.1368683772161603E-13</v>
      </c>
      <c r="O168" s="14">
        <f>N168*VLOOKUP('Données projet'!$B$9,Paramètres!$A$1:$I$89,3,0)*VLOOKUP('Données projet'!$B$9,Paramètres!$A$1:$I$89,5,0)</f>
        <v>6.7984728957526396E-14</v>
      </c>
      <c r="P168" s="14">
        <f t="shared" si="141"/>
        <v>1.0682447123141398E-12</v>
      </c>
      <c r="Q168" s="22">
        <f t="shared" si="162"/>
        <v>1.978932943548152E-12</v>
      </c>
      <c r="R168" s="62">
        <f t="shared" si="109"/>
        <v>293.3333333333353</v>
      </c>
      <c r="S168" s="62">
        <f ca="1">AVERAGE(OFFSET($R$3,0,0,'Données projet'!$E$9+1,1))-AVERAGE(OFFSET($H$3,0,0,'Données projet'!$E$9+1,1))</f>
        <v>147.72913422715322</v>
      </c>
      <c r="T168" s="62">
        <f t="shared" si="142"/>
        <v>361.07991692964799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3.6794065485596761</v>
      </c>
      <c r="AA168" s="23">
        <f>EXP(-LN(2)/25)*AA167+(1-EXP(-LN(2)/25))/(LN(2)/25)*Calculateur!V168*Calculateur!X168*VLOOKUP('Données projet'!$B$9,Paramètres!$A$1:$I$89,3,0)*0.475*44/12</f>
        <v>1.0408429147696656</v>
      </c>
      <c r="AB168" s="23">
        <f>EXP(-LN(2)/2)*AB167+(1-EXP(-LN(2)/2))/(LN(2)/2)*V168*Y168*VLOOKUP('Données projet'!$B$9,Paramètres!$A$1:$I$89,3,0)*0.475*44/12</f>
        <v>2.0875495091003567E-19</v>
      </c>
      <c r="AC168" s="24">
        <f t="shared" si="163"/>
        <v>4.7202494633293419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1.1368683772161603E-13</v>
      </c>
      <c r="O169" s="14">
        <f>N169*VLOOKUP('Données projet'!$B$9,Paramètres!$A$1:$I$89,3,0)*VLOOKUP('Données projet'!$B$9,Paramètres!$A$1:$I$89,5,0)</f>
        <v>6.7984728957526396E-14</v>
      </c>
      <c r="P169" s="14">
        <f t="shared" si="141"/>
        <v>1.0682447123141398E-12</v>
      </c>
      <c r="Q169" s="22">
        <f t="shared" si="162"/>
        <v>1.978932943548152E-12</v>
      </c>
      <c r="R169" s="62">
        <f t="shared" si="109"/>
        <v>293.3333333333353</v>
      </c>
      <c r="S169" s="62">
        <f ca="1">AVERAGE(OFFSET($R$3,0,0,'Données projet'!$E$9+1,1))-AVERAGE(OFFSET($H$3,0,0,'Données projet'!$E$9+1,1))</f>
        <v>147.72913422715322</v>
      </c>
      <c r="T169" s="62">
        <f t="shared" si="142"/>
        <v>361.07991692964799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3.6072556303588175</v>
      </c>
      <c r="AA169" s="23">
        <f>EXP(-LN(2)/25)*AA168+(1-EXP(-LN(2)/25))/(LN(2)/25)*Calculateur!V169*Calculateur!X169*VLOOKUP('Données projet'!$B$9,Paramètres!$A$1:$I$89,3,0)*0.475*44/12</f>
        <v>1.0123810105297391</v>
      </c>
      <c r="AB169" s="23">
        <f>EXP(-LN(2)/2)*AB168+(1-EXP(-LN(2)/2))/(LN(2)/2)*V169*Y169*VLOOKUP('Données projet'!$B$9,Paramètres!$A$1:$I$89,3,0)*0.475*44/12</f>
        <v>1.4761204139475106E-19</v>
      </c>
      <c r="AC169" s="24">
        <f t="shared" si="163"/>
        <v>4.6196366408885563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1.1368683772161603E-13</v>
      </c>
      <c r="O170" s="14">
        <f>N170*VLOOKUP('Données projet'!$B$9,Paramètres!$A$1:$I$89,3,0)*VLOOKUP('Données projet'!$B$9,Paramètres!$A$1:$I$89,5,0)</f>
        <v>6.7984728957526396E-14</v>
      </c>
      <c r="P170" s="14">
        <f t="shared" si="141"/>
        <v>1.0682447123141398E-12</v>
      </c>
      <c r="Q170" s="22">
        <f t="shared" si="162"/>
        <v>1.978932943548152E-12</v>
      </c>
      <c r="R170" s="62">
        <f t="shared" si="109"/>
        <v>293.3333333333353</v>
      </c>
      <c r="S170" s="62">
        <f ca="1">AVERAGE(OFFSET($R$3,0,0,'Données projet'!$E$9+1,1))-AVERAGE(OFFSET($H$3,0,0,'Données projet'!$E$9+1,1))</f>
        <v>147.72913422715322</v>
      </c>
      <c r="T170" s="62">
        <f t="shared" si="142"/>
        <v>361.07991692964799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3.5365195476561628</v>
      </c>
      <c r="AA170" s="23">
        <f>EXP(-LN(2)/25)*AA169+(1-EXP(-LN(2)/25))/(LN(2)/25)*Calculateur!V170*Calculateur!X170*VLOOKUP('Données projet'!$B$9,Paramètres!$A$1:$I$89,3,0)*0.475*44/12</f>
        <v>0.98469739855799987</v>
      </c>
      <c r="AB170" s="23">
        <f>EXP(-LN(2)/2)*AB169+(1-EXP(-LN(2)/2))/(LN(2)/2)*V170*Y170*VLOOKUP('Données projet'!$B$9,Paramètres!$A$1:$I$89,3,0)*0.475*44/12</f>
        <v>1.0437747545501784E-19</v>
      </c>
      <c r="AC170" s="24">
        <f t="shared" si="163"/>
        <v>4.5212169462141629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1.1368683772161603E-13</v>
      </c>
      <c r="O171" s="14">
        <f>N171*VLOOKUP('Données projet'!$B$9,Paramètres!$A$1:$I$89,3,0)*VLOOKUP('Données projet'!$B$9,Paramètres!$A$1:$I$89,5,0)</f>
        <v>6.7984728957526396E-14</v>
      </c>
      <c r="P171" s="14">
        <f t="shared" si="141"/>
        <v>1.0682447123141398E-12</v>
      </c>
      <c r="Q171" s="22">
        <f t="shared" si="162"/>
        <v>1.978932943548152E-12</v>
      </c>
      <c r="R171" s="62">
        <f t="shared" si="109"/>
        <v>293.3333333333353</v>
      </c>
      <c r="S171" s="62">
        <f ca="1">AVERAGE(OFFSET($R$3,0,0,'Données projet'!$E$9+1,1))-AVERAGE(OFFSET($H$3,0,0,'Données projet'!$E$9+1,1))</f>
        <v>147.72913422715322</v>
      </c>
      <c r="T171" s="62">
        <f t="shared" si="142"/>
        <v>361.07991692964799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3.467170556390557</v>
      </c>
      <c r="AA171" s="23">
        <f>EXP(-LN(2)/25)*AA170+(1-EXP(-LN(2)/25))/(LN(2)/25)*Calculateur!V171*Calculateur!X171*VLOOKUP('Données projet'!$B$9,Paramètres!$A$1:$I$89,3,0)*0.475*44/12</f>
        <v>0.95777079641144569</v>
      </c>
      <c r="AB171" s="23">
        <f>EXP(-LN(2)/2)*AB170+(1-EXP(-LN(2)/2))/(LN(2)/2)*V171*Y171*VLOOKUP('Données projet'!$B$9,Paramètres!$A$1:$I$89,3,0)*0.475*44/12</f>
        <v>7.3806020697375531E-20</v>
      </c>
      <c r="AC171" s="24">
        <f t="shared" si="163"/>
        <v>4.4249413528020032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1.1368683772161603E-13</v>
      </c>
      <c r="O172" s="14">
        <f>N172*VLOOKUP('Données projet'!$B$9,Paramètres!$A$1:$I$89,3,0)*VLOOKUP('Données projet'!$B$9,Paramètres!$A$1:$I$89,5,0)</f>
        <v>6.7984728957526396E-14</v>
      </c>
      <c r="P172" s="14">
        <f t="shared" si="141"/>
        <v>1.0682447123141398E-12</v>
      </c>
      <c r="Q172" s="22">
        <f t="shared" si="162"/>
        <v>1.978932943548152E-12</v>
      </c>
      <c r="R172" s="62">
        <f t="shared" si="109"/>
        <v>293.3333333333353</v>
      </c>
      <c r="S172" s="62">
        <f ca="1">AVERAGE(OFFSET($R$3,0,0,'Données projet'!$E$9+1,1))-AVERAGE(OFFSET($H$3,0,0,'Données projet'!$E$9+1,1))</f>
        <v>147.72913422715322</v>
      </c>
      <c r="T172" s="62">
        <f t="shared" si="142"/>
        <v>361.07991692964799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3.3991814565449618</v>
      </c>
      <c r="AA172" s="23">
        <f>EXP(-LN(2)/25)*AA171+(1-EXP(-LN(2)/25))/(LN(2)/25)*Calculateur!V172*Calculateur!X172*VLOOKUP('Données projet'!$B$9,Paramètres!$A$1:$I$89,3,0)*0.475*44/12</f>
        <v>0.9315805036165975</v>
      </c>
      <c r="AB172" s="23">
        <f>EXP(-LN(2)/2)*AB171+(1-EXP(-LN(2)/2))/(LN(2)/2)*V172*Y172*VLOOKUP('Données projet'!$B$9,Paramètres!$A$1:$I$89,3,0)*0.475*44/12</f>
        <v>5.2188737727508918E-20</v>
      </c>
      <c r="AC172" s="24">
        <f t="shared" si="163"/>
        <v>4.330761960161559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1.1368683772161603E-13</v>
      </c>
      <c r="O173" s="14">
        <f>N173*VLOOKUP('Données projet'!$B$9,Paramètres!$A$1:$I$89,3,0)*VLOOKUP('Données projet'!$B$9,Paramètres!$A$1:$I$89,5,0)</f>
        <v>6.7984728957526396E-14</v>
      </c>
      <c r="P173" s="14">
        <f t="shared" si="141"/>
        <v>1.0682447123141398E-12</v>
      </c>
      <c r="Q173" s="22">
        <f t="shared" si="162"/>
        <v>1.978932943548152E-12</v>
      </c>
      <c r="R173" s="62">
        <f t="shared" si="109"/>
        <v>293.3333333333353</v>
      </c>
      <c r="S173" s="62">
        <f ca="1">AVERAGE(OFFSET($R$3,0,0,'Données projet'!$E$9+1,1))-AVERAGE(OFFSET($H$3,0,0,'Données projet'!$E$9+1,1))</f>
        <v>147.72913422715322</v>
      </c>
      <c r="T173" s="62">
        <f t="shared" si="142"/>
        <v>361.07991692964799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3.3325255814780825</v>
      </c>
      <c r="AA173" s="23">
        <f>EXP(-LN(2)/25)*AA172+(1-EXP(-LN(2)/25))/(LN(2)/25)*Calculateur!V173*Calculateur!X173*VLOOKUP('Données projet'!$B$9,Paramètres!$A$1:$I$89,3,0)*0.475*44/12</f>
        <v>0.90610638575551217</v>
      </c>
      <c r="AB173" s="23">
        <f>EXP(-LN(2)/2)*AB172+(1-EXP(-LN(2)/2))/(LN(2)/2)*V173*Y173*VLOOKUP('Données projet'!$B$9,Paramètres!$A$1:$I$89,3,0)*0.475*44/12</f>
        <v>3.6903010348687766E-20</v>
      </c>
      <c r="AC173" s="24">
        <f t="shared" si="163"/>
        <v>4.2386319672335944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1.1368683772161603E-13</v>
      </c>
      <c r="O174" s="14">
        <f>N174*VLOOKUP('Données projet'!$B$9,Paramètres!$A$1:$I$89,3,0)*VLOOKUP('Données projet'!$B$9,Paramètres!$A$1:$I$89,5,0)</f>
        <v>6.7984728957526396E-14</v>
      </c>
      <c r="P174" s="14">
        <f t="shared" si="141"/>
        <v>1.0682447123141398E-12</v>
      </c>
      <c r="Q174" s="22">
        <f t="shared" si="162"/>
        <v>1.978932943548152E-12</v>
      </c>
      <c r="R174" s="62">
        <f t="shared" si="109"/>
        <v>293.3333333333353</v>
      </c>
      <c r="S174" s="62">
        <f ca="1">AVERAGE(OFFSET($R$3,0,0,'Données projet'!$E$9+1,1))-AVERAGE(OFFSET($H$3,0,0,'Données projet'!$E$9+1,1))</f>
        <v>147.72913422715322</v>
      </c>
      <c r="T174" s="62">
        <f t="shared" si="142"/>
        <v>361.07991692964799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3.2671767874651954</v>
      </c>
      <c r="AA174" s="23">
        <f>EXP(-LN(2)/25)*AA173+(1-EXP(-LN(2)/25))/(LN(2)/25)*Calculateur!V174*Calculateur!X174*VLOOKUP('Données projet'!$B$9,Paramètres!$A$1:$I$89,3,0)*0.475*44/12</f>
        <v>0.88132885898696378</v>
      </c>
      <c r="AB174" s="23">
        <f>EXP(-LN(2)/2)*AB173+(1-EXP(-LN(2)/2))/(LN(2)/2)*V174*Y174*VLOOKUP('Données projet'!$B$9,Paramètres!$A$1:$I$89,3,0)*0.475*44/12</f>
        <v>2.6094368863754459E-20</v>
      </c>
      <c r="AC174" s="24">
        <f t="shared" si="163"/>
        <v>4.1485056464521595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1.1368683772161603E-13</v>
      </c>
      <c r="O175" s="14">
        <f>N175*VLOOKUP('Données projet'!$B$9,Paramètres!$A$1:$I$89,3,0)*VLOOKUP('Données projet'!$B$9,Paramètres!$A$1:$I$89,5,0)</f>
        <v>6.7984728957526396E-14</v>
      </c>
      <c r="P175" s="14">
        <f t="shared" si="141"/>
        <v>1.0682447123141398E-12</v>
      </c>
      <c r="Q175" s="22">
        <f t="shared" si="162"/>
        <v>1.978932943548152E-12</v>
      </c>
      <c r="R175" s="62">
        <f t="shared" si="109"/>
        <v>293.3333333333353</v>
      </c>
      <c r="S175" s="62">
        <f ca="1">AVERAGE(OFFSET($R$3,0,0,'Données projet'!$E$9+1,1))-AVERAGE(OFFSET($H$3,0,0,'Données projet'!$E$9+1,1))</f>
        <v>147.72913422715322</v>
      </c>
      <c r="T175" s="62">
        <f t="shared" si="142"/>
        <v>361.07991692964799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3.2031094434440726</v>
      </c>
      <c r="AA175" s="23">
        <f>EXP(-LN(2)/25)*AA174+(1-EXP(-LN(2)/25))/(LN(2)/25)*Calculateur!V175*Calculateur!X175*VLOOKUP('Données projet'!$B$9,Paramètres!$A$1:$I$89,3,0)*0.475*44/12</f>
        <v>0.85722887499089484</v>
      </c>
      <c r="AB175" s="23">
        <f>EXP(-LN(2)/2)*AB174+(1-EXP(-LN(2)/2))/(LN(2)/2)*V175*Y175*VLOOKUP('Données projet'!$B$9,Paramètres!$A$1:$I$89,3,0)*0.475*44/12</f>
        <v>1.8451505174343883E-20</v>
      </c>
      <c r="AC175" s="24">
        <f t="shared" si="163"/>
        <v>4.0603383184349671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1.1368683772161603E-13</v>
      </c>
      <c r="O176" s="14">
        <f>N176*VLOOKUP('Données projet'!$B$9,Paramètres!$A$1:$I$89,3,0)*VLOOKUP('Données projet'!$B$9,Paramètres!$A$1:$I$89,5,0)</f>
        <v>6.7984728957526396E-14</v>
      </c>
      <c r="P176" s="14">
        <f t="shared" si="141"/>
        <v>1.0682447123141398E-12</v>
      </c>
      <c r="Q176" s="22">
        <f t="shared" si="162"/>
        <v>1.978932943548152E-12</v>
      </c>
      <c r="R176" s="62">
        <f t="shared" si="109"/>
        <v>293.3333333333353</v>
      </c>
      <c r="S176" s="62">
        <f ca="1">AVERAGE(OFFSET($R$3,0,0,'Données projet'!$E$9+1,1))-AVERAGE(OFFSET($H$3,0,0,'Données projet'!$E$9+1,1))</f>
        <v>147.72913422715322</v>
      </c>
      <c r="T176" s="62">
        <f t="shared" si="142"/>
        <v>361.07991692964799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3.1402984209619826</v>
      </c>
      <c r="AA176" s="23">
        <f>EXP(-LN(2)/25)*AA175+(1-EXP(-LN(2)/25))/(LN(2)/25)*Calculateur!V176*Calculateur!X176*VLOOKUP('Données projet'!$B$9,Paramètres!$A$1:$I$89,3,0)*0.475*44/12</f>
        <v>0.83378790632456146</v>
      </c>
      <c r="AB176" s="23">
        <f>EXP(-LN(2)/2)*AB175+(1-EXP(-LN(2)/2))/(LN(2)/2)*V176*Y176*VLOOKUP('Données projet'!$B$9,Paramètres!$A$1:$I$89,3,0)*0.475*44/12</f>
        <v>1.3047184431877229E-20</v>
      </c>
      <c r="AC176" s="24">
        <f t="shared" si="163"/>
        <v>3.9740863272865443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1.1368683772161603E-13</v>
      </c>
      <c r="O177" s="14">
        <f>N177*VLOOKUP('Données projet'!$B$9,Paramètres!$A$1:$I$89,3,0)*VLOOKUP('Données projet'!$B$9,Paramètres!$A$1:$I$89,5,0)</f>
        <v>6.7984728957526396E-14</v>
      </c>
      <c r="P177" s="14">
        <f t="shared" si="141"/>
        <v>1.0682447123141398E-12</v>
      </c>
      <c r="Q177" s="22">
        <f t="shared" si="162"/>
        <v>1.978932943548152E-12</v>
      </c>
      <c r="R177" s="62">
        <f t="shared" si="109"/>
        <v>293.3333333333353</v>
      </c>
      <c r="S177" s="62">
        <f ca="1">AVERAGE(OFFSET($R$3,0,0,'Données projet'!$E$9+1,1))-AVERAGE(OFFSET($H$3,0,0,'Données projet'!$E$9+1,1))</f>
        <v>147.72913422715322</v>
      </c>
      <c r="T177" s="62">
        <f t="shared" si="142"/>
        <v>361.07991692964799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3.0787190843198258</v>
      </c>
      <c r="AA177" s="23">
        <f>EXP(-LN(2)/25)*AA176+(1-EXP(-LN(2)/25))/(LN(2)/25)*Calculateur!V177*Calculateur!X177*VLOOKUP('Données projet'!$B$9,Paramètres!$A$1:$I$89,3,0)*0.475*44/12</f>
        <v>0.81098793217911602</v>
      </c>
      <c r="AB177" s="23">
        <f>EXP(-LN(2)/2)*AB176+(1-EXP(-LN(2)/2))/(LN(2)/2)*V177*Y177*VLOOKUP('Données projet'!$B$9,Paramètres!$A$1:$I$89,3,0)*0.475*44/12</f>
        <v>9.2257525871719414E-21</v>
      </c>
      <c r="AC177" s="24">
        <f t="shared" si="163"/>
        <v>3.8897070164989418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1.1368683772161603E-13</v>
      </c>
      <c r="O178" s="14">
        <f>N178*VLOOKUP('Données projet'!$B$9,Paramètres!$A$1:$I$89,3,0)*VLOOKUP('Données projet'!$B$9,Paramètres!$A$1:$I$89,5,0)</f>
        <v>6.7984728957526396E-14</v>
      </c>
      <c r="P178" s="14">
        <f t="shared" si="141"/>
        <v>1.0682447123141398E-12</v>
      </c>
      <c r="Q178" s="22">
        <f t="shared" si="162"/>
        <v>1.978932943548152E-12</v>
      </c>
      <c r="R178" s="62">
        <f t="shared" si="109"/>
        <v>293.3333333333353</v>
      </c>
      <c r="S178" s="62">
        <f ca="1">AVERAGE(OFFSET($R$3,0,0,'Données projet'!$E$9+1,1))-AVERAGE(OFFSET($H$3,0,0,'Données projet'!$E$9+1,1))</f>
        <v>147.72913422715322</v>
      </c>
      <c r="T178" s="62">
        <f t="shared" si="142"/>
        <v>361.07991692964799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3.0183472809095346</v>
      </c>
      <c r="AA178" s="23">
        <f>EXP(-LN(2)/25)*AA177+(1-EXP(-LN(2)/25))/(LN(2)/25)*Calculateur!V178*Calculateur!X178*VLOOKUP('Données projet'!$B$9,Paramètres!$A$1:$I$89,3,0)*0.475*44/12</f>
        <v>0.78881142452567632</v>
      </c>
      <c r="AB178" s="23">
        <f>EXP(-LN(2)/2)*AB177+(1-EXP(-LN(2)/2))/(LN(2)/2)*V178*Y178*VLOOKUP('Données projet'!$B$9,Paramètres!$A$1:$I$89,3,0)*0.475*44/12</f>
        <v>6.5235922159386147E-21</v>
      </c>
      <c r="AC178" s="24">
        <f t="shared" si="163"/>
        <v>3.807158705435211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1.1368683772161603E-13</v>
      </c>
      <c r="O179" s="14">
        <f>N179*VLOOKUP('Données projet'!$B$9,Paramètres!$A$1:$I$89,3,0)*VLOOKUP('Données projet'!$B$9,Paramètres!$A$1:$I$89,5,0)</f>
        <v>6.7984728957526396E-14</v>
      </c>
      <c r="P179" s="14">
        <f t="shared" si="141"/>
        <v>1.0682447123141398E-12</v>
      </c>
      <c r="Q179" s="22">
        <f t="shared" si="162"/>
        <v>1.978932943548152E-12</v>
      </c>
      <c r="R179" s="62">
        <f t="shared" si="109"/>
        <v>293.3333333333353</v>
      </c>
      <c r="S179" s="62">
        <f ca="1">AVERAGE(OFFSET($R$3,0,0,'Données projet'!$E$9+1,1))-AVERAGE(OFFSET($H$3,0,0,'Données projet'!$E$9+1,1))</f>
        <v>147.72913422715322</v>
      </c>
      <c r="T179" s="62">
        <f t="shared" si="142"/>
        <v>361.07991692964799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2.9591593317409552</v>
      </c>
      <c r="AA179" s="23">
        <f>EXP(-LN(2)/25)*AA178+(1-EXP(-LN(2)/25))/(LN(2)/25)*Calculateur!V179*Calculateur!X179*VLOOKUP('Données projet'!$B$9,Paramètres!$A$1:$I$89,3,0)*0.475*44/12</f>
        <v>0.7672413346402317</v>
      </c>
      <c r="AB179" s="23">
        <f>EXP(-LN(2)/2)*AB178+(1-EXP(-LN(2)/2))/(LN(2)/2)*V179*Y179*VLOOKUP('Données projet'!$B$9,Paramètres!$A$1:$I$89,3,0)*0.475*44/12</f>
        <v>4.6128762935859707E-21</v>
      </c>
      <c r="AC179" s="24">
        <f t="shared" si="163"/>
        <v>3.7264006663811871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1.1368683772161603E-13</v>
      </c>
      <c r="O180" s="14">
        <f>N180*VLOOKUP('Données projet'!$B$9,Paramètres!$A$1:$I$89,3,0)*VLOOKUP('Données projet'!$B$9,Paramètres!$A$1:$I$89,5,0)</f>
        <v>6.7984728957526396E-14</v>
      </c>
      <c r="P180" s="14">
        <f t="shared" si="141"/>
        <v>1.0682447123141398E-12</v>
      </c>
      <c r="Q180" s="22">
        <f t="shared" si="162"/>
        <v>1.978932943548152E-12</v>
      </c>
      <c r="R180" s="62">
        <f t="shared" si="109"/>
        <v>293.3333333333353</v>
      </c>
      <c r="S180" s="62">
        <f ca="1">AVERAGE(OFFSET($R$3,0,0,'Données projet'!$E$9+1,1))-AVERAGE(OFFSET($H$3,0,0,'Données projet'!$E$9+1,1))</f>
        <v>147.72913422715322</v>
      </c>
      <c r="T180" s="62">
        <f t="shared" si="142"/>
        <v>361.07991692964799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2.9011320221544876</v>
      </c>
      <c r="AA180" s="23">
        <f>EXP(-LN(2)/25)*AA179+(1-EXP(-LN(2)/25))/(LN(2)/25)*Calculateur!V180*Calculateur!X180*VLOOKUP('Données projet'!$B$9,Paramètres!$A$1:$I$89,3,0)*0.475*44/12</f>
        <v>0.74626107999702629</v>
      </c>
      <c r="AB180" s="23">
        <f>EXP(-LN(2)/2)*AB179+(1-EXP(-LN(2)/2))/(LN(2)/2)*V180*Y180*VLOOKUP('Données projet'!$B$9,Paramètres!$A$1:$I$89,3,0)*0.475*44/12</f>
        <v>3.2617961079693074E-21</v>
      </c>
      <c r="AC180" s="24">
        <f t="shared" si="163"/>
        <v>3.647393102151514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1.1368683772161603E-13</v>
      </c>
      <c r="O181" s="14">
        <f>N181*VLOOKUP('Données projet'!$B$9,Paramètres!$A$1:$I$89,3,0)*VLOOKUP('Données projet'!$B$9,Paramètres!$A$1:$I$89,5,0)</f>
        <v>6.7984728957526396E-14</v>
      </c>
      <c r="P181" s="14">
        <f t="shared" si="141"/>
        <v>1.0682447123141398E-12</v>
      </c>
      <c r="Q181" s="22">
        <f t="shared" si="162"/>
        <v>1.978932943548152E-12</v>
      </c>
      <c r="R181" s="62">
        <f t="shared" si="109"/>
        <v>293.3333333333353</v>
      </c>
      <c r="S181" s="62">
        <f ca="1">AVERAGE(OFFSET($R$3,0,0,'Données projet'!$E$9+1,1))-AVERAGE(OFFSET($H$3,0,0,'Données projet'!$E$9+1,1))</f>
        <v>147.72913422715322</v>
      </c>
      <c r="T181" s="62">
        <f t="shared" si="142"/>
        <v>361.07991692964799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2.8442425927158466</v>
      </c>
      <c r="AA181" s="23">
        <f>EXP(-LN(2)/25)*AA180+(1-EXP(-LN(2)/25))/(LN(2)/25)*Calculateur!V181*Calculateur!X181*VLOOKUP('Données projet'!$B$9,Paramètres!$A$1:$I$89,3,0)*0.475*44/12</f>
        <v>0.72585453152034296</v>
      </c>
      <c r="AB181" s="23">
        <f>EXP(-LN(2)/2)*AB180+(1-EXP(-LN(2)/2))/(LN(2)/2)*V181*Y181*VLOOKUP('Données projet'!$B$9,Paramètres!$A$1:$I$89,3,0)*0.475*44/12</f>
        <v>2.3064381467929853E-21</v>
      </c>
      <c r="AC181" s="24">
        <f t="shared" si="163"/>
        <v>3.5700971242361894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1.1368683772161603E-13</v>
      </c>
      <c r="O182" s="14">
        <f>N182*VLOOKUP('Données projet'!$B$9,Paramètres!$A$1:$I$89,3,0)*VLOOKUP('Données projet'!$B$9,Paramètres!$A$1:$I$89,5,0)</f>
        <v>6.7984728957526396E-14</v>
      </c>
      <c r="P182" s="14">
        <f t="shared" si="141"/>
        <v>1.0682447123141398E-12</v>
      </c>
      <c r="Q182" s="22">
        <f t="shared" si="162"/>
        <v>1.978932943548152E-12</v>
      </c>
      <c r="R182" s="62">
        <f t="shared" si="109"/>
        <v>293.3333333333353</v>
      </c>
      <c r="S182" s="62">
        <f ca="1">AVERAGE(OFFSET($R$3,0,0,'Données projet'!$E$9+1,1))-AVERAGE(OFFSET($H$3,0,0,'Données projet'!$E$9+1,1))</f>
        <v>147.72913422715322</v>
      </c>
      <c r="T182" s="62">
        <f t="shared" si="142"/>
        <v>361.07991692964799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2.7884687302893716</v>
      </c>
      <c r="AA182" s="23">
        <f>EXP(-LN(2)/25)*AA181+(1-EXP(-LN(2)/25))/(LN(2)/25)*Calculateur!V182*Calculateur!X182*VLOOKUP('Données projet'!$B$9,Paramètres!$A$1:$I$89,3,0)*0.475*44/12</f>
        <v>0.70600600118488832</v>
      </c>
      <c r="AB182" s="23">
        <f>EXP(-LN(2)/2)*AB181+(1-EXP(-LN(2)/2))/(LN(2)/2)*V182*Y182*VLOOKUP('Données projet'!$B$9,Paramètres!$A$1:$I$89,3,0)*0.475*44/12</f>
        <v>1.6308980539846537E-21</v>
      </c>
      <c r="AC182" s="24">
        <f t="shared" si="163"/>
        <v>3.4944747314742601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1.1368683772161603E-13</v>
      </c>
      <c r="O183" s="14">
        <f>N183*VLOOKUP('Données projet'!$B$9,Paramètres!$A$1:$I$89,3,0)*VLOOKUP('Données projet'!$B$9,Paramètres!$A$1:$I$89,5,0)</f>
        <v>6.7984728957526396E-14</v>
      </c>
      <c r="P183" s="14">
        <f t="shared" si="141"/>
        <v>1.0682447123141398E-12</v>
      </c>
      <c r="Q183" s="22">
        <f t="shared" si="162"/>
        <v>1.978932943548152E-12</v>
      </c>
      <c r="R183" s="62">
        <f t="shared" si="109"/>
        <v>293.3333333333353</v>
      </c>
      <c r="S183" s="62">
        <f ca="1">AVERAGE(OFFSET($R$3,0,0,'Données projet'!$E$9+1,1))-AVERAGE(OFFSET($H$3,0,0,'Données projet'!$E$9+1,1))</f>
        <v>147.72913422715322</v>
      </c>
      <c r="T183" s="62">
        <f t="shared" si="142"/>
        <v>361.07991692964799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2.7337885592863826</v>
      </c>
      <c r="AA183" s="23">
        <f>EXP(-LN(2)/25)*AA182+(1-EXP(-LN(2)/25))/(LN(2)/25)*Calculateur!V183*Calculateur!X183*VLOOKUP('Données projet'!$B$9,Paramètres!$A$1:$I$89,3,0)*0.475*44/12</f>
        <v>0.6867002299552456</v>
      </c>
      <c r="AB183" s="23">
        <f>EXP(-LN(2)/2)*AB182+(1-EXP(-LN(2)/2))/(LN(2)/2)*V183*Y183*VLOOKUP('Données projet'!$B$9,Paramètres!$A$1:$I$89,3,0)*0.475*44/12</f>
        <v>1.1532190733964927E-21</v>
      </c>
      <c r="AC183" s="24">
        <f t="shared" si="163"/>
        <v>3.4204887892416282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1.1368683772161603E-13</v>
      </c>
      <c r="O184" s="14">
        <f>N184*VLOOKUP('Données projet'!$B$9,Paramètres!$A$1:$I$89,3,0)*VLOOKUP('Données projet'!$B$9,Paramètres!$A$1:$I$89,5,0)</f>
        <v>6.7984728957526396E-14</v>
      </c>
      <c r="P184" s="14">
        <f t="shared" si="141"/>
        <v>1.0682447123141398E-12</v>
      </c>
      <c r="Q184" s="22">
        <f t="shared" si="162"/>
        <v>1.978932943548152E-12</v>
      </c>
      <c r="R184" s="62">
        <f t="shared" si="109"/>
        <v>293.3333333333353</v>
      </c>
      <c r="S184" s="62">
        <f ca="1">AVERAGE(OFFSET($R$3,0,0,'Données projet'!$E$9+1,1))-AVERAGE(OFFSET($H$3,0,0,'Données projet'!$E$9+1,1))</f>
        <v>147.72913422715322</v>
      </c>
      <c r="T184" s="62">
        <f t="shared" si="142"/>
        <v>361.07991692964799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2.680180633085151</v>
      </c>
      <c r="AA184" s="23">
        <f>EXP(-LN(2)/25)*AA183+(1-EXP(-LN(2)/25))/(LN(2)/25)*Calculateur!V184*Calculateur!X184*VLOOKUP('Données projet'!$B$9,Paramètres!$A$1:$I$89,3,0)*0.475*44/12</f>
        <v>0.66792237605512383</v>
      </c>
      <c r="AB184" s="23">
        <f>EXP(-LN(2)/2)*AB183+(1-EXP(-LN(2)/2))/(LN(2)/2)*V184*Y184*VLOOKUP('Données projet'!$B$9,Paramètres!$A$1:$I$89,3,0)*0.475*44/12</f>
        <v>8.1544902699232684E-22</v>
      </c>
      <c r="AC184" s="24">
        <f t="shared" si="163"/>
        <v>3.3481030091402748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1.1368683772161603E-13</v>
      </c>
      <c r="O185" s="14">
        <f>N185*VLOOKUP('Données projet'!$B$9,Paramètres!$A$1:$I$89,3,0)*VLOOKUP('Données projet'!$B$9,Paramètres!$A$1:$I$89,5,0)</f>
        <v>6.7984728957526396E-14</v>
      </c>
      <c r="P185" s="14">
        <f t="shared" si="141"/>
        <v>1.0682447123141398E-12</v>
      </c>
      <c r="Q185" s="22">
        <f t="shared" si="162"/>
        <v>1.978932943548152E-12</v>
      </c>
      <c r="R185" s="62">
        <f t="shared" si="109"/>
        <v>293.3333333333353</v>
      </c>
      <c r="S185" s="62">
        <f ca="1">AVERAGE(OFFSET($R$3,0,0,'Données projet'!$E$9+1,1))-AVERAGE(OFFSET($H$3,0,0,'Données projet'!$E$9+1,1))</f>
        <v>147.72913422715322</v>
      </c>
      <c r="T185" s="62">
        <f t="shared" si="142"/>
        <v>361.07991692964799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2.6276239256191194</v>
      </c>
      <c r="AA185" s="23">
        <f>EXP(-LN(2)/25)*AA184+(1-EXP(-LN(2)/25))/(LN(2)/25)*Calculateur!V185*Calculateur!X185*VLOOKUP('Données projet'!$B$9,Paramètres!$A$1:$I$89,3,0)*0.475*44/12</f>
        <v>0.64965800355738523</v>
      </c>
      <c r="AB185" s="23">
        <f>EXP(-LN(2)/2)*AB184+(1-EXP(-LN(2)/2))/(LN(2)/2)*V185*Y185*VLOOKUP('Données projet'!$B$9,Paramètres!$A$1:$I$89,3,0)*0.475*44/12</f>
        <v>5.7660953669824634E-22</v>
      </c>
      <c r="AC185" s="24">
        <f t="shared" si="163"/>
        <v>3.2772819291765045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1.1368683772161603E-13</v>
      </c>
      <c r="O186" s="14">
        <f>N186*VLOOKUP('Données projet'!$B$9,Paramètres!$A$1:$I$89,3,0)*VLOOKUP('Données projet'!$B$9,Paramètres!$A$1:$I$89,5,0)</f>
        <v>6.7984728957526396E-14</v>
      </c>
      <c r="P186" s="14">
        <f t="shared" si="141"/>
        <v>1.0682447123141398E-12</v>
      </c>
      <c r="Q186" s="22">
        <f t="shared" si="162"/>
        <v>1.978932943548152E-12</v>
      </c>
      <c r="R186" s="62">
        <f t="shared" si="109"/>
        <v>293.3333333333353</v>
      </c>
      <c r="S186" s="62">
        <f ca="1">AVERAGE(OFFSET($R$3,0,0,'Données projet'!$E$9+1,1))-AVERAGE(OFFSET($H$3,0,0,'Données projet'!$E$9+1,1))</f>
        <v>147.72913422715322</v>
      </c>
      <c r="T186" s="62">
        <f t="shared" si="142"/>
        <v>361.07991692964799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2.5760978231300702</v>
      </c>
      <c r="AA186" s="23">
        <f>EXP(-LN(2)/25)*AA185+(1-EXP(-LN(2)/25))/(LN(2)/25)*Calculateur!V186*Calculateur!X186*VLOOKUP('Données projet'!$B$9,Paramètres!$A$1:$I$89,3,0)*0.475*44/12</f>
        <v>0.63189307128607897</v>
      </c>
      <c r="AB186" s="23">
        <f>EXP(-LN(2)/2)*AB185+(1-EXP(-LN(2)/2))/(LN(2)/2)*V186*Y186*VLOOKUP('Données projet'!$B$9,Paramètres!$A$1:$I$89,3,0)*0.475*44/12</f>
        <v>4.0772451349616342E-22</v>
      </c>
      <c r="AC186" s="24">
        <f t="shared" si="163"/>
        <v>3.2079908944161493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1.1368683772161603E-13</v>
      </c>
      <c r="O187" s="14">
        <f>N187*VLOOKUP('Données projet'!$B$9,Paramètres!$A$1:$I$89,3,0)*VLOOKUP('Données projet'!$B$9,Paramètres!$A$1:$I$89,5,0)</f>
        <v>6.7984728957526396E-14</v>
      </c>
      <c r="P187" s="14">
        <f t="shared" si="141"/>
        <v>1.0682447123141398E-12</v>
      </c>
      <c r="Q187" s="22">
        <f t="shared" si="162"/>
        <v>1.978932943548152E-12</v>
      </c>
      <c r="R187" s="62">
        <f t="shared" si="109"/>
        <v>293.3333333333353</v>
      </c>
      <c r="S187" s="62">
        <f ca="1">AVERAGE(OFFSET($R$3,0,0,'Données projet'!$E$9+1,1))-AVERAGE(OFFSET($H$3,0,0,'Données projet'!$E$9+1,1))</f>
        <v>147.72913422715322</v>
      </c>
      <c r="T187" s="62">
        <f t="shared" si="142"/>
        <v>361.07991692964799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2.5255821160830121</v>
      </c>
      <c r="AA187" s="23">
        <f>EXP(-LN(2)/25)*AA186+(1-EXP(-LN(2)/25))/(LN(2)/25)*Calculateur!V187*Calculateur!X187*VLOOKUP('Données projet'!$B$9,Paramètres!$A$1:$I$89,3,0)*0.475*44/12</f>
        <v>0.61461392202194876</v>
      </c>
      <c r="AB187" s="23">
        <f>EXP(-LN(2)/2)*AB186+(1-EXP(-LN(2)/2))/(LN(2)/2)*V187*Y187*VLOOKUP('Données projet'!$B$9,Paramètres!$A$1:$I$89,3,0)*0.475*44/12</f>
        <v>2.8830476834912317E-22</v>
      </c>
      <c r="AC187" s="24">
        <f t="shared" si="163"/>
        <v>3.140196038104961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1.1368683772161603E-13</v>
      </c>
      <c r="O188" s="14">
        <f>N188*VLOOKUP('Données projet'!$B$9,Paramètres!$A$1:$I$89,3,0)*VLOOKUP('Données projet'!$B$9,Paramètres!$A$1:$I$89,5,0)</f>
        <v>6.7984728957526396E-14</v>
      </c>
      <c r="P188" s="14">
        <f t="shared" si="141"/>
        <v>1.0682447123141398E-12</v>
      </c>
      <c r="Q188" s="22">
        <f t="shared" si="162"/>
        <v>1.978932943548152E-12</v>
      </c>
      <c r="R188" s="62">
        <f t="shared" si="109"/>
        <v>293.3333333333353</v>
      </c>
      <c r="S188" s="62">
        <f ca="1">AVERAGE(OFFSET($R$3,0,0,'Données projet'!$E$9+1,1))-AVERAGE(OFFSET($H$3,0,0,'Données projet'!$E$9+1,1))</f>
        <v>147.72913422715322</v>
      </c>
      <c r="T188" s="62">
        <f t="shared" si="142"/>
        <v>361.07991692964799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2.476056991239608</v>
      </c>
      <c r="AA188" s="23">
        <f>EXP(-LN(2)/25)*AA187+(1-EXP(-LN(2)/25))/(LN(2)/25)*Calculateur!V188*Calculateur!X188*VLOOKUP('Données projet'!$B$9,Paramètres!$A$1:$I$89,3,0)*0.475*44/12</f>
        <v>0.59780727200311712</v>
      </c>
      <c r="AB188" s="23">
        <f>EXP(-LN(2)/2)*AB187+(1-EXP(-LN(2)/2))/(LN(2)/2)*V188*Y188*VLOOKUP('Données projet'!$B$9,Paramètres!$A$1:$I$89,3,0)*0.475*44/12</f>
        <v>2.0386225674808171E-22</v>
      </c>
      <c r="AC188" s="24">
        <f t="shared" si="163"/>
        <v>3.0738642632427249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1.1368683772161603E-13</v>
      </c>
      <c r="O189" s="14">
        <f>N189*VLOOKUP('Données projet'!$B$9,Paramètres!$A$1:$I$89,3,0)*VLOOKUP('Données projet'!$B$9,Paramètres!$A$1:$I$89,5,0)</f>
        <v>6.7984728957526396E-14</v>
      </c>
      <c r="P189" s="14">
        <f t="shared" si="141"/>
        <v>1.0682447123141398E-12</v>
      </c>
      <c r="Q189" s="22">
        <f t="shared" si="162"/>
        <v>1.978932943548152E-12</v>
      </c>
      <c r="R189" s="62">
        <f t="shared" si="109"/>
        <v>293.3333333333353</v>
      </c>
      <c r="S189" s="62">
        <f ca="1">AVERAGE(OFFSET($R$3,0,0,'Données projet'!$E$9+1,1))-AVERAGE(OFFSET($H$3,0,0,'Données projet'!$E$9+1,1))</f>
        <v>147.72913422715322</v>
      </c>
      <c r="T189" s="62">
        <f t="shared" si="142"/>
        <v>361.07991692964799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2.4275030238870396</v>
      </c>
      <c r="AA189" s="23">
        <f>EXP(-LN(2)/25)*AA188+(1-EXP(-LN(2)/25))/(LN(2)/25)*Calculateur!V189*Calculateur!X189*VLOOKUP('Données projet'!$B$9,Paramètres!$A$1:$I$89,3,0)*0.475*44/12</f>
        <v>0.58146020071287374</v>
      </c>
      <c r="AB189" s="23">
        <f>EXP(-LN(2)/2)*AB188+(1-EXP(-LN(2)/2))/(LN(2)/2)*V189*Y189*VLOOKUP('Données projet'!$B$9,Paramètres!$A$1:$I$89,3,0)*0.475*44/12</f>
        <v>1.4415238417456158E-22</v>
      </c>
      <c r="AC189" s="24">
        <f t="shared" si="163"/>
        <v>3.0089632245999134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1.1368683772161603E-13</v>
      </c>
      <c r="O190" s="14">
        <f>N190*VLOOKUP('Données projet'!$B$9,Paramètres!$A$1:$I$89,3,0)*VLOOKUP('Données projet'!$B$9,Paramètres!$A$1:$I$89,5,0)</f>
        <v>6.7984728957526396E-14</v>
      </c>
      <c r="P190" s="14">
        <f t="shared" si="141"/>
        <v>1.0682447123141398E-12</v>
      </c>
      <c r="Q190" s="22">
        <f t="shared" si="162"/>
        <v>1.978932943548152E-12</v>
      </c>
      <c r="R190" s="62">
        <f t="shared" si="109"/>
        <v>293.3333333333353</v>
      </c>
      <c r="S190" s="62">
        <f ca="1">AVERAGE(OFFSET($R$3,0,0,'Données projet'!$E$9+1,1))-AVERAGE(OFFSET($H$3,0,0,'Données projet'!$E$9+1,1))</f>
        <v>147.72913422715322</v>
      </c>
      <c r="T190" s="62">
        <f t="shared" si="142"/>
        <v>361.07991692964799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2.3799011702192594</v>
      </c>
      <c r="AA190" s="23">
        <f>EXP(-LN(2)/25)*AA189+(1-EXP(-LN(2)/25))/(LN(2)/25)*Calculateur!V190*Calculateur!X190*VLOOKUP('Données projet'!$B$9,Paramètres!$A$1:$I$89,3,0)*0.475*44/12</f>
        <v>0.56556014094671725</v>
      </c>
      <c r="AB190" s="23">
        <f>EXP(-LN(2)/2)*AB189+(1-EXP(-LN(2)/2))/(LN(2)/2)*V190*Y190*VLOOKUP('Données projet'!$B$9,Paramètres!$A$1:$I$89,3,0)*0.475*44/12</f>
        <v>1.0193112837404086E-22</v>
      </c>
      <c r="AC190" s="24">
        <f t="shared" si="163"/>
        <v>2.9454613111659764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1.1368683772161603E-13</v>
      </c>
      <c r="O191" s="14">
        <f>N191*VLOOKUP('Données projet'!$B$9,Paramètres!$A$1:$I$89,3,0)*VLOOKUP('Données projet'!$B$9,Paramètres!$A$1:$I$89,5,0)</f>
        <v>6.7984728957526396E-14</v>
      </c>
      <c r="P191" s="14">
        <f t="shared" si="141"/>
        <v>1.0682447123141398E-12</v>
      </c>
      <c r="Q191" s="22">
        <f t="shared" si="162"/>
        <v>1.978932943548152E-12</v>
      </c>
      <c r="R191" s="62">
        <f t="shared" si="109"/>
        <v>293.3333333333353</v>
      </c>
      <c r="S191" s="62">
        <f ca="1">AVERAGE(OFFSET($R$3,0,0,'Données projet'!$E$9+1,1))-AVERAGE(OFFSET($H$3,0,0,'Données projet'!$E$9+1,1))</f>
        <v>147.72913422715322</v>
      </c>
      <c r="T191" s="62">
        <f t="shared" si="142"/>
        <v>361.07991692964799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2.3332327598676401</v>
      </c>
      <c r="AA191" s="23">
        <f>EXP(-LN(2)/25)*AA190+(1-EXP(-LN(2)/25))/(LN(2)/25)*Calculateur!V191*Calculateur!X191*VLOOKUP('Données projet'!$B$9,Paramètres!$A$1:$I$89,3,0)*0.475*44/12</f>
        <v>0.55009486915101402</v>
      </c>
      <c r="AB191" s="23">
        <f>EXP(-LN(2)/2)*AB190+(1-EXP(-LN(2)/2))/(LN(2)/2)*V191*Y191*VLOOKUP('Données projet'!$B$9,Paramètres!$A$1:$I$89,3,0)*0.475*44/12</f>
        <v>7.2076192087280792E-23</v>
      </c>
      <c r="AC191" s="24">
        <f t="shared" si="163"/>
        <v>2.883327629018654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1.1368683772161603E-13</v>
      </c>
      <c r="O192" s="14">
        <f>N192*VLOOKUP('Données projet'!$B$9,Paramètres!$A$1:$I$89,3,0)*VLOOKUP('Données projet'!$B$9,Paramètres!$A$1:$I$89,5,0)</f>
        <v>6.7984728957526396E-14</v>
      </c>
      <c r="P192" s="14">
        <f t="shared" si="141"/>
        <v>1.0682447123141398E-12</v>
      </c>
      <c r="Q192" s="22">
        <f t="shared" si="162"/>
        <v>1.978932943548152E-12</v>
      </c>
      <c r="R192" s="62">
        <f t="shared" si="109"/>
        <v>293.3333333333353</v>
      </c>
      <c r="S192" s="62">
        <f ca="1">AVERAGE(OFFSET($R$3,0,0,'Données projet'!$E$9+1,1))-AVERAGE(OFFSET($H$3,0,0,'Données projet'!$E$9+1,1))</f>
        <v>147.72913422715322</v>
      </c>
      <c r="T192" s="62">
        <f t="shared" si="142"/>
        <v>361.07991692964799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2.2874794885780965</v>
      </c>
      <c r="AA192" s="23">
        <f>EXP(-LN(2)/25)*AA191+(1-EXP(-LN(2)/25))/(LN(2)/25)*Calculateur!V192*Calculateur!X192*VLOOKUP('Données projet'!$B$9,Paramètres!$A$1:$I$89,3,0)*0.475*44/12</f>
        <v>0.53505249602584759</v>
      </c>
      <c r="AB192" s="23">
        <f>EXP(-LN(2)/2)*AB191+(1-EXP(-LN(2)/2))/(LN(2)/2)*V192*Y192*VLOOKUP('Données projet'!$B$9,Paramètres!$A$1:$I$89,3,0)*0.475*44/12</f>
        <v>5.0965564187020428E-23</v>
      </c>
      <c r="AC192" s="24">
        <f t="shared" si="163"/>
        <v>2.8225319846039438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1.1368683772161603E-13</v>
      </c>
      <c r="O193" s="14">
        <f>N193*VLOOKUP('Données projet'!$B$9,Paramètres!$A$1:$I$89,3,0)*VLOOKUP('Données projet'!$B$9,Paramètres!$A$1:$I$89,5,0)</f>
        <v>6.7984728957526396E-14</v>
      </c>
      <c r="P193" s="14">
        <f t="shared" si="141"/>
        <v>1.0682447123141398E-12</v>
      </c>
      <c r="Q193" s="22">
        <f t="shared" si="162"/>
        <v>1.978932943548152E-12</v>
      </c>
      <c r="R193" s="62">
        <f t="shared" si="109"/>
        <v>293.3333333333353</v>
      </c>
      <c r="S193" s="62">
        <f ca="1">AVERAGE(OFFSET($R$3,0,0,'Données projet'!$E$9+1,1))-AVERAGE(OFFSET($H$3,0,0,'Données projet'!$E$9+1,1))</f>
        <v>147.72913422715322</v>
      </c>
      <c r="T193" s="62">
        <f t="shared" si="142"/>
        <v>361.07991692964799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2.2426234110318011</v>
      </c>
      <c r="AA193" s="23">
        <f>EXP(-LN(2)/25)*AA192+(1-EXP(-LN(2)/25))/(LN(2)/25)*Calculateur!V193*Calculateur!X193*VLOOKUP('Données projet'!$B$9,Paramètres!$A$1:$I$89,3,0)*0.475*44/12</f>
        <v>0.52042145738483292</v>
      </c>
      <c r="AB193" s="23">
        <f>EXP(-LN(2)/2)*AB192+(1-EXP(-LN(2)/2))/(LN(2)/2)*V193*Y193*VLOOKUP('Données projet'!$B$9,Paramètres!$A$1:$I$89,3,0)*0.475*44/12</f>
        <v>3.6038096043640396E-23</v>
      </c>
      <c r="AC193" s="24">
        <f t="shared" si="163"/>
        <v>2.763044868416634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1.1368683772161603E-13</v>
      </c>
      <c r="O194" s="14">
        <f>N194*VLOOKUP('Données projet'!$B$9,Paramètres!$A$1:$I$89,3,0)*VLOOKUP('Données projet'!$B$9,Paramètres!$A$1:$I$89,5,0)</f>
        <v>6.7984728957526396E-14</v>
      </c>
      <c r="P194" s="14">
        <f t="shared" si="141"/>
        <v>1.0682447123141398E-12</v>
      </c>
      <c r="Q194" s="22">
        <f t="shared" si="162"/>
        <v>1.978932943548152E-12</v>
      </c>
      <c r="R194" s="62">
        <f t="shared" si="109"/>
        <v>293.3333333333353</v>
      </c>
      <c r="S194" s="62">
        <f ca="1">AVERAGE(OFFSET($R$3,0,0,'Données projet'!$E$9+1,1))-AVERAGE(OFFSET($H$3,0,0,'Données projet'!$E$9+1,1))</f>
        <v>147.72913422715322</v>
      </c>
      <c r="T194" s="62">
        <f t="shared" si="142"/>
        <v>361.07991692964799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2.1986469338066827</v>
      </c>
      <c r="AA194" s="23">
        <f>EXP(-LN(2)/25)*AA193+(1-EXP(-LN(2)/25))/(LN(2)/25)*Calculateur!V194*Calculateur!X194*VLOOKUP('Données projet'!$B$9,Paramètres!$A$1:$I$89,3,0)*0.475*44/12</f>
        <v>0.50619050526486964</v>
      </c>
      <c r="AB194" s="23">
        <f>EXP(-LN(2)/2)*AB193+(1-EXP(-LN(2)/2))/(LN(2)/2)*V194*Y194*VLOOKUP('Données projet'!$B$9,Paramètres!$A$1:$I$89,3,0)*0.475*44/12</f>
        <v>2.5482782093510214E-23</v>
      </c>
      <c r="AC194" s="24">
        <f t="shared" si="163"/>
        <v>2.7048374390715524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1.1368683772161603E-13</v>
      </c>
      <c r="O195" s="14">
        <f>N195*VLOOKUP('Données projet'!$B$9,Paramètres!$A$1:$I$89,3,0)*VLOOKUP('Données projet'!$B$9,Paramètres!$A$1:$I$89,5,0)</f>
        <v>6.7984728957526396E-14</v>
      </c>
      <c r="P195" s="14">
        <f t="shared" si="141"/>
        <v>1.0682447123141398E-12</v>
      </c>
      <c r="Q195" s="22">
        <f t="shared" si="162"/>
        <v>1.978932943548152E-12</v>
      </c>
      <c r="R195" s="62">
        <f t="shared" ref="R195:R203" si="191">Q195+(I195+J195)*44/12</f>
        <v>293.3333333333353</v>
      </c>
      <c r="S195" s="62">
        <f ca="1">AVERAGE(OFFSET($R$3,0,0,'Données projet'!$E$9+1,1))-AVERAGE(OFFSET($H$3,0,0,'Données projet'!$E$9+1,1))</f>
        <v>147.72913422715322</v>
      </c>
      <c r="T195" s="62">
        <f t="shared" si="142"/>
        <v>361.07991692964799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2.1555328084769463</v>
      </c>
      <c r="AA195" s="23">
        <f>EXP(-LN(2)/25)*AA194+(1-EXP(-LN(2)/25))/(LN(2)/25)*Calculateur!V195*Calculateur!X195*VLOOKUP('Données projet'!$B$9,Paramètres!$A$1:$I$89,3,0)*0.475*44/12</f>
        <v>0.49234869927900005</v>
      </c>
      <c r="AB195" s="23">
        <f>EXP(-LN(2)/2)*AB194+(1-EXP(-LN(2)/2))/(LN(2)/2)*V195*Y195*VLOOKUP('Données projet'!$B$9,Paramètres!$A$1:$I$89,3,0)*0.475*44/12</f>
        <v>1.8019048021820198E-23</v>
      </c>
      <c r="AC195" s="24">
        <f t="shared" si="163"/>
        <v>2.6478815077559466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1.1368683772161603E-13</v>
      </c>
      <c r="O196" s="14">
        <f>N196*VLOOKUP('Données projet'!$B$9,Paramètres!$A$1:$I$89,3,0)*VLOOKUP('Données projet'!$B$9,Paramètres!$A$1:$I$89,5,0)</f>
        <v>6.7984728957526396E-14</v>
      </c>
      <c r="P196" s="14">
        <f t="shared" si="141"/>
        <v>1.0682447123141398E-12</v>
      </c>
      <c r="Q196" s="22">
        <f t="shared" si="162"/>
        <v>1.978932943548152E-12</v>
      </c>
      <c r="R196" s="62">
        <f t="shared" si="191"/>
        <v>293.3333333333353</v>
      </c>
      <c r="S196" s="62">
        <f ca="1">AVERAGE(OFFSET($R$3,0,0,'Données projet'!$E$9+1,1))-AVERAGE(OFFSET($H$3,0,0,'Données projet'!$E$9+1,1))</f>
        <v>147.72913422715322</v>
      </c>
      <c r="T196" s="62">
        <f t="shared" si="142"/>
        <v>361.07991692964799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2.1132641248479063</v>
      </c>
      <c r="AA196" s="23">
        <f>EXP(-LN(2)/25)*AA195+(1-EXP(-LN(2)/25))/(LN(2)/25)*Calculateur!V196*Calculateur!X196*VLOOKUP('Données projet'!$B$9,Paramètres!$A$1:$I$89,3,0)*0.475*44/12</f>
        <v>0.47888539820572296</v>
      </c>
      <c r="AB196" s="23">
        <f>EXP(-LN(2)/2)*AB195+(1-EXP(-LN(2)/2))/(LN(2)/2)*V196*Y196*VLOOKUP('Données projet'!$B$9,Paramètres!$A$1:$I$89,3,0)*0.475*44/12</f>
        <v>1.2741391046755107E-23</v>
      </c>
      <c r="AC196" s="24">
        <f t="shared" si="163"/>
        <v>2.5921495230536293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1.1368683772161603E-13</v>
      </c>
      <c r="O197" s="14">
        <f>N197*VLOOKUP('Données projet'!$B$9,Paramètres!$A$1:$I$89,3,0)*VLOOKUP('Données projet'!$B$9,Paramètres!$A$1:$I$89,5,0)</f>
        <v>6.7984728957526396E-14</v>
      </c>
      <c r="P197" s="14">
        <f t="shared" ref="P197:P203" si="203">EXP(-1.0587+0.8836*LN(O197)+0.284)</f>
        <v>1.0682447123141398E-12</v>
      </c>
      <c r="Q197" s="22">
        <f t="shared" si="162"/>
        <v>1.978932943548152E-12</v>
      </c>
      <c r="R197" s="62">
        <f t="shared" si="191"/>
        <v>293.3333333333353</v>
      </c>
      <c r="S197" s="62">
        <f ca="1">AVERAGE(OFFSET($R$3,0,0,'Données projet'!$E$9+1,1))-AVERAGE(OFFSET($H$3,0,0,'Données projet'!$E$9+1,1))</f>
        <v>147.72913422715322</v>
      </c>
      <c r="T197" s="62">
        <f t="shared" ref="T197:T203" si="204">$T$3</f>
        <v>361.07991692964799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2.0718243043234805</v>
      </c>
      <c r="AA197" s="23">
        <f>EXP(-LN(2)/25)*AA196+(1-EXP(-LN(2)/25))/(LN(2)/25)*Calculateur!V197*Calculateur!X197*VLOOKUP('Données projet'!$B$9,Paramètres!$A$1:$I$89,3,0)*0.475*44/12</f>
        <v>0.46579025180829886</v>
      </c>
      <c r="AB197" s="23">
        <f>EXP(-LN(2)/2)*AB196+(1-EXP(-LN(2)/2))/(LN(2)/2)*V197*Y197*VLOOKUP('Données projet'!$B$9,Paramètres!$A$1:$I$89,3,0)*0.475*44/12</f>
        <v>9.009524010910099E-24</v>
      </c>
      <c r="AC197" s="24">
        <f t="shared" si="163"/>
        <v>2.5376145561317793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1.1368683772161603E-13</v>
      </c>
      <c r="O198" s="14">
        <f>N198*VLOOKUP('Données projet'!$B$9,Paramètres!$A$1:$I$89,3,0)*VLOOKUP('Données projet'!$B$9,Paramètres!$A$1:$I$89,5,0)</f>
        <v>6.7984728957526396E-14</v>
      </c>
      <c r="P198" s="14">
        <f t="shared" si="203"/>
        <v>1.0682447123141398E-12</v>
      </c>
      <c r="Q198" s="22">
        <f t="shared" si="162"/>
        <v>1.978932943548152E-12</v>
      </c>
      <c r="R198" s="62">
        <f t="shared" si="191"/>
        <v>293.3333333333353</v>
      </c>
      <c r="S198" s="62">
        <f ca="1">AVERAGE(OFFSET($R$3,0,0,'Données projet'!$E$9+1,1))-AVERAGE(OFFSET($H$3,0,0,'Données projet'!$E$9+1,1))</f>
        <v>147.72913422715322</v>
      </c>
      <c r="T198" s="62">
        <f t="shared" si="204"/>
        <v>361.07991692964799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2.031197093403744</v>
      </c>
      <c r="AA198" s="23">
        <f>EXP(-LN(2)/25)*AA197+(1-EXP(-LN(2)/25))/(LN(2)/25)*Calculateur!V198*Calculateur!X198*VLOOKUP('Données projet'!$B$9,Paramètres!$A$1:$I$89,3,0)*0.475*44/12</f>
        <v>0.45305319287775614</v>
      </c>
      <c r="AB198" s="23">
        <f>EXP(-LN(2)/2)*AB197+(1-EXP(-LN(2)/2))/(LN(2)/2)*V198*Y198*VLOOKUP('Données projet'!$B$9,Paramètres!$A$1:$I$89,3,0)*0.475*44/12</f>
        <v>6.3706955233775535E-24</v>
      </c>
      <c r="AC198" s="24">
        <f t="shared" si="163"/>
        <v>2.4842502862815001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1.1368683772161603E-13</v>
      </c>
      <c r="O199" s="14">
        <f>N199*VLOOKUP('Données projet'!$B$9,Paramètres!$A$1:$I$89,3,0)*VLOOKUP('Données projet'!$B$9,Paramètres!$A$1:$I$89,5,0)</f>
        <v>6.7984728957526396E-14</v>
      </c>
      <c r="P199" s="14">
        <f t="shared" si="203"/>
        <v>1.0682447123141398E-12</v>
      </c>
      <c r="Q199" s="22">
        <f t="shared" si="162"/>
        <v>1.978932943548152E-12</v>
      </c>
      <c r="R199" s="62">
        <f t="shared" si="191"/>
        <v>293.3333333333353</v>
      </c>
      <c r="S199" s="62">
        <f ca="1">AVERAGE(OFFSET($R$3,0,0,'Données projet'!$E$9+1,1))-AVERAGE(OFFSET($H$3,0,0,'Données projet'!$E$9+1,1))</f>
        <v>147.72913422715322</v>
      </c>
      <c r="T199" s="62">
        <f t="shared" si="204"/>
        <v>361.07991692964799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1.9913665573099915</v>
      </c>
      <c r="AA199" s="23">
        <f>EXP(-LN(2)/25)*AA198+(1-EXP(-LN(2)/25))/(LN(2)/25)*Calculateur!V199*Calculateur!X199*VLOOKUP('Données projet'!$B$9,Paramètres!$A$1:$I$89,3,0)*0.475*44/12</f>
        <v>0.44066442949348195</v>
      </c>
      <c r="AB199" s="23">
        <f>EXP(-LN(2)/2)*AB198+(1-EXP(-LN(2)/2))/(LN(2)/2)*V199*Y199*VLOOKUP('Données projet'!$B$9,Paramètres!$A$1:$I$89,3,0)*0.475*44/12</f>
        <v>4.5047620054550495E-24</v>
      </c>
      <c r="AC199" s="24">
        <f t="shared" si="163"/>
        <v>2.4320309868034733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1.1368683772161603E-13</v>
      </c>
      <c r="O200" s="14">
        <f>N200*VLOOKUP('Données projet'!$B$9,Paramètres!$A$1:$I$89,3,0)*VLOOKUP('Données projet'!$B$9,Paramètres!$A$1:$I$89,5,0)</f>
        <v>6.7984728957526396E-14</v>
      </c>
      <c r="P200" s="14">
        <f t="shared" si="203"/>
        <v>1.0682447123141398E-12</v>
      </c>
      <c r="Q200" s="22">
        <f t="shared" si="162"/>
        <v>1.978932943548152E-12</v>
      </c>
      <c r="R200" s="62">
        <f t="shared" si="191"/>
        <v>293.3333333333353</v>
      </c>
      <c r="S200" s="62">
        <f ca="1">AVERAGE(OFFSET($R$3,0,0,'Données projet'!$E$9+1,1))-AVERAGE(OFFSET($H$3,0,0,'Données projet'!$E$9+1,1))</f>
        <v>147.72913422715322</v>
      </c>
      <c r="T200" s="62">
        <f t="shared" si="204"/>
        <v>361.07991692964799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1.9523170737348094</v>
      </c>
      <c r="AA200" s="23">
        <f>EXP(-LN(2)/25)*AA199+(1-EXP(-LN(2)/25))/(LN(2)/25)*Calculateur!V200*Calculateur!X200*VLOOKUP('Données projet'!$B$9,Paramètres!$A$1:$I$89,3,0)*0.475*44/12</f>
        <v>0.42861443749544748</v>
      </c>
      <c r="AB200" s="23">
        <f>EXP(-LN(2)/2)*AB199+(1-EXP(-LN(2)/2))/(LN(2)/2)*V200*Y200*VLOOKUP('Données projet'!$B$9,Paramètres!$A$1:$I$89,3,0)*0.475*44/12</f>
        <v>3.1853477616887767E-24</v>
      </c>
      <c r="AC200" s="24">
        <f t="shared" si="163"/>
        <v>2.3809315112302567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1.1368683772161603E-13</v>
      </c>
      <c r="O201" s="14">
        <f>N201*VLOOKUP('Données projet'!$B$9,Paramètres!$A$1:$I$89,3,0)*VLOOKUP('Données projet'!$B$9,Paramètres!$A$1:$I$89,5,0)</f>
        <v>6.7984728957526396E-14</v>
      </c>
      <c r="P201" s="14">
        <f t="shared" si="203"/>
        <v>1.0682447123141398E-12</v>
      </c>
      <c r="Q201" s="22">
        <f t="shared" si="162"/>
        <v>1.978932943548152E-12</v>
      </c>
      <c r="R201" s="62">
        <f t="shared" si="191"/>
        <v>293.3333333333353</v>
      </c>
      <c r="S201" s="62">
        <f ca="1">AVERAGE(OFFSET($R$3,0,0,'Données projet'!$E$9+1,1))-AVERAGE(OFFSET($H$3,0,0,'Données projet'!$E$9+1,1))</f>
        <v>147.72913422715322</v>
      </c>
      <c r="T201" s="62">
        <f t="shared" si="204"/>
        <v>361.07991692964799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1.9140333267147034</v>
      </c>
      <c r="AA201" s="23">
        <f>EXP(-LN(2)/25)*AA200+(1-EXP(-LN(2)/25))/(LN(2)/25)*Calculateur!V201*Calculateur!X201*VLOOKUP('Données projet'!$B$9,Paramètres!$A$1:$I$89,3,0)*0.475*44/12</f>
        <v>0.41689395316228078</v>
      </c>
      <c r="AB201" s="23">
        <f>EXP(-LN(2)/2)*AB200+(1-EXP(-LN(2)/2))/(LN(2)/2)*V201*Y201*VLOOKUP('Données projet'!$B$9,Paramètres!$A$1:$I$89,3,0)*0.475*44/12</f>
        <v>2.2523810027275247E-24</v>
      </c>
      <c r="AC201" s="24">
        <f t="shared" si="163"/>
        <v>2.3309272798769842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1.1368683772161603E-13</v>
      </c>
      <c r="O202" s="14">
        <f>N202*VLOOKUP('Données projet'!$B$9,Paramètres!$A$1:$I$89,3,0)*VLOOKUP('Données projet'!$B$9,Paramètres!$A$1:$I$89,5,0)</f>
        <v>6.7984728957526396E-14</v>
      </c>
      <c r="P202" s="14">
        <f t="shared" si="203"/>
        <v>1.0682447123141398E-12</v>
      </c>
      <c r="Q202" s="22">
        <f t="shared" si="162"/>
        <v>1.978932943548152E-12</v>
      </c>
      <c r="R202" s="62">
        <f t="shared" si="191"/>
        <v>293.3333333333353</v>
      </c>
      <c r="S202" s="62">
        <f ca="1">AVERAGE(OFFSET($R$3,0,0,'Données projet'!$E$9+1,1))-AVERAGE(OFFSET($H$3,0,0,'Données projet'!$E$9+1,1))</f>
        <v>147.72913422715322</v>
      </c>
      <c r="T202" s="62">
        <f t="shared" si="204"/>
        <v>361.07991692964799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1.8765003006228818</v>
      </c>
      <c r="AA202" s="23">
        <f>EXP(-LN(2)/25)*AA201+(1-EXP(-LN(2)/25))/(LN(2)/25)*Calculateur!V202*Calculateur!X202*VLOOKUP('Données projet'!$B$9,Paramètres!$A$1:$I$89,3,0)*0.475*44/12</f>
        <v>0.40549396608955807</v>
      </c>
      <c r="AB202" s="23">
        <f>EXP(-LN(2)/2)*AB201+(1-EXP(-LN(2)/2))/(LN(2)/2)*V202*Y202*VLOOKUP('Données projet'!$B$9,Paramètres!$A$1:$I$89,3,0)*0.475*44/12</f>
        <v>1.5926738808443884E-24</v>
      </c>
      <c r="AC202" s="24">
        <f t="shared" si="163"/>
        <v>2.2819942667124398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1.1368683772161603E-13</v>
      </c>
      <c r="O203" s="14">
        <f>N203*VLOOKUP('Données projet'!$B$9,Paramètres!$A$1:$I$89,3,0)*VLOOKUP('Données projet'!$B$9,Paramètres!$A$1:$I$89,5,0)</f>
        <v>6.7984728957526396E-14</v>
      </c>
      <c r="P203" s="14">
        <f t="shared" si="203"/>
        <v>1.0682447123141398E-12</v>
      </c>
      <c r="Q203" s="22">
        <f t="shared" si="162"/>
        <v>1.978932943548152E-12</v>
      </c>
      <c r="R203" s="62">
        <f t="shared" si="191"/>
        <v>293.3333333333353</v>
      </c>
      <c r="S203" s="62">
        <f ca="1">AVERAGE(OFFSET($R$3,0,0,'Données projet'!$E$9+1,1))-AVERAGE(OFFSET($H$3,0,0,'Données projet'!$E$9+1,1))</f>
        <v>147.72913422715322</v>
      </c>
      <c r="T203" s="62">
        <f t="shared" si="204"/>
        <v>361.07991692964799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1.8397032742798354</v>
      </c>
      <c r="AA203" s="23">
        <f>EXP(-LN(2)/25)*AA202+(1-EXP(-LN(2)/25))/(LN(2)/25)*Calculateur!V203*Calculateur!X203*VLOOKUP('Données projet'!$B$9,Paramètres!$A$1:$I$89,3,0)*0.475*44/12</f>
        <v>0.39440571226283822</v>
      </c>
      <c r="AB203" s="23">
        <f>EXP(-LN(2)/2)*AB202+(1-EXP(-LN(2)/2))/(LN(2)/2)*V203*Y203*VLOOKUP('Données projet'!$B$9,Paramètres!$A$1:$I$89,3,0)*0.475*44/12</f>
        <v>1.1261905013637624E-24</v>
      </c>
      <c r="AC203" s="24">
        <f t="shared" si="163"/>
        <v>2.2341089865426738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1.4749438547769935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M17" sqref="M17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43.2</v>
      </c>
      <c r="C6" s="156">
        <f ca="1">IF(OR('Données projet'!B9="",'Données projet'!C9="",'Données projet'!C9=0%),0,Calculateur!S3)</f>
        <v>147.72913422715322</v>
      </c>
      <c r="D6" s="156">
        <f>IF(OR('Données projet'!B9="",'Données projet'!C9="",'Données projet'!C9=0%),0,Calculateur!T3)</f>
        <v>361.07991692964799</v>
      </c>
      <c r="E6" s="156">
        <f ca="1">MIN(C6,D6)</f>
        <v>147.72913422715322</v>
      </c>
      <c r="F6" s="156">
        <f ca="1">E6*B6</f>
        <v>6381.8985986130201</v>
      </c>
      <c r="G6" s="156">
        <f ca="1">F6*(100%-'Données projet'!$C$24)*(100%-'Données projet'!$C$25)*(100%-'Données projet'!$C$26)*(100%-'Données projet'!$C$27)</f>
        <v>3905.7219423511683</v>
      </c>
      <c r="H6" s="157">
        <f>IF(OR('Données projet'!B9="",'Données projet'!C9="",'Données projet'!C9=0%),0,AVERAGE(Calculateur!$AC$3:$AC$33)*B6)</f>
        <v>649.42896782533626</v>
      </c>
      <c r="I6" s="158">
        <f>H6*(100%-'Données projet'!$C$24)*(100%-'Données projet'!$C$25)*(100%-'Données projet'!$C$26)*(100%-'Données projet'!$C$27)</f>
        <v>397.45052830910578</v>
      </c>
      <c r="J6" s="159">
        <f>IF(OR('Données projet'!B9="",'Données projet'!C9="",'Données projet'!C9=0%),0,SUM(Calculateur!$V$3:$V$33)*VLOOKUP('Données projet'!$B$9,Paramètres!$A$1:$I$89,9,0)*B6)</f>
        <v>11265.696</v>
      </c>
      <c r="K6" s="160">
        <f>J6*(100%-'Données projet'!$C$24)*(100%-'Données projet'!$C$25)*(100%-'Données projet'!$C$26)*(100%-'Données projet'!$C$27)</f>
        <v>6894.6059519999999</v>
      </c>
      <c r="L6" s="161">
        <f ca="1">G6+I6+K6</f>
        <v>11197.778422660274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6381.8985986130201</v>
      </c>
      <c r="G16" s="175">
        <f t="shared" ca="1" si="3"/>
        <v>3905.7219423511683</v>
      </c>
      <c r="H16" s="176">
        <f t="shared" si="3"/>
        <v>649.42896782533626</v>
      </c>
      <c r="I16" s="176">
        <f t="shared" si="3"/>
        <v>397.45052830910578</v>
      </c>
      <c r="J16" s="177">
        <f t="shared" si="3"/>
        <v>11265.696</v>
      </c>
      <c r="K16" s="177">
        <f t="shared" si="3"/>
        <v>6894.6059519999999</v>
      </c>
      <c r="L16" s="178">
        <f t="shared" ca="1" si="3"/>
        <v>11197.778422660274</v>
      </c>
      <c r="M16" s="25">
        <f ca="1">L16/B6</f>
        <v>259.20783385787672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10" zoomScale="90" zoomScaleNormal="90" workbookViewId="0">
      <selection activeCell="E25" sqref="E25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43.2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12</v>
      </c>
      <c r="B23" s="193">
        <f>'Données projet'!D36</f>
        <v>34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17</v>
      </c>
      <c r="B24" s="193">
        <f>'Données projet'!D37</f>
        <v>43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22</v>
      </c>
      <c r="B25" s="193">
        <f>'Données projet'!D38</f>
        <v>56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309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2023-02-22T08:46:57Z</dcterms:modified>
</cp:coreProperties>
</file>