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codeName="ThisWorkbook"/>
  <mc:AlternateContent xmlns:mc="http://schemas.openxmlformats.org/markup-compatibility/2006">
    <mc:Choice Requires="x15">
      <x15ac:absPath xmlns:x15ac="http://schemas.microsoft.com/office/spreadsheetml/2010/11/ac" url="D:\Projet\Start-up\Forêt\Atmosylva\Projets forestiers\Jean de Grandcourt\Préparation dossier\Questions réponses\Questions 2\Dossier définitif\"/>
    </mc:Choice>
  </mc:AlternateContent>
  <xr:revisionPtr revIDLastSave="0" documentId="13_ncr:1_{AC93ECC2-77BE-4282-B02F-83266FA59463}" xr6:coauthVersionLast="47" xr6:coauthVersionMax="47" xr10:uidLastSave="{00000000-0000-0000-0000-000000000000}"/>
  <bookViews>
    <workbookView xWindow="6420" yWindow="0" windowWidth="14892" windowHeight="10692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9" i="6" l="1"/>
  <c r="E70" i="6"/>
  <c r="E71" i="6"/>
  <c r="E72" i="6"/>
  <c r="E73" i="6"/>
  <c r="C69" i="6"/>
  <c r="C70" i="6"/>
  <c r="C71" i="6"/>
  <c r="C72" i="6"/>
  <c r="C73" i="6"/>
  <c r="E38" i="6"/>
  <c r="E39" i="6"/>
  <c r="E40" i="6"/>
  <c r="E41" i="6"/>
  <c r="E42" i="6"/>
  <c r="C38" i="6"/>
  <c r="C39" i="6"/>
  <c r="C40" i="6"/>
  <c r="C41" i="6"/>
  <c r="C42" i="6"/>
  <c r="C54" i="6"/>
  <c r="I23" i="6" l="1"/>
  <c r="I22" i="6"/>
  <c r="I21" i="6"/>
  <c r="I20" i="6"/>
  <c r="C211" i="6"/>
  <c r="C210" i="6"/>
  <c r="C209" i="6"/>
  <c r="C180" i="6"/>
  <c r="C179" i="6"/>
  <c r="C178" i="6"/>
  <c r="C151" i="6"/>
  <c r="C150" i="6"/>
  <c r="C149" i="6"/>
  <c r="C148" i="6"/>
  <c r="C147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88" i="6"/>
  <c r="C87" i="6"/>
  <c r="C86" i="6"/>
  <c r="C85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E210" i="6" s="1"/>
  <c r="D211" i="6"/>
  <c r="E211" i="6" s="1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E209" i="6" s="1"/>
  <c r="D179" i="6"/>
  <c r="E179" i="6" s="1"/>
  <c r="D180" i="6"/>
  <c r="E180" i="6" s="1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E178" i="6" s="1"/>
  <c r="D148" i="6"/>
  <c r="E148" i="6" s="1"/>
  <c r="D149" i="6"/>
  <c r="E149" i="6" s="1"/>
  <c r="D150" i="6"/>
  <c r="E150" i="6" s="1"/>
  <c r="D151" i="6"/>
  <c r="E151" i="6" s="1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E147" i="6" s="1"/>
  <c r="D117" i="6"/>
  <c r="E117" i="6" s="1"/>
  <c r="D118" i="6"/>
  <c r="E118" i="6" s="1"/>
  <c r="D119" i="6"/>
  <c r="E119" i="6" s="1"/>
  <c r="D120" i="6"/>
  <c r="E120" i="6" s="1"/>
  <c r="D121" i="6"/>
  <c r="E121" i="6" s="1"/>
  <c r="D122" i="6"/>
  <c r="E122" i="6" s="1"/>
  <c r="D123" i="6"/>
  <c r="E123" i="6" s="1"/>
  <c r="D124" i="6"/>
  <c r="E124" i="6" s="1"/>
  <c r="D125" i="6"/>
  <c r="E125" i="6" s="1"/>
  <c r="D126" i="6"/>
  <c r="E126" i="6" s="1"/>
  <c r="D127" i="6"/>
  <c r="E127" i="6" s="1"/>
  <c r="D128" i="6"/>
  <c r="E128" i="6" s="1"/>
  <c r="D129" i="6"/>
  <c r="D130" i="6"/>
  <c r="D131" i="6"/>
  <c r="D132" i="6"/>
  <c r="D133" i="6"/>
  <c r="D134" i="6"/>
  <c r="D135" i="6"/>
  <c r="D116" i="6"/>
  <c r="E116" i="6" s="1"/>
  <c r="D86" i="6"/>
  <c r="E86" i="6" s="1"/>
  <c r="D87" i="6"/>
  <c r="E87" i="6" s="1"/>
  <c r="D88" i="6"/>
  <c r="E88" i="6" s="1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E85" i="6" s="1"/>
  <c r="D55" i="6"/>
  <c r="E55" i="6" s="1"/>
  <c r="D56" i="6"/>
  <c r="E56" i="6" s="1"/>
  <c r="D57" i="6"/>
  <c r="E57" i="6" s="1"/>
  <c r="D58" i="6"/>
  <c r="E58" i="6" s="1"/>
  <c r="D59" i="6"/>
  <c r="E59" i="6" s="1"/>
  <c r="D60" i="6"/>
  <c r="E60" i="6" s="1"/>
  <c r="D61" i="6"/>
  <c r="E61" i="6" s="1"/>
  <c r="D62" i="6"/>
  <c r="E62" i="6" s="1"/>
  <c r="D63" i="6"/>
  <c r="E63" i="6" s="1"/>
  <c r="D64" i="6"/>
  <c r="E64" i="6" s="1"/>
  <c r="D65" i="6"/>
  <c r="E65" i="6" s="1"/>
  <c r="D66" i="6"/>
  <c r="E66" i="6" s="1"/>
  <c r="D67" i="6"/>
  <c r="E67" i="6" s="1"/>
  <c r="D68" i="6"/>
  <c r="E68" i="6" s="1"/>
  <c r="D69" i="6"/>
  <c r="D70" i="6"/>
  <c r="D71" i="6"/>
  <c r="D72" i="6"/>
  <c r="D73" i="6"/>
  <c r="D54" i="6"/>
  <c r="E54" i="6" s="1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E24" i="6" s="1"/>
  <c r="D25" i="6"/>
  <c r="E25" i="6" s="1"/>
  <c r="D26" i="6"/>
  <c r="E26" i="6" s="1"/>
  <c r="D27" i="6"/>
  <c r="E27" i="6" s="1"/>
  <c r="D28" i="6"/>
  <c r="E28" i="6" s="1"/>
  <c r="D29" i="6"/>
  <c r="E29" i="6" s="1"/>
  <c r="D30" i="6"/>
  <c r="E30" i="6" s="1"/>
  <c r="D31" i="6"/>
  <c r="E31" i="6" s="1"/>
  <c r="D32" i="6"/>
  <c r="E32" i="6" s="1"/>
  <c r="D33" i="6"/>
  <c r="E33" i="6" s="1"/>
  <c r="D34" i="6"/>
  <c r="E34" i="6" s="1"/>
  <c r="D35" i="6"/>
  <c r="E35" i="6" s="1"/>
  <c r="D36" i="6"/>
  <c r="E36" i="6" s="1"/>
  <c r="D37" i="6"/>
  <c r="E37" i="6" s="1"/>
  <c r="D38" i="6"/>
  <c r="D39" i="6"/>
  <c r="D40" i="6"/>
  <c r="D41" i="6"/>
  <c r="D42" i="6"/>
  <c r="D23" i="6"/>
  <c r="E23" i="6" s="1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C4" i="2" l="1"/>
  <c r="GL4" i="2"/>
  <c r="FR4" i="2"/>
  <c r="FQ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X5" i="2" l="1"/>
  <c r="FR5" i="2"/>
  <c r="EC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HH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B7" i="2"/>
  <c r="EX7" i="2"/>
  <c r="EA7" i="2"/>
  <c r="EV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A10" i="2"/>
  <c r="EB10" i="2"/>
  <c r="HG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HH14" i="2"/>
  <c r="EX14" i="2"/>
  <c r="HG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EX18" i="2"/>
  <c r="FS18" i="2"/>
  <c r="EA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C20" i="2"/>
  <c r="FS20" i="2"/>
  <c r="HH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B21" i="2" l="1"/>
  <c r="EV21" i="2"/>
  <c r="HH21" i="2"/>
  <c r="EW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EC22" i="2"/>
  <c r="EW22" i="2"/>
  <c r="HG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HH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HG28" i="2"/>
  <c r="EC28" i="2"/>
  <c r="EB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V33" i="2"/>
  <c r="EB33" i="2"/>
  <c r="HG33" i="2"/>
  <c r="EW33" i="2"/>
  <c r="HH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FS38" i="2" l="1"/>
  <c r="HH38" i="2"/>
  <c r="EX38" i="2"/>
  <c r="HI38" i="2"/>
  <c r="EW38" i="2"/>
  <c r="HG38" i="2"/>
  <c r="EA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EA43" i="2"/>
  <c r="HG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EW44" i="2"/>
  <c r="HG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EB45" i="2"/>
  <c r="EX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HG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G48" i="2"/>
  <c r="HH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EB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A59" i="2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EV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A61" i="2" l="1"/>
  <c r="EX61" i="2"/>
  <c r="EV61" i="2"/>
  <c r="EW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A62" i="2"/>
  <c r="HH62" i="2"/>
  <c r="HI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HG63" i="2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B70" i="2"/>
  <c r="EW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H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HG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EA75" i="2"/>
  <c r="EB75" i="2"/>
  <c r="FS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HI78" i="2" l="1"/>
  <c r="EC78" i="2"/>
  <c r="EW78" i="2"/>
  <c r="EV78" i="2"/>
  <c r="EB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H79" i="2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B86" i="2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HI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EB95" i="2"/>
  <c r="HG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X98" i="2"/>
  <c r="FS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FS105" i="2"/>
  <c r="EB105" i="2"/>
  <c r="EA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A107" i="2" l="1"/>
  <c r="EX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W108" i="2"/>
  <c r="EA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HI112" i="2" l="1"/>
  <c r="EC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FS113" i="2" l="1"/>
  <c r="HI113" i="2"/>
  <c r="EX113" i="2"/>
  <c r="EB113" i="2"/>
  <c r="EC113" i="2"/>
  <c r="EW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HH114" i="2"/>
  <c r="EW114" i="2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V116" i="2" l="1"/>
  <c r="EC116" i="2"/>
  <c r="HG116" i="2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HG117" i="2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C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Q120" i="2"/>
  <c r="EX120" i="2"/>
  <c r="FR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I122" i="2" l="1"/>
  <c r="FS122" i="2"/>
  <c r="EC122" i="2"/>
  <c r="HH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EW124" i="2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EB130" i="2"/>
  <c r="FS130" i="2"/>
  <c r="EX130" i="2"/>
  <c r="HI130" i="2"/>
  <c r="EW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FS132" i="2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A139" i="2"/>
  <c r="EB139" i="2"/>
  <c r="HH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EX140" i="2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B141" i="2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HH144" i="2"/>
  <c r="HG144" i="2"/>
  <c r="EA144" i="2"/>
  <c r="FR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H145" i="2"/>
  <c r="HG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EC150" i="2"/>
  <c r="EV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B152" i="2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B153" i="2" l="1"/>
  <c r="EX153" i="2"/>
  <c r="EA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B154" i="2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HH155" i="2" l="1"/>
  <c r="ED154" i="2"/>
  <c r="DI154" i="2"/>
  <c r="EY154" i="2"/>
  <c r="EA155" i="2"/>
  <c r="AC154" i="2"/>
  <c r="EW155" i="2"/>
  <c r="HG155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Y155" i="2" l="1"/>
  <c r="FS156" i="2"/>
  <c r="ED155" i="2"/>
  <c r="DH156" i="2"/>
  <c r="EB156" i="2"/>
  <c r="EX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CN156" i="2"/>
  <c r="EX157" i="2"/>
  <c r="EA157" i="2"/>
  <c r="HG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ED157" i="2"/>
  <c r="HG158" i="2"/>
  <c r="EV158" i="2"/>
  <c r="EW158" i="2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ED158" i="2"/>
  <c r="EA159" i="2"/>
  <c r="HH159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I160" i="2" l="1"/>
  <c r="FS160" i="2"/>
  <c r="HG160" i="2"/>
  <c r="ED159" i="2"/>
  <c r="EC160" i="2"/>
  <c r="DG160" i="2"/>
  <c r="EY159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X161" i="2" l="1"/>
  <c r="FS161" i="2"/>
  <c r="EA161" i="2"/>
  <c r="ED160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HG162" i="2" l="1"/>
  <c r="ED161" i="2"/>
  <c r="DI161" i="2"/>
  <c r="EY161" i="2"/>
  <c r="EC162" i="2"/>
  <c r="EW162" i="2"/>
  <c r="EB162" i="2"/>
  <c r="HH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HH163" i="2" l="1"/>
  <c r="EY162" i="2"/>
  <c r="HI163" i="2"/>
  <c r="ED162" i="2"/>
  <c r="EA163" i="2"/>
  <c r="EV163" i="2"/>
  <c r="EB163" i="2"/>
  <c r="HG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ED163" i="2"/>
  <c r="DI163" i="2"/>
  <c r="DH164" i="2"/>
  <c r="FS164" i="2"/>
  <c r="EA164" i="2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G165" i="2"/>
  <c r="EB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ED165" i="2"/>
  <c r="EC166" i="2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HI167" i="2" l="1"/>
  <c r="EY166" i="2"/>
  <c r="EX167" i="2"/>
  <c r="EC167" i="2"/>
  <c r="DG167" i="2"/>
  <c r="HH167" i="2"/>
  <c r="EA167" i="2"/>
  <c r="EB167" i="2"/>
  <c r="FR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EB168" i="2"/>
  <c r="EC168" i="2"/>
  <c r="DG168" i="2"/>
  <c r="DI167" i="2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HH169" i="2" l="1"/>
  <c r="EA169" i="2"/>
  <c r="EY168" i="2"/>
  <c r="EX169" i="2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Y171" i="2"/>
  <c r="HI172" i="2"/>
  <c r="ED171" i="2"/>
  <c r="EW172" i="2"/>
  <c r="EB172" i="2"/>
  <c r="EA172" i="2"/>
  <c r="HG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W173" i="2"/>
  <c r="EB173" i="2"/>
  <c r="ED172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Y173" i="2" l="1"/>
  <c r="HH174" i="2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AA175" i="2" l="1"/>
  <c r="FS175" i="2"/>
  <c r="HI175" i="2"/>
  <c r="EA175" i="2"/>
  <c r="EB175" i="2"/>
  <c r="ED174" i="2"/>
  <c r="EW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Y175" i="2" l="1"/>
  <c r="HH176" i="2"/>
  <c r="EB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C177" i="2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HH178" i="2" l="1"/>
  <c r="FS178" i="2"/>
  <c r="EW178" i="2"/>
  <c r="ED177" i="2"/>
  <c r="EB178" i="2"/>
  <c r="HG178" i="2"/>
  <c r="EA178" i="2"/>
  <c r="FQ178" i="2"/>
  <c r="HI178" i="2"/>
  <c r="EX178" i="2"/>
  <c r="EC178" i="2"/>
  <c r="ED178" i="2" s="1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HI179" i="2" l="1"/>
  <c r="EB179" i="2"/>
  <c r="HH179" i="2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D179" i="2" l="1"/>
  <c r="EY179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D180" i="2"/>
  <c r="EW181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X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 l="1"/>
  <c r="ED182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HI185" i="2" l="1"/>
  <c r="HH185" i="2"/>
  <c r="ED184" i="2"/>
  <c r="EY184" i="2"/>
  <c r="EW185" i="2"/>
  <c r="EB185" i="2"/>
  <c r="EA185" i="2"/>
  <c r="EV185" i="2"/>
  <c r="HG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G186" i="2" l="1"/>
  <c r="FS186" i="2"/>
  <c r="EW186" i="2"/>
  <c r="FR186" i="2"/>
  <c r="ED185" i="2"/>
  <c r="EA186" i="2"/>
  <c r="HH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G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ED187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AA189" i="2" l="1"/>
  <c r="EV189" i="2"/>
  <c r="EB189" i="2"/>
  <c r="EY188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G190" i="2" l="1"/>
  <c r="EY189" i="2"/>
  <c r="ED189" i="2"/>
  <c r="EV190" i="2"/>
  <c r="EW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EW191" i="2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I192" i="2" l="1"/>
  <c r="EC192" i="2"/>
  <c r="EV192" i="2"/>
  <c r="EY191" i="2"/>
  <c r="EW192" i="2"/>
  <c r="EA192" i="2"/>
  <c r="HH192" i="2"/>
  <c r="EB192" i="2"/>
  <c r="HG192" i="2"/>
  <c r="AW192" i="2"/>
  <c r="EX192" i="2"/>
  <c r="EY192" i="2" s="1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FQ193" i="2" l="1"/>
  <c r="HI193" i="2"/>
  <c r="ED192" i="2"/>
  <c r="DI192" i="2"/>
  <c r="EA193" i="2"/>
  <c r="EX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HI194" i="2" l="1"/>
  <c r="EB194" i="2"/>
  <c r="ED193" i="2"/>
  <c r="CN193" i="2"/>
  <c r="EA194" i="2"/>
  <c r="FQ194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HG195" i="2" l="1"/>
  <c r="EY194" i="2"/>
  <c r="ED194" i="2"/>
  <c r="EX195" i="2"/>
  <c r="DH195" i="2"/>
  <c r="EB195" i="2"/>
  <c r="HI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HG196" i="2"/>
  <c r="EY195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G197" i="2" l="1"/>
  <c r="EA197" i="2"/>
  <c r="EY196" i="2"/>
  <c r="EW197" i="2"/>
  <c r="EC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HI198" i="2"/>
  <c r="EW198" i="2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FS199" i="2" l="1"/>
  <c r="HG199" i="2"/>
  <c r="EA199" i="2"/>
  <c r="EY198" i="2"/>
  <c r="EW199" i="2"/>
  <c r="HH199" i="2"/>
  <c r="EB199" i="2"/>
  <c r="EV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T4" i="2" s="1" a="1"/>
  <c r="GT4" i="2" s="1"/>
  <c r="GU4" i="2" s="1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BC5" i="2" s="1" a="1"/>
  <c r="BC5" i="2" s="1"/>
  <c r="BD5" i="2" s="1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AH5" i="2" s="1" a="1"/>
  <c r="AH5" i="2" s="1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AH4" i="2" a="1"/>
  <c r="AH4" i="2" s="1"/>
  <c r="AI4" i="2" s="1"/>
  <c r="EI4" i="2" a="1"/>
  <c r="EI4" i="2" s="1"/>
  <c r="EJ4" i="2" s="1"/>
  <c r="AX198" i="2"/>
  <c r="HG201" i="2" l="1"/>
  <c r="FS201" i="2"/>
  <c r="EY200" i="2"/>
  <c r="ED200" i="2"/>
  <c r="DI200" i="2"/>
  <c r="EA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R202" i="2" l="1"/>
  <c r="HG202" i="2"/>
  <c r="ED201" i="2"/>
  <c r="EW202" i="2"/>
  <c r="FZ6" i="2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25" i="2" a="1"/>
  <c r="DN25" i="2" s="1"/>
  <c r="EI195" i="2" a="1"/>
  <c r="EI195" i="2" s="1"/>
  <c r="AH151" i="2" a="1"/>
  <c r="AH151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49" i="2" a="1"/>
  <c r="DN49" i="2" s="1"/>
  <c r="DN65" i="2" a="1"/>
  <c r="DN65" i="2" s="1"/>
  <c r="DN6" i="2" a="1"/>
  <c r="DN6" i="2" s="1"/>
  <c r="DO6" i="2" s="1"/>
  <c r="FD82" i="2" a="1"/>
  <c r="FD82" i="2" s="1"/>
  <c r="HJ202" i="2"/>
  <c r="EY202" i="2"/>
  <c r="AX200" i="2"/>
  <c r="BC7" i="2" l="1" a="1"/>
  <c r="BC7" i="2" s="1"/>
  <c r="BC55" i="2" a="1"/>
  <c r="BC55" i="2" s="1"/>
  <c r="BC18" i="2" a="1"/>
  <c r="BC18" i="2" s="1"/>
  <c r="BC181" i="2" a="1"/>
  <c r="BC181" i="2" s="1"/>
  <c r="BC83" i="2" a="1"/>
  <c r="BC83" i="2" s="1"/>
  <c r="BC84" i="2" a="1"/>
  <c r="BC84" i="2" s="1"/>
  <c r="BC82" i="2" a="1"/>
  <c r="BC82" i="2" s="1"/>
  <c r="BC38" i="2" a="1"/>
  <c r="BC38" i="2" s="1"/>
  <c r="BC185" i="2" a="1"/>
  <c r="BC185" i="2" s="1"/>
  <c r="BC32" i="2" a="1"/>
  <c r="BC32" i="2" s="1"/>
  <c r="BC130" i="2" a="1"/>
  <c r="BC130" i="2" s="1"/>
  <c r="BC65" i="2" a="1"/>
  <c r="BC65" i="2" s="1"/>
  <c r="BC47" i="2" a="1"/>
  <c r="BC47" i="2" s="1"/>
  <c r="BC143" i="2" a="1"/>
  <c r="BC143" i="2" s="1"/>
  <c r="BC164" i="2" a="1"/>
  <c r="BC164" i="2" s="1"/>
  <c r="BC114" i="2" a="1"/>
  <c r="BC114" i="2" s="1"/>
  <c r="BC68" i="2" a="1"/>
  <c r="BC68" i="2" s="1"/>
  <c r="BC151" i="2" a="1"/>
  <c r="BC151" i="2" s="1"/>
  <c r="BC31" i="2" a="1"/>
  <c r="BC31" i="2" s="1"/>
  <c r="BC192" i="2" a="1"/>
  <c r="BC192" i="2" s="1"/>
  <c r="BC117" i="2" a="1"/>
  <c r="BC117" i="2" s="1"/>
  <c r="BC126" i="2" a="1"/>
  <c r="BC126" i="2" s="1"/>
  <c r="BC58" i="2" a="1"/>
  <c r="BC58" i="2" s="1"/>
  <c r="CS24" i="2" a="1"/>
  <c r="CS24" i="2" s="1"/>
  <c r="CS66" i="2" a="1"/>
  <c r="CS66" i="2" s="1"/>
  <c r="DN55" i="2" a="1"/>
  <c r="DN55" i="2" s="1"/>
  <c r="DN80" i="2" a="1"/>
  <c r="DN80" i="2" s="1"/>
  <c r="DN150" i="2" a="1"/>
  <c r="DN150" i="2" s="1"/>
  <c r="DN41" i="2" a="1"/>
  <c r="DN41" i="2" s="1"/>
  <c r="DN30" i="2" a="1"/>
  <c r="DN30" i="2" s="1"/>
  <c r="DN31" i="2" a="1"/>
  <c r="DN31" i="2" s="1"/>
  <c r="DN103" i="2" a="1"/>
  <c r="DN103" i="2" s="1"/>
  <c r="DN86" i="2" a="1"/>
  <c r="DN86" i="2" s="1"/>
  <c r="DN124" i="2" a="1"/>
  <c r="DN124" i="2" s="1"/>
  <c r="DN190" i="2" a="1"/>
  <c r="DN190" i="2" s="1"/>
  <c r="DN16" i="2" a="1"/>
  <c r="DN16" i="2" s="1"/>
  <c r="DN170" i="2" a="1"/>
  <c r="DN170" i="2" s="1"/>
  <c r="DN187" i="2" a="1"/>
  <c r="DN187" i="2" s="1"/>
  <c r="DN132" i="2" a="1"/>
  <c r="DN132" i="2" s="1"/>
  <c r="DN176" i="2" a="1"/>
  <c r="DN176" i="2" s="1"/>
  <c r="DN70" i="2" a="1"/>
  <c r="DN70" i="2" s="1"/>
  <c r="DN167" i="2" a="1"/>
  <c r="DN167" i="2" s="1"/>
  <c r="DN164" i="2" a="1"/>
  <c r="DN164" i="2" s="1"/>
  <c r="DN168" i="2" a="1"/>
  <c r="DN168" i="2" s="1"/>
  <c r="DN63" i="2" a="1"/>
  <c r="DN63" i="2" s="1"/>
  <c r="DN192" i="2" a="1"/>
  <c r="DN192" i="2" s="1"/>
  <c r="DN177" i="2" a="1"/>
  <c r="DN177" i="2" s="1"/>
  <c r="DN129" i="2" a="1"/>
  <c r="DN129" i="2" s="1"/>
  <c r="DN184" i="2" a="1"/>
  <c r="DN184" i="2" s="1"/>
  <c r="DN43" i="2" a="1"/>
  <c r="DN43" i="2" s="1"/>
  <c r="DN123" i="2" a="1"/>
  <c r="DN123" i="2" s="1"/>
  <c r="DN66" i="2" a="1"/>
  <c r="DN66" i="2" s="1"/>
  <c r="DN115" i="2" a="1"/>
  <c r="DN115" i="2" s="1"/>
  <c r="DN50" i="2" a="1"/>
  <c r="DN50" i="2" s="1"/>
  <c r="DN152" i="2" a="1"/>
  <c r="DN152" i="2" s="1"/>
  <c r="DN186" i="2" a="1"/>
  <c r="DN186" i="2" s="1"/>
  <c r="DN155" i="2" a="1"/>
  <c r="DN155" i="2" s="1"/>
  <c r="DN56" i="2" a="1"/>
  <c r="DN56" i="2" s="1"/>
  <c r="DN135" i="2" a="1"/>
  <c r="DN135" i="2" s="1"/>
  <c r="DN45" i="2" a="1"/>
  <c r="DN45" i="2" s="1"/>
  <c r="DN46" i="2" a="1"/>
  <c r="DN46" i="2" s="1"/>
  <c r="DN133" i="2" a="1"/>
  <c r="DN133" i="2" s="1"/>
  <c r="DN110" i="2" a="1"/>
  <c r="DN110" i="2" s="1"/>
  <c r="DN162" i="2" a="1"/>
  <c r="DN162" i="2" s="1"/>
  <c r="DN38" i="2" a="1"/>
  <c r="DN38" i="2" s="1"/>
  <c r="DN114" i="2" a="1"/>
  <c r="DN114" i="2" s="1"/>
  <c r="DN188" i="2" a="1"/>
  <c r="DN188" i="2" s="1"/>
  <c r="DN153" i="2" a="1"/>
  <c r="DN153" i="2" s="1"/>
  <c r="DN113" i="2" a="1"/>
  <c r="DN113" i="2" s="1"/>
  <c r="DN29" i="2" a="1"/>
  <c r="DN29" i="2" s="1"/>
  <c r="DN137" i="2" a="1"/>
  <c r="DN137" i="2" s="1"/>
  <c r="BX107" i="2" a="1"/>
  <c r="BX107" i="2" s="1"/>
  <c r="CS114" i="2" a="1"/>
  <c r="CS114" i="2" s="1"/>
  <c r="CS77" i="2" a="1"/>
  <c r="CS77" i="2" s="1"/>
  <c r="CS52" i="2" a="1"/>
  <c r="CS52" i="2" s="1"/>
  <c r="CS134" i="2" a="1"/>
  <c r="CS134" i="2" s="1"/>
  <c r="CS72" i="2" a="1"/>
  <c r="CS72" i="2" s="1"/>
  <c r="CS56" i="2" a="1"/>
  <c r="CS56" i="2" s="1"/>
  <c r="CS38" i="2" a="1"/>
  <c r="CS38" i="2" s="1"/>
  <c r="CS185" i="2" a="1"/>
  <c r="CS185" i="2" s="1"/>
  <c r="CS105" i="2" a="1"/>
  <c r="CS105" i="2" s="1"/>
  <c r="CS137" i="2" a="1"/>
  <c r="CS137" i="2" s="1"/>
  <c r="CS161" i="2" a="1"/>
  <c r="CS161" i="2" s="1"/>
  <c r="CS116" i="2" a="1"/>
  <c r="CS116" i="2" s="1"/>
  <c r="CS120" i="2" a="1"/>
  <c r="CS120" i="2" s="1"/>
  <c r="CS129" i="2" a="1"/>
  <c r="CS129" i="2" s="1"/>
  <c r="BP203" i="2"/>
  <c r="FR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EY203" i="2" s="1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DI203" i="2" l="1"/>
  <c r="ED203" i="2"/>
  <c r="CN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AN100" i="2" l="1"/>
  <c r="AN85" i="2"/>
  <c r="AN118" i="2"/>
  <c r="AN115" i="2"/>
  <c r="AN199" i="2"/>
  <c r="AN116" i="2"/>
  <c r="AN65" i="2"/>
  <c r="AN112" i="2"/>
  <c r="AN125" i="2"/>
  <c r="AN174" i="2"/>
  <c r="AN86" i="2"/>
  <c r="AN51" i="2"/>
  <c r="AN67" i="2"/>
  <c r="AN17" i="2"/>
  <c r="AN106" i="2"/>
  <c r="AN70" i="2"/>
  <c r="AN47" i="2"/>
  <c r="AN43" i="2"/>
  <c r="AN162" i="2"/>
  <c r="AN165" i="2"/>
  <c r="AN117" i="2"/>
  <c r="AN103" i="2"/>
  <c r="AN96" i="2"/>
  <c r="AN181" i="2"/>
  <c r="AN130" i="2"/>
  <c r="AN189" i="2"/>
  <c r="AN190" i="2"/>
  <c r="AN42" i="2"/>
  <c r="AN12" i="2"/>
  <c r="AN173" i="2"/>
  <c r="AN203" i="2"/>
  <c r="AN140" i="2"/>
  <c r="AN169" i="2"/>
  <c r="AN177" i="2"/>
  <c r="AN21" i="2"/>
  <c r="AN202" i="2"/>
  <c r="AN72" i="2"/>
  <c r="AN98" i="2"/>
  <c r="AN56" i="2"/>
  <c r="AN128" i="2"/>
  <c r="AN46" i="2"/>
  <c r="AN182" i="2"/>
  <c r="AN136" i="2"/>
  <c r="AN171" i="2"/>
  <c r="AN25" i="2"/>
  <c r="AN141" i="2"/>
  <c r="AN198" i="2"/>
  <c r="AN38" i="2"/>
  <c r="AN89" i="2"/>
  <c r="AN133" i="2"/>
  <c r="AN113" i="2"/>
  <c r="AN122" i="2"/>
  <c r="AN27" i="2"/>
  <c r="AN90" i="2"/>
  <c r="AN192" i="2"/>
  <c r="AN18" i="2"/>
  <c r="AN30" i="2"/>
  <c r="AN92" i="2"/>
  <c r="AN201" i="2"/>
  <c r="AN33" i="2"/>
  <c r="AN88" i="2"/>
  <c r="AN82" i="2"/>
  <c r="AN11" i="2"/>
  <c r="AN185" i="2"/>
  <c r="AN87" i="2"/>
  <c r="AN129" i="2"/>
  <c r="AN121" i="2"/>
  <c r="AN158" i="2"/>
  <c r="AN15" i="2"/>
  <c r="AN14" i="2"/>
  <c r="AN29" i="2"/>
  <c r="AN175" i="2"/>
  <c r="AN93" i="2"/>
  <c r="AN71" i="2"/>
  <c r="AN197" i="2"/>
  <c r="AN22" i="2"/>
  <c r="AN155" i="2"/>
  <c r="AN104" i="2"/>
  <c r="AN110" i="2"/>
  <c r="AN36" i="2"/>
  <c r="AN191" i="2"/>
  <c r="AN170" i="2"/>
  <c r="AN150" i="2"/>
  <c r="AN26" i="2"/>
  <c r="AN74" i="2"/>
  <c r="AN146" i="2"/>
  <c r="AN144" i="2"/>
  <c r="AN126" i="2"/>
  <c r="AN114" i="2"/>
  <c r="AN153" i="2"/>
  <c r="AN111" i="2"/>
  <c r="AN161" i="2"/>
  <c r="AN94" i="2"/>
  <c r="AN16" i="2"/>
  <c r="AN102" i="2"/>
  <c r="AN178" i="2"/>
  <c r="AN149" i="2"/>
  <c r="AN41" i="2"/>
  <c r="AN49" i="2"/>
  <c r="AN172" i="2"/>
  <c r="AN57" i="2"/>
  <c r="AN134" i="2"/>
  <c r="AN63" i="2"/>
  <c r="AN132" i="2"/>
  <c r="AN80" i="2"/>
  <c r="AN19" i="2"/>
  <c r="AN167" i="2"/>
  <c r="AN176" i="2"/>
  <c r="AN159" i="2"/>
  <c r="AN79" i="2"/>
  <c r="AN168" i="2"/>
  <c r="AN145" i="2"/>
  <c r="AN60" i="2"/>
  <c r="AN154" i="2"/>
  <c r="AN156" i="2"/>
  <c r="AN6" i="2"/>
  <c r="AN142" i="2"/>
  <c r="AN163" i="2"/>
  <c r="AN180" i="2"/>
  <c r="AN124" i="2"/>
  <c r="AN54" i="2"/>
  <c r="AN40" i="2"/>
  <c r="AN138" i="2"/>
  <c r="AN187" i="2"/>
  <c r="AN91" i="2"/>
  <c r="AN28" i="2"/>
  <c r="AN188" i="2"/>
  <c r="AN81" i="2"/>
  <c r="AN66" i="2"/>
  <c r="AN127" i="2"/>
  <c r="AN105" i="2"/>
  <c r="AN137" i="2"/>
  <c r="AN78" i="2"/>
  <c r="AN195" i="2"/>
  <c r="AN7" i="2"/>
  <c r="AN164" i="2"/>
  <c r="AN53" i="2"/>
  <c r="AN76" i="2"/>
  <c r="AN151" i="2"/>
  <c r="AN101" i="2"/>
  <c r="AN44" i="2"/>
  <c r="AN75" i="2"/>
  <c r="AN95" i="2"/>
  <c r="AN97" i="2"/>
  <c r="AN108" i="2"/>
  <c r="AN148" i="2"/>
  <c r="AN194" i="2"/>
  <c r="AN143" i="2"/>
  <c r="AN84" i="2"/>
  <c r="AN10" i="2"/>
  <c r="AN62" i="2"/>
  <c r="AN157" i="2"/>
  <c r="AN152" i="2"/>
  <c r="AN13" i="2"/>
  <c r="AN179" i="2"/>
  <c r="AN37" i="2"/>
  <c r="AN48" i="2"/>
  <c r="AN50" i="2"/>
  <c r="AN20" i="2"/>
  <c r="AN23" i="2"/>
  <c r="AN32" i="2"/>
  <c r="AN55" i="2"/>
  <c r="AN120" i="2"/>
  <c r="AN135" i="2"/>
  <c r="AN8" i="2"/>
  <c r="AN73" i="2"/>
  <c r="AN39" i="2"/>
  <c r="AN61" i="2"/>
  <c r="AN131" i="2"/>
  <c r="AN83" i="2"/>
  <c r="AN160" i="2"/>
  <c r="AN109" i="2"/>
  <c r="AN183" i="2"/>
  <c r="AN123" i="2"/>
  <c r="AN59" i="2"/>
  <c r="AN139" i="2"/>
  <c r="AN68" i="2"/>
  <c r="AN200" i="2"/>
  <c r="AN193" i="2"/>
  <c r="AN52" i="2"/>
  <c r="AN45" i="2"/>
  <c r="AN99" i="2"/>
  <c r="AN3" i="2"/>
  <c r="C7" i="4" s="1"/>
  <c r="E7" i="4" s="1"/>
  <c r="F7" i="4" s="1"/>
  <c r="G7" i="4" s="1"/>
  <c r="L7" i="4" s="1"/>
  <c r="AN184" i="2"/>
  <c r="AN58" i="2"/>
  <c r="AN9" i="2"/>
  <c r="AN4" i="2"/>
  <c r="AN24" i="2"/>
  <c r="AN147" i="2"/>
  <c r="AN119" i="2"/>
  <c r="AN186" i="2"/>
  <c r="AN5" i="2"/>
  <c r="AN196" i="2"/>
  <c r="AN69" i="2"/>
  <c r="AN64" i="2"/>
  <c r="AN31" i="2"/>
  <c r="AN166" i="2"/>
  <c r="AN107" i="2"/>
  <c r="AN34" i="2"/>
  <c r="AN35" i="2"/>
  <c r="AN77" i="2"/>
  <c r="FE175" i="2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<sst xmlns="http://schemas.openxmlformats.org/spreadsheetml/2006/main" count="1176" uniqueCount="324">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</sst>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149.95176191502506</c:v>
                </c:pt>
                <c:pt idx="22">
                  <c:v>164.11390630042692</c:v>
                </c:pt>
                <c:pt idx="23">
                  <c:v>178.24716715271646</c:v>
                </c:pt>
                <c:pt idx="24">
                  <c:v>192.35415851868379</c:v>
                </c:pt>
                <c:pt idx="25">
                  <c:v>206.43707921846078</c:v>
                </c:pt>
                <c:pt idx="26">
                  <c:v>169.613452288893</c:v>
                </c:pt>
                <c:pt idx="27">
                  <c:v>187.65460373716556</c:v>
                </c:pt>
                <c:pt idx="28">
                  <c:v>205.65529308794461</c:v>
                </c:pt>
                <c:pt idx="29">
                  <c:v>223.61956111075639</c:v>
                </c:pt>
                <c:pt idx="30">
                  <c:v>241.55074565033269</c:v>
                </c:pt>
                <c:pt idx="31">
                  <c:v>208.00044644770739</c:v>
                </c:pt>
                <c:pt idx="32">
                  <c:v>229.08024217931529</c:v>
                </c:pt>
                <c:pt idx="33">
                  <c:v>250.11566977871598</c:v>
                </c:pt>
                <c:pt idx="34">
                  <c:v>271.11098488765998</c:v>
                </c:pt>
                <c:pt idx="35">
                  <c:v>292.06972985560316</c:v>
                </c:pt>
                <c:pt idx="36">
                  <c:v>259.45164815796994</c:v>
                </c:pt>
                <c:pt idx="37">
                  <c:v>281.20660167429202</c:v>
                </c:pt>
                <c:pt idx="38">
                  <c:v>302.9238372837217</c:v>
                </c:pt>
                <c:pt idx="39">
                  <c:v>324.60643807826506</c:v>
                </c:pt>
                <c:pt idx="40">
                  <c:v>346.25704166537031</c:v>
                </c:pt>
                <c:pt idx="41">
                  <c:v>314.15647495690467</c:v>
                </c:pt>
                <c:pt idx="42">
                  <c:v>336.20880231759617</c:v>
                </c:pt>
                <c:pt idx="43">
                  <c:v>358.22928558083089</c:v>
                </c:pt>
                <c:pt idx="44">
                  <c:v>380.22015624917964</c:v>
                </c:pt>
                <c:pt idx="45">
                  <c:v>402.18336673633218</c:v>
                </c:pt>
                <c:pt idx="46">
                  <c:v>369.42119511414558</c:v>
                </c:pt>
                <c:pt idx="47">
                  <c:v>390.62711987431999</c:v>
                </c:pt>
                <c:pt idx="48">
                  <c:v>411.80807637868764</c:v>
                </c:pt>
                <c:pt idx="49">
                  <c:v>432.96552861089231</c:v>
                </c:pt>
                <c:pt idx="50">
                  <c:v>454.10078588624395</c:v>
                </c:pt>
                <c:pt idx="51">
                  <c:v>419.88907590240791</c:v>
                </c:pt>
                <c:pt idx="52">
                  <c:v>439.50055712660469</c:v>
                </c:pt>
                <c:pt idx="53">
                  <c:v>459.09327985807062</c:v>
                </c:pt>
                <c:pt idx="54">
                  <c:v>478.66815678776129</c:v>
                </c:pt>
                <c:pt idx="55">
                  <c:v>498.22601991660639</c:v>
                </c:pt>
                <c:pt idx="56">
                  <c:v>462.54894196327677</c:v>
                </c:pt>
                <c:pt idx="57">
                  <c:v>480.58633375842032</c:v>
                </c:pt>
                <c:pt idx="58">
                  <c:v>498.60934258765002</c:v>
                </c:pt>
                <c:pt idx="59">
                  <c:v>516.61856122298457</c:v>
                </c:pt>
                <c:pt idx="60">
                  <c:v>534.61453776319524</c:v>
                </c:pt>
                <c:pt idx="61">
                  <c:v>497.84269099902531</c:v>
                </c:pt>
                <c:pt idx="62">
                  <c:v>514.70332559574479</c:v>
                </c:pt>
                <c:pt idx="63">
                  <c:v>531.55230561741564</c:v>
                </c:pt>
                <c:pt idx="64">
                  <c:v>548.39005229891859</c:v>
                </c:pt>
                <c:pt idx="65">
                  <c:v>565.21695891368086</c:v>
                </c:pt>
                <c:pt idx="66">
                  <c:v>527.34112969241028</c:v>
                </c:pt>
                <c:pt idx="67">
                  <c:v>543.03378149300659</c:v>
                </c:pt>
                <c:pt idx="68">
                  <c:v>558.71691511038489</c:v>
                </c:pt>
                <c:pt idx="69">
                  <c:v>574.39083521123348</c:v>
                </c:pt>
                <c:pt idx="70">
                  <c:v>590.05582848802067</c:v>
                </c:pt>
                <c:pt idx="71">
                  <c:v>551.067775468881</c:v>
                </c:pt>
                <c:pt idx="72">
                  <c:v>565.5992655562859</c:v>
                </c:pt>
                <c:pt idx="73">
                  <c:v>580.12295123245474</c:v>
                </c:pt>
                <c:pt idx="74">
                  <c:v>594.63905531968851</c:v>
                </c:pt>
                <c:pt idx="75">
                  <c:v>609.14778887966054</c:v>
                </c:pt>
                <c:pt idx="76">
                  <c:v>569.42203544921165</c:v>
                </c:pt>
                <c:pt idx="77">
                  <c:v>583.17959594683214</c:v>
                </c:pt>
                <c:pt idx="78">
                  <c:v>596.93039273337797</c:v>
                </c:pt>
                <c:pt idx="79">
                  <c:v>610.67460350167164</c:v>
                </c:pt>
                <c:pt idx="80">
                  <c:v>624.41239729750225</c:v>
                </c:pt>
                <c:pt idx="81">
                  <c:v>583.94370486394735</c:v>
                </c:pt>
                <c:pt idx="82">
                  <c:v>596.93039273337797</c:v>
                </c:pt>
                <c:pt idx="83">
                  <c:v>609.91120610652649</c:v>
                </c:pt>
                <c:pt idx="84">
                  <c:v>622.88628757946492</c:v>
                </c:pt>
                <c:pt idx="85">
                  <c:v>635.85577332565333</c:v>
                </c:pt>
                <c:pt idx="86">
                  <c:v>594.63905531968851</c:v>
                </c:pt>
                <c:pt idx="87">
                  <c:v>606.85741792448357</c:v>
                </c:pt>
                <c:pt idx="88">
                  <c:v>619.07067399707296</c:v>
                </c:pt>
                <c:pt idx="89">
                  <c:v>631.27893844334869</c:v>
                </c:pt>
                <c:pt idx="90">
                  <c:v>643.48232136416652</c:v>
                </c:pt>
                <c:pt idx="91">
                  <c:v>601.8943306586167</c:v>
                </c:pt>
                <c:pt idx="92">
                  <c:v>613.72799533010163</c:v>
                </c:pt>
                <c:pt idx="93">
                  <c:v>625.55692889431919</c:v>
                </c:pt>
                <c:pt idx="94">
                  <c:v>637.3812333927383</c:v>
                </c:pt>
                <c:pt idx="95">
                  <c:v>649.20100677344158</c:v>
                </c:pt>
                <c:pt idx="96">
                  <c:v>606.4756720002963</c:v>
                </c:pt>
                <c:pt idx="97">
                  <c:v>617.16268463508527</c:v>
                </c:pt>
                <c:pt idx="98">
                  <c:v>627.84586213083401</c:v>
                </c:pt>
                <c:pt idx="99">
                  <c:v>638.52527892770956</c:v>
                </c:pt>
                <c:pt idx="100">
                  <c:v>649.2010067734418</c:v>
                </c:pt>
                <c:pt idx="101">
                  <c:v>608.00262579276773</c:v>
                </c:pt>
                <c:pt idx="102">
                  <c:v>618.30749289907283</c:v>
                </c:pt>
                <c:pt idx="103">
                  <c:v>628.60880146856778</c:v>
                </c:pt>
                <c:pt idx="104">
                  <c:v>638.90661802503598</c:v>
                </c:pt>
                <c:pt idx="105">
                  <c:v>649.20100677344158</c:v>
                </c:pt>
                <c:pt idx="106">
                  <c:v>609.14778887966042</c:v>
                </c:pt>
                <c:pt idx="107">
                  <c:v>618.68908588691181</c:v>
                </c:pt>
                <c:pt idx="108">
                  <c:v>628.22733419630015</c:v>
                </c:pt>
                <c:pt idx="109">
                  <c:v>637.76258661477357</c:v>
                </c:pt>
                <c:pt idx="110">
                  <c:v>647.29489424172459</c:v>
                </c:pt>
                <c:pt idx="111">
                  <c:v>608.76607282046416</c:v>
                </c:pt>
                <c:pt idx="112">
                  <c:v>617.92589503011754</c:v>
                </c:pt>
                <c:pt idx="113">
                  <c:v>627.08290360699937</c:v>
                </c:pt>
                <c:pt idx="114">
                  <c:v>636.237145425721</c:v>
                </c:pt>
                <c:pt idx="115">
                  <c:v>645.38866590218879</c:v>
                </c:pt>
                <c:pt idx="116">
                  <c:v>599.60338857466706</c:v>
                </c:pt>
                <c:pt idx="117">
                  <c:v>599.60338857466706</c:v>
                </c:pt>
                <c:pt idx="118">
                  <c:v>599.60338857466706</c:v>
                </c:pt>
                <c:pt idx="119">
                  <c:v>599.60338857466706</c:v>
                </c:pt>
                <c:pt idx="120">
                  <c:v>599.60338857466706</c:v>
                </c:pt>
                <c:pt idx="121">
                  <c:v>599.60338857466706</c:v>
                </c:pt>
                <c:pt idx="122">
                  <c:v>599.60338857466706</c:v>
                </c:pt>
                <c:pt idx="123">
                  <c:v>599.60338857466706</c:v>
                </c:pt>
                <c:pt idx="124">
                  <c:v>599.60338857466706</c:v>
                </c:pt>
                <c:pt idx="125">
                  <c:v>599.60338857466706</c:v>
                </c:pt>
                <c:pt idx="126">
                  <c:v>599.60338857466706</c:v>
                </c:pt>
                <c:pt idx="127">
                  <c:v>599.60338857466706</c:v>
                </c:pt>
                <c:pt idx="128">
                  <c:v>599.60338857466706</c:v>
                </c:pt>
                <c:pt idx="129">
                  <c:v>599.60338857466706</c:v>
                </c:pt>
                <c:pt idx="130">
                  <c:v>599.60338857466706</c:v>
                </c:pt>
                <c:pt idx="131">
                  <c:v>599.60338857466706</c:v>
                </c:pt>
                <c:pt idx="132">
                  <c:v>599.60338857466706</c:v>
                </c:pt>
                <c:pt idx="133">
                  <c:v>599.60338857466706</c:v>
                </c:pt>
                <c:pt idx="134">
                  <c:v>599.60338857466706</c:v>
                </c:pt>
                <c:pt idx="135">
                  <c:v>599.60338857466706</c:v>
                </c:pt>
                <c:pt idx="136">
                  <c:v>599.60338857466706</c:v>
                </c:pt>
                <c:pt idx="137">
                  <c:v>599.60338857466706</c:v>
                </c:pt>
                <c:pt idx="138">
                  <c:v>599.60338857466706</c:v>
                </c:pt>
                <c:pt idx="139">
                  <c:v>599.60338857466706</c:v>
                </c:pt>
                <c:pt idx="140">
                  <c:v>599.60338857466706</c:v>
                </c:pt>
                <c:pt idx="141">
                  <c:v>599.60338857466706</c:v>
                </c:pt>
                <c:pt idx="142">
                  <c:v>599.60338857466706</c:v>
                </c:pt>
                <c:pt idx="143">
                  <c:v>599.60338857466706</c:v>
                </c:pt>
                <c:pt idx="144">
                  <c:v>599.60338857466706</c:v>
                </c:pt>
                <c:pt idx="145">
                  <c:v>599.60338857466706</c:v>
                </c:pt>
                <c:pt idx="146">
                  <c:v>599.60338857466706</c:v>
                </c:pt>
                <c:pt idx="147">
                  <c:v>599.60338857466706</c:v>
                </c:pt>
                <c:pt idx="148">
                  <c:v>599.60338857466706</c:v>
                </c:pt>
                <c:pt idx="149">
                  <c:v>599.60338857466706</c:v>
                </c:pt>
                <c:pt idx="150">
                  <c:v>599.60338857466706</c:v>
                </c:pt>
                <c:pt idx="151">
                  <c:v>599.60338857466706</c:v>
                </c:pt>
                <c:pt idx="152">
                  <c:v>599.60338857466706</c:v>
                </c:pt>
                <c:pt idx="153">
                  <c:v>599.60338857466706</c:v>
                </c:pt>
                <c:pt idx="154">
                  <c:v>599.60338857466706</c:v>
                </c:pt>
                <c:pt idx="155">
                  <c:v>599.60338857466706</c:v>
                </c:pt>
                <c:pt idx="156">
                  <c:v>599.60338857466706</c:v>
                </c:pt>
                <c:pt idx="157">
                  <c:v>599.60338857466706</c:v>
                </c:pt>
                <c:pt idx="158">
                  <c:v>599.60338857466706</c:v>
                </c:pt>
                <c:pt idx="159">
                  <c:v>599.60338857466706</c:v>
                </c:pt>
                <c:pt idx="160">
                  <c:v>599.60338857466706</c:v>
                </c:pt>
                <c:pt idx="161">
                  <c:v>599.60338857466706</c:v>
                </c:pt>
                <c:pt idx="162">
                  <c:v>599.60338857466706</c:v>
                </c:pt>
                <c:pt idx="163">
                  <c:v>599.60338857466706</c:v>
                </c:pt>
                <c:pt idx="164">
                  <c:v>599.60338857466706</c:v>
                </c:pt>
                <c:pt idx="165">
                  <c:v>599.60338857466706</c:v>
                </c:pt>
                <c:pt idx="166">
                  <c:v>599.60338857466706</c:v>
                </c:pt>
                <c:pt idx="167">
                  <c:v>599.60338857466706</c:v>
                </c:pt>
                <c:pt idx="168">
                  <c:v>599.60338857466706</c:v>
                </c:pt>
                <c:pt idx="169">
                  <c:v>599.60338857466706</c:v>
                </c:pt>
                <c:pt idx="170">
                  <c:v>599.60338857466706</c:v>
                </c:pt>
                <c:pt idx="171">
                  <c:v>599.60338857466706</c:v>
                </c:pt>
                <c:pt idx="172">
                  <c:v>599.60338857466706</c:v>
                </c:pt>
                <c:pt idx="173">
                  <c:v>599.60338857466706</c:v>
                </c:pt>
                <c:pt idx="174">
                  <c:v>599.60338857466706</c:v>
                </c:pt>
                <c:pt idx="175">
                  <c:v>599.60338857466706</c:v>
                </c:pt>
                <c:pt idx="176">
                  <c:v>599.60338857466706</c:v>
                </c:pt>
                <c:pt idx="177">
                  <c:v>599.60338857466706</c:v>
                </c:pt>
                <c:pt idx="178">
                  <c:v>599.60338857466706</c:v>
                </c:pt>
                <c:pt idx="179">
                  <c:v>599.60338857466706</c:v>
                </c:pt>
                <c:pt idx="180">
                  <c:v>599.60338857466706</c:v>
                </c:pt>
                <c:pt idx="181">
                  <c:v>599.60338857466706</c:v>
                </c:pt>
                <c:pt idx="182">
                  <c:v>599.60338857466706</c:v>
                </c:pt>
                <c:pt idx="183">
                  <c:v>599.60338857466706</c:v>
                </c:pt>
                <c:pt idx="184">
                  <c:v>599.60338857466706</c:v>
                </c:pt>
                <c:pt idx="185">
                  <c:v>599.60338857466706</c:v>
                </c:pt>
                <c:pt idx="186">
                  <c:v>599.60338857466706</c:v>
                </c:pt>
                <c:pt idx="187">
                  <c:v>599.60338857466706</c:v>
                </c:pt>
                <c:pt idx="188">
                  <c:v>599.60338857466706</c:v>
                </c:pt>
                <c:pt idx="189">
                  <c:v>599.60338857466706</c:v>
                </c:pt>
                <c:pt idx="190">
                  <c:v>599.60338857466706</c:v>
                </c:pt>
                <c:pt idx="191">
                  <c:v>599.60338857466706</c:v>
                </c:pt>
                <c:pt idx="192">
                  <c:v>599.60338857466706</c:v>
                </c:pt>
                <c:pt idx="193">
                  <c:v>599.60338857466706</c:v>
                </c:pt>
                <c:pt idx="194">
                  <c:v>599.60338857466706</c:v>
                </c:pt>
                <c:pt idx="195">
                  <c:v>599.60338857466706</c:v>
                </c:pt>
                <c:pt idx="196">
                  <c:v>599.60338857466706</c:v>
                </c:pt>
                <c:pt idx="197">
                  <c:v>599.60338857466706</c:v>
                </c:pt>
                <c:pt idx="198">
                  <c:v>599.60338857466706</c:v>
                </c:pt>
                <c:pt idx="199">
                  <c:v>599.60338857466706</c:v>
                </c:pt>
                <c:pt idx="200">
                  <c:v>599.60338857466706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167.56178150748116</c:v>
                </c:pt>
                <c:pt idx="22">
                  <c:v>183.39157071786599</c:v>
                </c:pt>
                <c:pt idx="23">
                  <c:v>199.18941693696172</c:v>
                </c:pt>
                <c:pt idx="24">
                  <c:v>214.95821110174333</c:v>
                </c:pt>
                <c:pt idx="25">
                  <c:v>230.70038494007636</c:v>
                </c:pt>
                <c:pt idx="26">
                  <c:v>189.53880266603645</c:v>
                </c:pt>
                <c:pt idx="27">
                  <c:v>209.70501606431188</c:v>
                </c:pt>
                <c:pt idx="28">
                  <c:v>229.82648145953826</c:v>
                </c:pt>
                <c:pt idx="29">
                  <c:v>249.9076676355476</c:v>
                </c:pt>
                <c:pt idx="30">
                  <c:v>269.95226599480003</c:v>
                </c:pt>
                <c:pt idx="31">
                  <c:v>232.44796515158808</c:v>
                </c:pt>
                <c:pt idx="32">
                  <c:v>256.01191793762854</c:v>
                </c:pt>
                <c:pt idx="33">
                  <c:v>279.52680294324563</c:v>
                </c:pt>
                <c:pt idx="34">
                  <c:v>302.99732658461176</c:v>
                </c:pt>
                <c:pt idx="35">
                  <c:v>326.42740643086182</c:v>
                </c:pt>
                <c:pt idx="36">
                  <c:v>289.96337472940422</c:v>
                </c:pt>
                <c:pt idx="37">
                  <c:v>314.28330815365302</c:v>
                </c:pt>
                <c:pt idx="38">
                  <c:v>338.56152844098665</c:v>
                </c:pt>
                <c:pt idx="39">
                  <c:v>362.80144525672227</c:v>
                </c:pt>
                <c:pt idx="40">
                  <c:v>387.0059755941316</c:v>
                </c:pt>
                <c:pt idx="41">
                  <c:v>351.11892985232771</c:v>
                </c:pt>
                <c:pt idx="42">
                  <c:v>375.77238986983883</c:v>
                </c:pt>
                <c:pt idx="43">
                  <c:v>400.3906327370201</c:v>
                </c:pt>
                <c:pt idx="44">
                  <c:v>424.97612632602949</c:v>
                </c:pt>
                <c:pt idx="45">
                  <c:v>449.53102985794379</c:v>
                </c:pt>
                <c:pt idx="46">
                  <c:v>412.90299192267599</c:v>
                </c:pt>
                <c:pt idx="47">
                  <c:v>436.61108755732994</c:v>
                </c:pt>
                <c:pt idx="48">
                  <c:v>460.29157019967312</c:v>
                </c:pt>
                <c:pt idx="49">
                  <c:v>483.94605890429256</c:v>
                </c:pt>
                <c:pt idx="50">
                  <c:v>507.57600167435953</c:v>
                </c:pt>
                <c:pt idx="51">
                  <c:v>469.3262695994801</c:v>
                </c:pt>
                <c:pt idx="52">
                  <c:v>491.25241699045142</c:v>
                </c:pt>
                <c:pt idx="53">
                  <c:v>513.15781891487757</c:v>
                </c:pt>
                <c:pt idx="54">
                  <c:v>535.04348473955281</c:v>
                </c:pt>
                <c:pt idx="55">
                  <c:v>556.91033459423954</c:v>
                </c:pt>
                <c:pt idx="56">
                  <c:v>517.02140203717238</c:v>
                </c:pt>
                <c:pt idx="57">
                  <c:v>537.18811127897277</c:v>
                </c:pt>
                <c:pt idx="58">
                  <c:v>557.33891405416773</c:v>
                </c:pt>
                <c:pt idx="59">
                  <c:v>577.47446592353515</c:v>
                </c:pt>
                <c:pt idx="60">
                  <c:v>597.59537304263779</c:v>
                </c:pt>
                <c:pt idx="61">
                  <c:v>556.48174822611588</c:v>
                </c:pt>
                <c:pt idx="62">
                  <c:v>575.33309228627434</c:v>
                </c:pt>
                <c:pt idx="63">
                  <c:v>594.17154727265404</c:v>
                </c:pt>
                <c:pt idx="64">
                  <c:v>612.99757903900309</c:v>
                </c:pt>
                <c:pt idx="65">
                  <c:v>631.81162251582646</c:v>
                </c:pt>
                <c:pt idx="66">
                  <c:v>589.46311584770126</c:v>
                </c:pt>
                <c:pt idx="67">
                  <c:v>607.00879854794766</c:v>
                </c:pt>
                <c:pt idx="68">
                  <c:v>624.54395486132705</c:v>
                </c:pt>
                <c:pt idx="69">
                  <c:v>642.06892172602977</c:v>
                </c:pt>
                <c:pt idx="70">
                  <c:v>659.58401620212555</c:v>
                </c:pt>
                <c:pt idx="71">
                  <c:v>615.99151338618674</c:v>
                </c:pt>
                <c:pt idx="72">
                  <c:v>632.23907832556176</c:v>
                </c:pt>
                <c:pt idx="73">
                  <c:v>648.4780121795651</c:v>
                </c:pt>
                <c:pt idx="74">
                  <c:v>664.70856137271755</c:v>
                </c:pt>
                <c:pt idx="75">
                  <c:v>680.93095932318113</c:v>
                </c:pt>
                <c:pt idx="76">
                  <c:v>636.51330847982445</c:v>
                </c:pt>
                <c:pt idx="77">
                  <c:v>651.89565867529132</c:v>
                </c:pt>
                <c:pt idx="78">
                  <c:v>667.27052872062916</c:v>
                </c:pt>
                <c:pt idx="79">
                  <c:v>682.63811513058772</c:v>
                </c:pt>
                <c:pt idx="80">
                  <c:v>697.99860485695501</c:v>
                </c:pt>
                <c:pt idx="81">
                  <c:v>652.75001250200114</c:v>
                </c:pt>
                <c:pt idx="82">
                  <c:v>667.27052872062916</c:v>
                </c:pt>
                <c:pt idx="83">
                  <c:v>681.78454819307183</c:v>
                </c:pt>
                <c:pt idx="84">
                  <c:v>696.29222861974176</c:v>
                </c:pt>
                <c:pt idx="85">
                  <c:v>710.79372059813113</c:v>
                </c:pt>
                <c:pt idx="86">
                  <c:v>664.70856137271755</c:v>
                </c:pt>
                <c:pt idx="87">
                  <c:v>678.37006080489357</c:v>
                </c:pt>
                <c:pt idx="88">
                  <c:v>692.0259128007566</c:v>
                </c:pt>
                <c:pt idx="89">
                  <c:v>705.67624443748446</c:v>
                </c:pt>
                <c:pt idx="90">
                  <c:v>719.32117747825203</c:v>
                </c:pt>
                <c:pt idx="91">
                  <c:v>672.82076514505172</c:v>
                </c:pt>
                <c:pt idx="92">
                  <c:v>686.05216418180908</c:v>
                </c:pt>
                <c:pt idx="93">
                  <c:v>699.27833097368728</c:v>
                </c:pt>
                <c:pt idx="94">
                  <c:v>712.49937837079085</c:v>
                </c:pt>
                <c:pt idx="95">
                  <c:v>725.71541469625174</c:v>
                </c:pt>
                <c:pt idx="96">
                  <c:v>677.94322510709128</c:v>
                </c:pt>
                <c:pt idx="97">
                  <c:v>689.89255298185071</c:v>
                </c:pt>
                <c:pt idx="98">
                  <c:v>701.83763948445983</c:v>
                </c:pt>
                <c:pt idx="99">
                  <c:v>713.77856694008267</c:v>
                </c:pt>
                <c:pt idx="100">
                  <c:v>725.71541469625208</c:v>
                </c:pt>
                <c:pt idx="101">
                  <c:v>679.6505348264443</c:v>
                </c:pt>
                <c:pt idx="102">
                  <c:v>691.17258507143549</c:v>
                </c:pt>
                <c:pt idx="103">
                  <c:v>702.69069984530972</c:v>
                </c:pt>
                <c:pt idx="104">
                  <c:v>714.20495271831226</c:v>
                </c:pt>
                <c:pt idx="105">
                  <c:v>725.71541469625174</c:v>
                </c:pt>
                <c:pt idx="106">
                  <c:v>680.93095932318067</c:v>
                </c:pt>
                <c:pt idx="107">
                  <c:v>691.59925163326625</c:v>
                </c:pt>
                <c:pt idx="108">
                  <c:v>702.26417231534106</c:v>
                </c:pt>
                <c:pt idx="109">
                  <c:v>712.92577976987479</c:v>
                </c:pt>
                <c:pt idx="110">
                  <c:v>723.58413050890942</c:v>
                </c:pt>
                <c:pt idx="111">
                  <c:v>680.50415665378762</c:v>
                </c:pt>
                <c:pt idx="112">
                  <c:v>690.74591311146139</c:v>
                </c:pt>
                <c:pt idx="113">
                  <c:v>700.98455790524133</c:v>
                </c:pt>
                <c:pt idx="114">
                  <c:v>711.22014287488344</c:v>
                </c:pt>
                <c:pt idx="115">
                  <c:v>721.45271824692588</c:v>
                </c:pt>
                <c:pt idx="116">
                  <c:v>670.25923500177089</c:v>
                </c:pt>
                <c:pt idx="117">
                  <c:v>670.25923500177089</c:v>
                </c:pt>
                <c:pt idx="118">
                  <c:v>670.25923500177089</c:v>
                </c:pt>
                <c:pt idx="119">
                  <c:v>670.25923500177089</c:v>
                </c:pt>
                <c:pt idx="120">
                  <c:v>670.25923500177089</c:v>
                </c:pt>
                <c:pt idx="121">
                  <c:v>670.25923500177089</c:v>
                </c:pt>
                <c:pt idx="122">
                  <c:v>670.25923500177089</c:v>
                </c:pt>
                <c:pt idx="123">
                  <c:v>670.25923500177089</c:v>
                </c:pt>
                <c:pt idx="124">
                  <c:v>670.25923500177089</c:v>
                </c:pt>
                <c:pt idx="125">
                  <c:v>670.25923500177089</c:v>
                </c:pt>
                <c:pt idx="126">
                  <c:v>670.25923500177089</c:v>
                </c:pt>
                <c:pt idx="127">
                  <c:v>670.25923500177089</c:v>
                </c:pt>
                <c:pt idx="128">
                  <c:v>670.25923500177089</c:v>
                </c:pt>
                <c:pt idx="129">
                  <c:v>670.25923500177089</c:v>
                </c:pt>
                <c:pt idx="130">
                  <c:v>670.25923500177089</c:v>
                </c:pt>
                <c:pt idx="131">
                  <c:v>670.25923500177089</c:v>
                </c:pt>
                <c:pt idx="132">
                  <c:v>670.25923500177089</c:v>
                </c:pt>
                <c:pt idx="133">
                  <c:v>670.25923500177089</c:v>
                </c:pt>
                <c:pt idx="134">
                  <c:v>670.25923500177089</c:v>
                </c:pt>
                <c:pt idx="135">
                  <c:v>670.25923500177089</c:v>
                </c:pt>
                <c:pt idx="136">
                  <c:v>670.25923500177089</c:v>
                </c:pt>
                <c:pt idx="137">
                  <c:v>670.25923500177089</c:v>
                </c:pt>
                <c:pt idx="138">
                  <c:v>670.25923500177089</c:v>
                </c:pt>
                <c:pt idx="139">
                  <c:v>670.25923500177089</c:v>
                </c:pt>
                <c:pt idx="140">
                  <c:v>670.25923500177089</c:v>
                </c:pt>
                <c:pt idx="141">
                  <c:v>670.25923500177089</c:v>
                </c:pt>
                <c:pt idx="142">
                  <c:v>670.25923500177089</c:v>
                </c:pt>
                <c:pt idx="143">
                  <c:v>670.25923500177089</c:v>
                </c:pt>
                <c:pt idx="144">
                  <c:v>670.25923500177089</c:v>
                </c:pt>
                <c:pt idx="145">
                  <c:v>670.25923500177089</c:v>
                </c:pt>
                <c:pt idx="146">
                  <c:v>670.25923500177089</c:v>
                </c:pt>
                <c:pt idx="147">
                  <c:v>670.25923500177089</c:v>
                </c:pt>
                <c:pt idx="148">
                  <c:v>670.25923500177089</c:v>
                </c:pt>
                <c:pt idx="149">
                  <c:v>670.25923500177089</c:v>
                </c:pt>
                <c:pt idx="150">
                  <c:v>670.25923500177089</c:v>
                </c:pt>
                <c:pt idx="151">
                  <c:v>670.25923500177089</c:v>
                </c:pt>
                <c:pt idx="152">
                  <c:v>670.25923500177089</c:v>
                </c:pt>
                <c:pt idx="153">
                  <c:v>670.25923500177089</c:v>
                </c:pt>
                <c:pt idx="154">
                  <c:v>670.25923500177089</c:v>
                </c:pt>
                <c:pt idx="155">
                  <c:v>670.25923500177089</c:v>
                </c:pt>
                <c:pt idx="156">
                  <c:v>670.25923500177089</c:v>
                </c:pt>
                <c:pt idx="157">
                  <c:v>670.25923500177089</c:v>
                </c:pt>
                <c:pt idx="158">
                  <c:v>670.25923500177089</c:v>
                </c:pt>
                <c:pt idx="159">
                  <c:v>670.25923500177089</c:v>
                </c:pt>
                <c:pt idx="160">
                  <c:v>670.25923500177089</c:v>
                </c:pt>
                <c:pt idx="161">
                  <c:v>670.25923500177089</c:v>
                </c:pt>
                <c:pt idx="162">
                  <c:v>670.25923500177089</c:v>
                </c:pt>
                <c:pt idx="163">
                  <c:v>670.25923500177089</c:v>
                </c:pt>
                <c:pt idx="164">
                  <c:v>670.25923500177089</c:v>
                </c:pt>
                <c:pt idx="165">
                  <c:v>670.25923500177089</c:v>
                </c:pt>
                <c:pt idx="166">
                  <c:v>670.25923500177089</c:v>
                </c:pt>
                <c:pt idx="167">
                  <c:v>670.25923500177089</c:v>
                </c:pt>
                <c:pt idx="168">
                  <c:v>670.25923500177089</c:v>
                </c:pt>
                <c:pt idx="169">
                  <c:v>670.25923500177089</c:v>
                </c:pt>
                <c:pt idx="170">
                  <c:v>670.25923500177089</c:v>
                </c:pt>
                <c:pt idx="171">
                  <c:v>670.25923500177089</c:v>
                </c:pt>
                <c:pt idx="172">
                  <c:v>670.25923500177089</c:v>
                </c:pt>
                <c:pt idx="173">
                  <c:v>670.25923500177089</c:v>
                </c:pt>
                <c:pt idx="174">
                  <c:v>670.25923500177089</c:v>
                </c:pt>
                <c:pt idx="175">
                  <c:v>670.25923500177089</c:v>
                </c:pt>
                <c:pt idx="176">
                  <c:v>670.25923500177089</c:v>
                </c:pt>
                <c:pt idx="177">
                  <c:v>670.25923500177089</c:v>
                </c:pt>
                <c:pt idx="178">
                  <c:v>670.25923500177089</c:v>
                </c:pt>
                <c:pt idx="179">
                  <c:v>670.25923500177089</c:v>
                </c:pt>
                <c:pt idx="180">
                  <c:v>670.25923500177089</c:v>
                </c:pt>
                <c:pt idx="181">
                  <c:v>670.25923500177089</c:v>
                </c:pt>
                <c:pt idx="182">
                  <c:v>670.25923500177089</c:v>
                </c:pt>
                <c:pt idx="183">
                  <c:v>670.25923500177089</c:v>
                </c:pt>
                <c:pt idx="184">
                  <c:v>670.25923500177089</c:v>
                </c:pt>
                <c:pt idx="185">
                  <c:v>670.25923500177089</c:v>
                </c:pt>
                <c:pt idx="186">
                  <c:v>670.25923500177089</c:v>
                </c:pt>
                <c:pt idx="187">
                  <c:v>670.25923500177089</c:v>
                </c:pt>
                <c:pt idx="188">
                  <c:v>670.25923500177089</c:v>
                </c:pt>
                <c:pt idx="189">
                  <c:v>670.25923500177089</c:v>
                </c:pt>
                <c:pt idx="190">
                  <c:v>670.25923500177089</c:v>
                </c:pt>
                <c:pt idx="191">
                  <c:v>670.25923500177089</c:v>
                </c:pt>
                <c:pt idx="192">
                  <c:v>670.25923500177089</c:v>
                </c:pt>
                <c:pt idx="193">
                  <c:v>670.25923500177089</c:v>
                </c:pt>
                <c:pt idx="194">
                  <c:v>670.25923500177089</c:v>
                </c:pt>
                <c:pt idx="195">
                  <c:v>670.25923500177089</c:v>
                </c:pt>
                <c:pt idx="196">
                  <c:v>670.25923500177089</c:v>
                </c:pt>
                <c:pt idx="197">
                  <c:v>670.25923500177089</c:v>
                </c:pt>
                <c:pt idx="198">
                  <c:v>670.25923500177089</c:v>
                </c:pt>
                <c:pt idx="199">
                  <c:v>670.25923500177089</c:v>
                </c:pt>
                <c:pt idx="200">
                  <c:v>670.25923500177089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2.5099084333657289</c:v>
                </c:pt>
                <c:pt idx="2">
                  <c:v>3.3390742905047959</c:v>
                </c:pt>
                <c:pt idx="3">
                  <c:v>4.4432873762532026</c:v>
                </c:pt>
                <c:pt idx="4">
                  <c:v>5.9141368360293844</c:v>
                </c:pt>
                <c:pt idx="5">
                  <c:v>7.8738198273837083</c:v>
                </c:pt>
                <c:pt idx="6">
                  <c:v>10.485404227511395</c:v>
                </c:pt>
                <c:pt idx="7">
                  <c:v>13.966542826901206</c:v>
                </c:pt>
                <c:pt idx="8">
                  <c:v>18.607803005842772</c:v>
                </c:pt>
                <c:pt idx="9">
                  <c:v>24.797169428865654</c:v>
                </c:pt>
                <c:pt idx="10">
                  <c:v>33.052804184434116</c:v>
                </c:pt>
                <c:pt idx="11">
                  <c:v>44.066854323514804</c:v>
                </c:pt>
                <c:pt idx="12">
                  <c:v>58.764041593930564</c:v>
                </c:pt>
                <c:pt idx="13">
                  <c:v>78.380034661533784</c:v>
                </c:pt>
                <c:pt idx="14">
                  <c:v>104.56629927758358</c:v>
                </c:pt>
                <c:pt idx="15">
                  <c:v>139.53039284849766</c:v>
                </c:pt>
                <c:pt idx="16">
                  <c:v>186.22371263906859</c:v>
                </c:pt>
                <c:pt idx="17">
                  <c:v>248.59278412863242</c:v>
                </c:pt>
                <c:pt idx="18">
                  <c:v>331.91564015711754</c:v>
                </c:pt>
                <c:pt idx="19">
                  <c:v>312.97620416424746</c:v>
                </c:pt>
                <c:pt idx="20">
                  <c:v>326.46208935991461</c:v>
                </c:pt>
                <c:pt idx="21">
                  <c:v>339.93567373537633</c:v>
                </c:pt>
                <c:pt idx="22">
                  <c:v>353.39751357663499</c:v>
                </c:pt>
                <c:pt idx="23">
                  <c:v>366.84811932406848</c:v>
                </c:pt>
                <c:pt idx="24">
                  <c:v>380.28796092864667</c:v>
                </c:pt>
                <c:pt idx="25">
                  <c:v>393.71747241127747</c:v>
                </c:pt>
                <c:pt idx="26">
                  <c:v>327.53236076872145</c:v>
                </c:pt>
                <c:pt idx="27">
                  <c:v>338.40986418312281</c:v>
                </c:pt>
                <c:pt idx="28">
                  <c:v>349.27967449888985</c:v>
                </c:pt>
                <c:pt idx="29">
                  <c:v>360.14206497154623</c:v>
                </c:pt>
                <c:pt idx="30">
                  <c:v>370.99729102145488</c:v>
                </c:pt>
                <c:pt idx="31">
                  <c:v>381.84559189688815</c:v>
                </c:pt>
                <c:pt idx="32">
                  <c:v>392.68719213818446</c:v>
                </c:pt>
                <c:pt idx="33">
                  <c:v>286.34231774237315</c:v>
                </c:pt>
                <c:pt idx="34">
                  <c:v>295.45657341072757</c:v>
                </c:pt>
                <c:pt idx="35">
                  <c:v>304.56455866922147</c:v>
                </c:pt>
                <c:pt idx="36">
                  <c:v>313.6664876191607</c:v>
                </c:pt>
                <c:pt idx="37">
                  <c:v>322.76256091263434</c:v>
                </c:pt>
                <c:pt idx="38">
                  <c:v>331.85296696083986</c:v>
                </c:pt>
                <c:pt idx="39">
                  <c:v>340.93788300301532</c:v>
                </c:pt>
                <c:pt idx="40">
                  <c:v>350.01747605541959</c:v>
                </c:pt>
                <c:pt idx="41">
                  <c:v>2.3728589156891171E-12</c:v>
                </c:pt>
                <c:pt idx="42">
                  <c:v>2.3728589156891171E-12</c:v>
                </c:pt>
                <c:pt idx="43">
                  <c:v>2.3728589156891171E-12</c:v>
                </c:pt>
                <c:pt idx="44">
                  <c:v>2.3728589156891171E-12</c:v>
                </c:pt>
                <c:pt idx="45">
                  <c:v>2.3728589156891171E-12</c:v>
                </c:pt>
                <c:pt idx="46">
                  <c:v>2.3728589156891171E-12</c:v>
                </c:pt>
                <c:pt idx="47">
                  <c:v>2.3728589156891171E-12</c:v>
                </c:pt>
                <c:pt idx="48">
                  <c:v>2.3728589156891171E-12</c:v>
                </c:pt>
                <c:pt idx="49">
                  <c:v>2.3728589156891171E-12</c:v>
                </c:pt>
                <c:pt idx="50">
                  <c:v>2.3728589156891171E-12</c:v>
                </c:pt>
                <c:pt idx="51">
                  <c:v>2.3728589156891171E-12</c:v>
                </c:pt>
                <c:pt idx="52">
                  <c:v>2.3728589156891171E-12</c:v>
                </c:pt>
                <c:pt idx="53">
                  <c:v>2.3728589156891171E-12</c:v>
                </c:pt>
                <c:pt idx="54">
                  <c:v>2.3728589156891171E-12</c:v>
                </c:pt>
                <c:pt idx="55">
                  <c:v>2.3728589156891171E-12</c:v>
                </c:pt>
                <c:pt idx="56">
                  <c:v>2.3728589156891171E-12</c:v>
                </c:pt>
                <c:pt idx="57">
                  <c:v>2.3728589156891171E-12</c:v>
                </c:pt>
                <c:pt idx="58">
                  <c:v>2.3728589156891171E-12</c:v>
                </c:pt>
                <c:pt idx="59">
                  <c:v>2.3728589156891171E-12</c:v>
                </c:pt>
                <c:pt idx="60">
                  <c:v>2.3728589156891171E-12</c:v>
                </c:pt>
                <c:pt idx="61">
                  <c:v>2.3728589156891171E-12</c:v>
                </c:pt>
                <c:pt idx="62">
                  <c:v>2.3728589156891171E-12</c:v>
                </c:pt>
                <c:pt idx="63">
                  <c:v>2.3728589156891171E-12</c:v>
                </c:pt>
                <c:pt idx="64">
                  <c:v>2.3728589156891171E-12</c:v>
                </c:pt>
                <c:pt idx="65">
                  <c:v>2.3728589156891171E-12</c:v>
                </c:pt>
                <c:pt idx="66">
                  <c:v>2.3728589156891171E-12</c:v>
                </c:pt>
                <c:pt idx="67">
                  <c:v>2.3728589156891171E-12</c:v>
                </c:pt>
                <c:pt idx="68">
                  <c:v>2.3728589156891171E-12</c:v>
                </c:pt>
                <c:pt idx="69">
                  <c:v>2.3728589156891171E-12</c:v>
                </c:pt>
                <c:pt idx="70">
                  <c:v>2.3728589156891171E-12</c:v>
                </c:pt>
                <c:pt idx="71">
                  <c:v>2.3728589156891171E-12</c:v>
                </c:pt>
                <c:pt idx="72">
                  <c:v>2.3728589156891171E-12</c:v>
                </c:pt>
                <c:pt idx="73">
                  <c:v>2.3728589156891171E-12</c:v>
                </c:pt>
                <c:pt idx="74">
                  <c:v>2.3728589156891171E-12</c:v>
                </c:pt>
                <c:pt idx="75">
                  <c:v>2.3728589156891171E-12</c:v>
                </c:pt>
                <c:pt idx="76">
                  <c:v>2.3728589156891171E-12</c:v>
                </c:pt>
                <c:pt idx="77">
                  <c:v>2.3728589156891171E-12</c:v>
                </c:pt>
                <c:pt idx="78">
                  <c:v>2.3728589156891171E-12</c:v>
                </c:pt>
                <c:pt idx="79">
                  <c:v>2.3728589156891171E-12</c:v>
                </c:pt>
                <c:pt idx="80">
                  <c:v>2.3728589156891171E-12</c:v>
                </c:pt>
                <c:pt idx="81">
                  <c:v>2.3728589156891171E-12</c:v>
                </c:pt>
                <c:pt idx="82">
                  <c:v>2.3728589156891171E-12</c:v>
                </c:pt>
                <c:pt idx="83">
                  <c:v>2.3728589156891171E-12</c:v>
                </c:pt>
                <c:pt idx="84">
                  <c:v>2.3728589156891171E-12</c:v>
                </c:pt>
                <c:pt idx="85">
                  <c:v>2.3728589156891171E-12</c:v>
                </c:pt>
                <c:pt idx="86">
                  <c:v>2.3728589156891171E-12</c:v>
                </c:pt>
                <c:pt idx="87">
                  <c:v>2.3728589156891171E-12</c:v>
                </c:pt>
                <c:pt idx="88">
                  <c:v>2.3728589156891171E-12</c:v>
                </c:pt>
                <c:pt idx="89">
                  <c:v>2.3728589156891171E-12</c:v>
                </c:pt>
                <c:pt idx="90">
                  <c:v>2.3728589156891171E-12</c:v>
                </c:pt>
                <c:pt idx="91">
                  <c:v>2.3728589156891171E-12</c:v>
                </c:pt>
                <c:pt idx="92">
                  <c:v>2.3728589156891171E-12</c:v>
                </c:pt>
                <c:pt idx="93">
                  <c:v>2.3728589156891171E-12</c:v>
                </c:pt>
                <c:pt idx="94">
                  <c:v>2.3728589156891171E-12</c:v>
                </c:pt>
                <c:pt idx="95">
                  <c:v>2.3728589156891171E-12</c:v>
                </c:pt>
                <c:pt idx="96">
                  <c:v>2.3728589156891171E-12</c:v>
                </c:pt>
                <c:pt idx="97">
                  <c:v>2.3728589156891171E-12</c:v>
                </c:pt>
                <c:pt idx="98">
                  <c:v>2.3728589156891171E-12</c:v>
                </c:pt>
                <c:pt idx="99">
                  <c:v>2.3728589156891171E-12</c:v>
                </c:pt>
                <c:pt idx="100">
                  <c:v>2.3728589156891171E-12</c:v>
                </c:pt>
                <c:pt idx="101">
                  <c:v>2.3728589156891171E-12</c:v>
                </c:pt>
                <c:pt idx="102">
                  <c:v>2.3728589156891171E-12</c:v>
                </c:pt>
                <c:pt idx="103">
                  <c:v>2.3728589156891171E-12</c:v>
                </c:pt>
                <c:pt idx="104">
                  <c:v>2.3728589156891171E-12</c:v>
                </c:pt>
                <c:pt idx="105">
                  <c:v>2.3728589156891171E-12</c:v>
                </c:pt>
                <c:pt idx="106">
                  <c:v>2.3728589156891171E-12</c:v>
                </c:pt>
                <c:pt idx="107">
                  <c:v>2.3728589156891171E-12</c:v>
                </c:pt>
                <c:pt idx="108">
                  <c:v>2.3728589156891171E-12</c:v>
                </c:pt>
                <c:pt idx="109">
                  <c:v>2.3728589156891171E-12</c:v>
                </c:pt>
                <c:pt idx="110">
                  <c:v>2.3728589156891171E-12</c:v>
                </c:pt>
                <c:pt idx="111">
                  <c:v>2.3728589156891171E-12</c:v>
                </c:pt>
                <c:pt idx="112">
                  <c:v>2.3728589156891171E-12</c:v>
                </c:pt>
                <c:pt idx="113">
                  <c:v>2.3728589156891171E-12</c:v>
                </c:pt>
                <c:pt idx="114">
                  <c:v>2.3728589156891171E-12</c:v>
                </c:pt>
                <c:pt idx="115">
                  <c:v>2.3728589156891171E-12</c:v>
                </c:pt>
                <c:pt idx="116">
                  <c:v>2.3728589156891171E-12</c:v>
                </c:pt>
                <c:pt idx="117">
                  <c:v>2.3728589156891171E-12</c:v>
                </c:pt>
                <c:pt idx="118">
                  <c:v>2.3728589156891171E-12</c:v>
                </c:pt>
                <c:pt idx="119">
                  <c:v>2.3728589156891171E-12</c:v>
                </c:pt>
                <c:pt idx="120">
                  <c:v>2.3728589156891171E-12</c:v>
                </c:pt>
                <c:pt idx="121">
                  <c:v>2.3728589156891171E-12</c:v>
                </c:pt>
                <c:pt idx="122">
                  <c:v>2.3728589156891171E-12</c:v>
                </c:pt>
                <c:pt idx="123">
                  <c:v>2.3728589156891171E-12</c:v>
                </c:pt>
                <c:pt idx="124">
                  <c:v>2.3728589156891171E-12</c:v>
                </c:pt>
                <c:pt idx="125">
                  <c:v>2.3728589156891171E-12</c:v>
                </c:pt>
                <c:pt idx="126">
                  <c:v>2.3728589156891171E-12</c:v>
                </c:pt>
                <c:pt idx="127">
                  <c:v>2.3728589156891171E-12</c:v>
                </c:pt>
                <c:pt idx="128">
                  <c:v>2.3728589156891171E-12</c:v>
                </c:pt>
                <c:pt idx="129">
                  <c:v>2.3728589156891171E-12</c:v>
                </c:pt>
                <c:pt idx="130">
                  <c:v>2.3728589156891171E-12</c:v>
                </c:pt>
                <c:pt idx="131">
                  <c:v>2.3728589156891171E-12</c:v>
                </c:pt>
                <c:pt idx="132">
                  <c:v>2.3728589156891171E-12</c:v>
                </c:pt>
                <c:pt idx="133">
                  <c:v>2.3728589156891171E-12</c:v>
                </c:pt>
                <c:pt idx="134">
                  <c:v>2.3728589156891171E-12</c:v>
                </c:pt>
                <c:pt idx="135">
                  <c:v>2.3728589156891171E-12</c:v>
                </c:pt>
                <c:pt idx="136">
                  <c:v>2.3728589156891171E-12</c:v>
                </c:pt>
                <c:pt idx="137">
                  <c:v>2.3728589156891171E-12</c:v>
                </c:pt>
                <c:pt idx="138">
                  <c:v>2.3728589156891171E-12</c:v>
                </c:pt>
                <c:pt idx="139">
                  <c:v>2.3728589156891171E-12</c:v>
                </c:pt>
                <c:pt idx="140">
                  <c:v>2.3728589156891171E-12</c:v>
                </c:pt>
                <c:pt idx="141">
                  <c:v>2.3728589156891171E-12</c:v>
                </c:pt>
                <c:pt idx="142">
                  <c:v>2.3728589156891171E-12</c:v>
                </c:pt>
                <c:pt idx="143">
                  <c:v>2.3728589156891171E-12</c:v>
                </c:pt>
                <c:pt idx="144">
                  <c:v>2.3728589156891171E-12</c:v>
                </c:pt>
                <c:pt idx="145">
                  <c:v>2.3728589156891171E-12</c:v>
                </c:pt>
                <c:pt idx="146">
                  <c:v>2.3728589156891171E-12</c:v>
                </c:pt>
                <c:pt idx="147">
                  <c:v>2.3728589156891171E-12</c:v>
                </c:pt>
                <c:pt idx="148">
                  <c:v>2.3728589156891171E-12</c:v>
                </c:pt>
                <c:pt idx="149">
                  <c:v>2.3728589156891171E-12</c:v>
                </c:pt>
                <c:pt idx="150">
                  <c:v>2.3728589156891171E-12</c:v>
                </c:pt>
                <c:pt idx="151">
                  <c:v>2.3728589156891171E-12</c:v>
                </c:pt>
                <c:pt idx="152">
                  <c:v>2.3728589156891171E-12</c:v>
                </c:pt>
                <c:pt idx="153">
                  <c:v>2.3728589156891171E-12</c:v>
                </c:pt>
                <c:pt idx="154">
                  <c:v>2.3728589156891171E-12</c:v>
                </c:pt>
                <c:pt idx="155">
                  <c:v>2.3728589156891171E-12</c:v>
                </c:pt>
                <c:pt idx="156">
                  <c:v>2.3728589156891171E-12</c:v>
                </c:pt>
                <c:pt idx="157">
                  <c:v>2.3728589156891171E-12</c:v>
                </c:pt>
                <c:pt idx="158">
                  <c:v>2.3728589156891171E-12</c:v>
                </c:pt>
                <c:pt idx="159">
                  <c:v>2.3728589156891171E-12</c:v>
                </c:pt>
                <c:pt idx="160">
                  <c:v>2.3728589156891171E-12</c:v>
                </c:pt>
                <c:pt idx="161">
                  <c:v>2.3728589156891171E-12</c:v>
                </c:pt>
                <c:pt idx="162">
                  <c:v>2.3728589156891171E-12</c:v>
                </c:pt>
                <c:pt idx="163">
                  <c:v>2.3728589156891171E-12</c:v>
                </c:pt>
                <c:pt idx="164">
                  <c:v>2.3728589156891171E-12</c:v>
                </c:pt>
                <c:pt idx="165">
                  <c:v>2.3728589156891171E-12</c:v>
                </c:pt>
                <c:pt idx="166">
                  <c:v>2.3728589156891171E-12</c:v>
                </c:pt>
                <c:pt idx="167">
                  <c:v>2.3728589156891171E-12</c:v>
                </c:pt>
                <c:pt idx="168">
                  <c:v>2.3728589156891171E-12</c:v>
                </c:pt>
                <c:pt idx="169">
                  <c:v>2.3728589156891171E-12</c:v>
                </c:pt>
                <c:pt idx="170">
                  <c:v>2.3728589156891171E-12</c:v>
                </c:pt>
                <c:pt idx="171">
                  <c:v>2.3728589156891171E-12</c:v>
                </c:pt>
                <c:pt idx="172">
                  <c:v>2.3728589156891171E-12</c:v>
                </c:pt>
                <c:pt idx="173">
                  <c:v>2.3728589156891171E-12</c:v>
                </c:pt>
                <c:pt idx="174">
                  <c:v>2.3728589156891171E-12</c:v>
                </c:pt>
                <c:pt idx="175">
                  <c:v>2.3728589156891171E-12</c:v>
                </c:pt>
                <c:pt idx="176">
                  <c:v>2.3728589156891171E-12</c:v>
                </c:pt>
                <c:pt idx="177">
                  <c:v>2.3728589156891171E-12</c:v>
                </c:pt>
                <c:pt idx="178">
                  <c:v>2.3728589156891171E-12</c:v>
                </c:pt>
                <c:pt idx="179">
                  <c:v>2.3728589156891171E-12</c:v>
                </c:pt>
                <c:pt idx="180">
                  <c:v>2.3728589156891171E-12</c:v>
                </c:pt>
                <c:pt idx="181">
                  <c:v>2.3728589156891171E-12</c:v>
                </c:pt>
                <c:pt idx="182">
                  <c:v>2.3728589156891171E-12</c:v>
                </c:pt>
                <c:pt idx="183">
                  <c:v>2.3728589156891171E-12</c:v>
                </c:pt>
                <c:pt idx="184">
                  <c:v>2.3728589156891171E-12</c:v>
                </c:pt>
                <c:pt idx="185">
                  <c:v>2.3728589156891171E-12</c:v>
                </c:pt>
                <c:pt idx="186">
                  <c:v>2.3728589156891171E-12</c:v>
                </c:pt>
                <c:pt idx="187">
                  <c:v>2.3728589156891171E-12</c:v>
                </c:pt>
                <c:pt idx="188">
                  <c:v>2.3728589156891171E-12</c:v>
                </c:pt>
                <c:pt idx="189">
                  <c:v>2.3728589156891171E-12</c:v>
                </c:pt>
                <c:pt idx="190">
                  <c:v>2.3728589156891171E-12</c:v>
                </c:pt>
                <c:pt idx="191">
                  <c:v>2.3728589156891171E-12</c:v>
                </c:pt>
                <c:pt idx="192">
                  <c:v>2.3728589156891171E-12</c:v>
                </c:pt>
                <c:pt idx="193">
                  <c:v>2.3728589156891171E-12</c:v>
                </c:pt>
                <c:pt idx="194">
                  <c:v>2.3728589156891171E-12</c:v>
                </c:pt>
                <c:pt idx="195">
                  <c:v>2.3728589156891171E-12</c:v>
                </c:pt>
                <c:pt idx="196">
                  <c:v>2.3728589156891171E-12</c:v>
                </c:pt>
                <c:pt idx="197">
                  <c:v>2.3728589156891171E-12</c:v>
                </c:pt>
                <c:pt idx="198">
                  <c:v>2.3728589156891171E-12</c:v>
                </c:pt>
                <c:pt idx="199">
                  <c:v>2.3728589156891171E-12</c:v>
                </c:pt>
                <c:pt idx="200">
                  <c:v>2.3728589156891171E-12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2.7816112555333632</c:v>
                </c:pt>
                <c:pt idx="2">
                  <c:v>3.4642637344519134</c:v>
                </c:pt>
                <c:pt idx="3">
                  <c:v>4.3150955514659701</c:v>
                </c:pt>
                <c:pt idx="4">
                  <c:v>5.375689482554324</c:v>
                </c:pt>
                <c:pt idx="5">
                  <c:v>6.6979444136316602</c:v>
                </c:pt>
                <c:pt idx="6">
                  <c:v>8.3466426127515607</c:v>
                </c:pt>
                <c:pt idx="7">
                  <c:v>10.40265772985753</c:v>
                </c:pt>
                <c:pt idx="8">
                  <c:v>12.966963853972665</c:v>
                </c:pt>
                <c:pt idx="9">
                  <c:v>16.165646173161679</c:v>
                </c:pt>
                <c:pt idx="10">
                  <c:v>20.156164107103098</c:v>
                </c:pt>
                <c:pt idx="11">
                  <c:v>25.135180761778766</c:v>
                </c:pt>
                <c:pt idx="12">
                  <c:v>31.348351379123169</c:v>
                </c:pt>
                <c:pt idx="13">
                  <c:v>39.102562114708071</c:v>
                </c:pt>
                <c:pt idx="14">
                  <c:v>48.781233975044579</c:v>
                </c:pt>
                <c:pt idx="15">
                  <c:v>60.863461347290858</c:v>
                </c:pt>
                <c:pt idx="16">
                  <c:v>75.947948104970536</c:v>
                </c:pt>
                <c:pt idx="17">
                  <c:v>94.782946603468645</c:v>
                </c:pt>
                <c:pt idx="18">
                  <c:v>118.30370830287877</c:v>
                </c:pt>
                <c:pt idx="19">
                  <c:v>147.67933470094917</c:v>
                </c:pt>
                <c:pt idx="20">
                  <c:v>184.37139305479852</c:v>
                </c:pt>
                <c:pt idx="21">
                  <c:v>143.76974745978904</c:v>
                </c:pt>
                <c:pt idx="22">
                  <c:v>165.80757333279712</c:v>
                </c:pt>
                <c:pt idx="23">
                  <c:v>187.77617823114647</c:v>
                </c:pt>
                <c:pt idx="24">
                  <c:v>209.68480565567219</c:v>
                </c:pt>
                <c:pt idx="25">
                  <c:v>231.54060536306474</c:v>
                </c:pt>
                <c:pt idx="26">
                  <c:v>188.53260053056849</c:v>
                </c:pt>
                <c:pt idx="27">
                  <c:v>209.68480565567214</c:v>
                </c:pt>
                <c:pt idx="28">
                  <c:v>230.78777111964928</c:v>
                </c:pt>
                <c:pt idx="29">
                  <c:v>251.84663251620748</c:v>
                </c:pt>
                <c:pt idx="30">
                  <c:v>272.86559571589572</c:v>
                </c:pt>
                <c:pt idx="31">
                  <c:v>231.54060536306474</c:v>
                </c:pt>
                <c:pt idx="32">
                  <c:v>252.22230966781112</c:v>
                </c:pt>
                <c:pt idx="33">
                  <c:v>272.86559571589572</c:v>
                </c:pt>
                <c:pt idx="34">
                  <c:v>293.47377793906486</c:v>
                </c:pt>
                <c:pt idx="35">
                  <c:v>314.04966717357325</c:v>
                </c:pt>
                <c:pt idx="36">
                  <c:v>272.86559571589572</c:v>
                </c:pt>
                <c:pt idx="37">
                  <c:v>293.47377793906486</c:v>
                </c:pt>
                <c:pt idx="38">
                  <c:v>314.04966717357325</c:v>
                </c:pt>
                <c:pt idx="39">
                  <c:v>334.59567585759868</c:v>
                </c:pt>
                <c:pt idx="40">
                  <c:v>355.11389600890431</c:v>
                </c:pt>
                <c:pt idx="41">
                  <c:v>313.67583358542851</c:v>
                </c:pt>
                <c:pt idx="42">
                  <c:v>333.84904696577172</c:v>
                </c:pt>
                <c:pt idx="43">
                  <c:v>353.99540526070865</c:v>
                </c:pt>
                <c:pt idx="44">
                  <c:v>374.11665105684841</c:v>
                </c:pt>
                <c:pt idx="45">
                  <c:v>394.21432426135453</c:v>
                </c:pt>
                <c:pt idx="46">
                  <c:v>354.36824410252285</c:v>
                </c:pt>
                <c:pt idx="47">
                  <c:v>374.11665105684841</c:v>
                </c:pt>
                <c:pt idx="48">
                  <c:v>393.84235089269185</c:v>
                </c:pt>
                <c:pt idx="49">
                  <c:v>413.54664028818587</c:v>
                </c:pt>
                <c:pt idx="50">
                  <c:v>433.23068233058711</c:v>
                </c:pt>
                <c:pt idx="51">
                  <c:v>393.47036990588703</c:v>
                </c:pt>
                <c:pt idx="52">
                  <c:v>413.17505211911867</c:v>
                </c:pt>
                <c:pt idx="53">
                  <c:v>432.85946614650521</c:v>
                </c:pt>
                <c:pt idx="54">
                  <c:v>452.5246628164245</c:v>
                </c:pt>
                <c:pt idx="55">
                  <c:v>472.1715942278841</c:v>
                </c:pt>
                <c:pt idx="56">
                  <c:v>432.4882431239887</c:v>
                </c:pt>
                <c:pt idx="57">
                  <c:v>452.15379328451644</c:v>
                </c:pt>
                <c:pt idx="58">
                  <c:v>471.8010610525892</c:v>
                </c:pt>
                <c:pt idx="59">
                  <c:v>491.4309143889738</c:v>
                </c:pt>
                <c:pt idx="60">
                  <c:v>511.04414630438492</c:v>
                </c:pt>
                <c:pt idx="61">
                  <c:v>472.542121211439</c:v>
                </c:pt>
                <c:pt idx="62">
                  <c:v>491.4309143889738</c:v>
                </c:pt>
                <c:pt idx="63">
                  <c:v>510.30431729867882</c:v>
                </c:pt>
                <c:pt idx="64">
                  <c:v>529.16297887573126</c:v>
                </c:pt>
                <c:pt idx="65">
                  <c:v>548.0074980606048</c:v>
                </c:pt>
                <c:pt idx="66">
                  <c:v>509.56446562910031</c:v>
                </c:pt>
                <c:pt idx="67">
                  <c:v>528.42369370658764</c:v>
                </c:pt>
                <c:pt idx="68">
                  <c:v>547.26875677585269</c:v>
                </c:pt>
                <c:pt idx="69">
                  <c:v>566.10021090875966</c:v>
                </c:pt>
                <c:pt idx="70">
                  <c:v>584.91857219258952</c:v>
                </c:pt>
                <c:pt idx="71">
                  <c:v>546.89937828911752</c:v>
                </c:pt>
                <c:pt idx="72">
                  <c:v>566.10021090875966</c:v>
                </c:pt>
                <c:pt idx="73">
                  <c:v>585.28743207754246</c:v>
                </c:pt>
                <c:pt idx="74">
                  <c:v>604.46155046292245</c:v>
                </c:pt>
                <c:pt idx="75">
                  <c:v>623.6230398574271</c:v>
                </c:pt>
                <c:pt idx="76">
                  <c:v>585.28743207754246</c:v>
                </c:pt>
                <c:pt idx="77">
                  <c:v>604.09293798045633</c:v>
                </c:pt>
                <c:pt idx="78">
                  <c:v>622.88628757946447</c:v>
                </c:pt>
                <c:pt idx="79">
                  <c:v>641.66789897334399</c:v>
                </c:pt>
                <c:pt idx="80">
                  <c:v>660.43816381137265</c:v>
                </c:pt>
                <c:pt idx="81">
                  <c:v>603.35569899395182</c:v>
                </c:pt>
                <c:pt idx="82">
                  <c:v>603.35569899395182</c:v>
                </c:pt>
                <c:pt idx="83">
                  <c:v>603.35569899395182</c:v>
                </c:pt>
                <c:pt idx="84">
                  <c:v>603.35569899395182</c:v>
                </c:pt>
                <c:pt idx="85">
                  <c:v>603.35569899395182</c:v>
                </c:pt>
                <c:pt idx="86">
                  <c:v>603.35569899395182</c:v>
                </c:pt>
                <c:pt idx="87">
                  <c:v>603.35569899395182</c:v>
                </c:pt>
                <c:pt idx="88">
                  <c:v>603.35569899395182</c:v>
                </c:pt>
                <c:pt idx="89">
                  <c:v>603.35569899395182</c:v>
                </c:pt>
                <c:pt idx="90">
                  <c:v>603.35569899395182</c:v>
                </c:pt>
                <c:pt idx="91">
                  <c:v>603.35569899395182</c:v>
                </c:pt>
                <c:pt idx="92">
                  <c:v>603.35569899395182</c:v>
                </c:pt>
                <c:pt idx="93">
                  <c:v>603.35569899395182</c:v>
                </c:pt>
                <c:pt idx="94">
                  <c:v>603.35569899395182</c:v>
                </c:pt>
                <c:pt idx="95">
                  <c:v>603.35569899395182</c:v>
                </c:pt>
                <c:pt idx="96">
                  <c:v>603.35569899395182</c:v>
                </c:pt>
                <c:pt idx="97">
                  <c:v>603.35569899395182</c:v>
                </c:pt>
                <c:pt idx="98">
                  <c:v>603.35569899395182</c:v>
                </c:pt>
                <c:pt idx="99">
                  <c:v>603.35569899395182</c:v>
                </c:pt>
                <c:pt idx="100">
                  <c:v>603.35569899395182</c:v>
                </c:pt>
                <c:pt idx="101">
                  <c:v>603.35569899395182</c:v>
                </c:pt>
                <c:pt idx="102">
                  <c:v>603.35569899395182</c:v>
                </c:pt>
                <c:pt idx="103">
                  <c:v>603.35569899395182</c:v>
                </c:pt>
                <c:pt idx="104">
                  <c:v>603.35569899395182</c:v>
                </c:pt>
                <c:pt idx="105">
                  <c:v>603.35569899395182</c:v>
                </c:pt>
                <c:pt idx="106">
                  <c:v>603.35569899395182</c:v>
                </c:pt>
                <c:pt idx="107">
                  <c:v>603.35569899395182</c:v>
                </c:pt>
                <c:pt idx="108">
                  <c:v>603.35569899395182</c:v>
                </c:pt>
                <c:pt idx="109">
                  <c:v>603.35569899395182</c:v>
                </c:pt>
                <c:pt idx="110">
                  <c:v>603.35569899395182</c:v>
                </c:pt>
                <c:pt idx="111">
                  <c:v>603.35569899395182</c:v>
                </c:pt>
                <c:pt idx="112">
                  <c:v>603.35569899395182</c:v>
                </c:pt>
                <c:pt idx="113">
                  <c:v>603.35569899395182</c:v>
                </c:pt>
                <c:pt idx="114">
                  <c:v>603.35569899395182</c:v>
                </c:pt>
                <c:pt idx="115">
                  <c:v>603.35569899395182</c:v>
                </c:pt>
                <c:pt idx="116">
                  <c:v>603.35569899395182</c:v>
                </c:pt>
                <c:pt idx="117">
                  <c:v>603.35569899395182</c:v>
                </c:pt>
                <c:pt idx="118">
                  <c:v>603.35569899395182</c:v>
                </c:pt>
                <c:pt idx="119">
                  <c:v>603.35569899395182</c:v>
                </c:pt>
                <c:pt idx="120">
                  <c:v>603.35569899395182</c:v>
                </c:pt>
                <c:pt idx="121">
                  <c:v>603.35569899395182</c:v>
                </c:pt>
                <c:pt idx="122">
                  <c:v>603.35569899395182</c:v>
                </c:pt>
                <c:pt idx="123">
                  <c:v>603.35569899395182</c:v>
                </c:pt>
                <c:pt idx="124">
                  <c:v>603.35569899395182</c:v>
                </c:pt>
                <c:pt idx="125">
                  <c:v>603.35569899395182</c:v>
                </c:pt>
                <c:pt idx="126">
                  <c:v>603.35569899395182</c:v>
                </c:pt>
                <c:pt idx="127">
                  <c:v>603.35569899395182</c:v>
                </c:pt>
                <c:pt idx="128">
                  <c:v>603.35569899395182</c:v>
                </c:pt>
                <c:pt idx="129">
                  <c:v>603.35569899395182</c:v>
                </c:pt>
                <c:pt idx="130">
                  <c:v>603.35569899395182</c:v>
                </c:pt>
                <c:pt idx="131">
                  <c:v>603.35569899395182</c:v>
                </c:pt>
                <c:pt idx="132">
                  <c:v>603.35569899395182</c:v>
                </c:pt>
                <c:pt idx="133">
                  <c:v>603.35569899395182</c:v>
                </c:pt>
                <c:pt idx="134">
                  <c:v>603.35569899395182</c:v>
                </c:pt>
                <c:pt idx="135">
                  <c:v>603.35569899395182</c:v>
                </c:pt>
                <c:pt idx="136">
                  <c:v>603.35569899395182</c:v>
                </c:pt>
                <c:pt idx="137">
                  <c:v>603.35569899395182</c:v>
                </c:pt>
                <c:pt idx="138">
                  <c:v>603.35569899395182</c:v>
                </c:pt>
                <c:pt idx="139">
                  <c:v>603.35569899395182</c:v>
                </c:pt>
                <c:pt idx="140">
                  <c:v>603.35569899395182</c:v>
                </c:pt>
                <c:pt idx="141">
                  <c:v>603.35569899395182</c:v>
                </c:pt>
                <c:pt idx="142">
                  <c:v>603.35569899395182</c:v>
                </c:pt>
                <c:pt idx="143">
                  <c:v>603.35569899395182</c:v>
                </c:pt>
                <c:pt idx="144">
                  <c:v>603.35569899395182</c:v>
                </c:pt>
                <c:pt idx="145">
                  <c:v>603.35569899395182</c:v>
                </c:pt>
                <c:pt idx="146">
                  <c:v>603.35569899395182</c:v>
                </c:pt>
                <c:pt idx="147">
                  <c:v>603.35569899395182</c:v>
                </c:pt>
                <c:pt idx="148">
                  <c:v>603.35569899395182</c:v>
                </c:pt>
                <c:pt idx="149">
                  <c:v>603.35569899395182</c:v>
                </c:pt>
                <c:pt idx="150">
                  <c:v>603.35569899395182</c:v>
                </c:pt>
                <c:pt idx="151">
                  <c:v>603.35569899395182</c:v>
                </c:pt>
                <c:pt idx="152">
                  <c:v>603.35569899395182</c:v>
                </c:pt>
                <c:pt idx="153">
                  <c:v>603.35569899395182</c:v>
                </c:pt>
                <c:pt idx="154">
                  <c:v>603.35569899395182</c:v>
                </c:pt>
                <c:pt idx="155">
                  <c:v>603.35569899395182</c:v>
                </c:pt>
                <c:pt idx="156">
                  <c:v>603.35569899395182</c:v>
                </c:pt>
                <c:pt idx="157">
                  <c:v>603.35569899395182</c:v>
                </c:pt>
                <c:pt idx="158">
                  <c:v>603.35569899395182</c:v>
                </c:pt>
                <c:pt idx="159">
                  <c:v>603.35569899395182</c:v>
                </c:pt>
                <c:pt idx="160">
                  <c:v>603.35569899395182</c:v>
                </c:pt>
                <c:pt idx="161">
                  <c:v>603.35569899395182</c:v>
                </c:pt>
                <c:pt idx="162">
                  <c:v>603.35569899395182</c:v>
                </c:pt>
                <c:pt idx="163">
                  <c:v>603.35569899395182</c:v>
                </c:pt>
                <c:pt idx="164">
                  <c:v>603.35569899395182</c:v>
                </c:pt>
                <c:pt idx="165">
                  <c:v>603.35569899395182</c:v>
                </c:pt>
                <c:pt idx="166">
                  <c:v>603.35569899395182</c:v>
                </c:pt>
                <c:pt idx="167">
                  <c:v>603.35569899395182</c:v>
                </c:pt>
                <c:pt idx="168">
                  <c:v>603.35569899395182</c:v>
                </c:pt>
                <c:pt idx="169">
                  <c:v>603.35569899395182</c:v>
                </c:pt>
                <c:pt idx="170">
                  <c:v>603.35569899395182</c:v>
                </c:pt>
                <c:pt idx="171">
                  <c:v>603.35569899395182</c:v>
                </c:pt>
                <c:pt idx="172">
                  <c:v>603.35569899395182</c:v>
                </c:pt>
                <c:pt idx="173">
                  <c:v>603.35569899395182</c:v>
                </c:pt>
                <c:pt idx="174">
                  <c:v>603.35569899395182</c:v>
                </c:pt>
                <c:pt idx="175">
                  <c:v>603.35569899395182</c:v>
                </c:pt>
                <c:pt idx="176">
                  <c:v>603.35569899395182</c:v>
                </c:pt>
                <c:pt idx="177">
                  <c:v>603.35569899395182</c:v>
                </c:pt>
                <c:pt idx="178">
                  <c:v>603.35569899395182</c:v>
                </c:pt>
                <c:pt idx="179">
                  <c:v>603.35569899395182</c:v>
                </c:pt>
                <c:pt idx="180">
                  <c:v>603.35569899395182</c:v>
                </c:pt>
                <c:pt idx="181">
                  <c:v>603.35569899395182</c:v>
                </c:pt>
                <c:pt idx="182">
                  <c:v>603.35569899395182</c:v>
                </c:pt>
                <c:pt idx="183">
                  <c:v>603.35569899395182</c:v>
                </c:pt>
                <c:pt idx="184">
                  <c:v>603.35569899395182</c:v>
                </c:pt>
                <c:pt idx="185">
                  <c:v>603.35569899395182</c:v>
                </c:pt>
                <c:pt idx="186">
                  <c:v>603.35569899395182</c:v>
                </c:pt>
                <c:pt idx="187">
                  <c:v>603.35569899395182</c:v>
                </c:pt>
                <c:pt idx="188">
                  <c:v>603.35569899395182</c:v>
                </c:pt>
                <c:pt idx="189">
                  <c:v>603.35569899395182</c:v>
                </c:pt>
                <c:pt idx="190">
                  <c:v>603.35569899395182</c:v>
                </c:pt>
                <c:pt idx="191">
                  <c:v>603.35569899395182</c:v>
                </c:pt>
                <c:pt idx="192">
                  <c:v>603.35569899395182</c:v>
                </c:pt>
                <c:pt idx="193">
                  <c:v>603.35569899395182</c:v>
                </c:pt>
                <c:pt idx="194">
                  <c:v>603.35569899395182</c:v>
                </c:pt>
                <c:pt idx="195">
                  <c:v>603.35569899395182</c:v>
                </c:pt>
                <c:pt idx="196">
                  <c:v>603.35569899395182</c:v>
                </c:pt>
                <c:pt idx="197">
                  <c:v>603.35569899395182</c:v>
                </c:pt>
                <c:pt idx="198">
                  <c:v>603.35569899395182</c:v>
                </c:pt>
                <c:pt idx="199">
                  <c:v>603.35569899395182</c:v>
                </c:pt>
                <c:pt idx="200">
                  <c:v>603.35569899395182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2.0804628867016759</c:v>
                </c:pt>
                <c:pt idx="2">
                  <c:v>3.0470196987306952</c:v>
                </c:pt>
                <c:pt idx="3">
                  <c:v>4.4646592704190313</c:v>
                </c:pt>
                <c:pt idx="4">
                  <c:v>6.5447888543009825</c:v>
                </c:pt>
                <c:pt idx="5">
                  <c:v>9.5982841806909942</c:v>
                </c:pt>
                <c:pt idx="6">
                  <c:v>14.082459118681493</c:v>
                </c:pt>
                <c:pt idx="7">
                  <c:v>20.6702879293485</c:v>
                </c:pt>
                <c:pt idx="8">
                  <c:v>30.352454199901668</c:v>
                </c:pt>
                <c:pt idx="9">
                  <c:v>44.587838772113486</c:v>
                </c:pt>
                <c:pt idx="10">
                  <c:v>65.525503582360685</c:v>
                </c:pt>
                <c:pt idx="11">
                  <c:v>96.332231148859549</c:v>
                </c:pt>
                <c:pt idx="12">
                  <c:v>141.67594470663133</c:v>
                </c:pt>
                <c:pt idx="13">
                  <c:v>145.64086165207519</c:v>
                </c:pt>
                <c:pt idx="14">
                  <c:v>174.5111859132569</c:v>
                </c:pt>
                <c:pt idx="15">
                  <c:v>203.26907123098991</c:v>
                </c:pt>
                <c:pt idx="16">
                  <c:v>172.93235735085239</c:v>
                </c:pt>
                <c:pt idx="17">
                  <c:v>198.15514867638956</c:v>
                </c:pt>
                <c:pt idx="18">
                  <c:v>223.30339432263705</c:v>
                </c:pt>
                <c:pt idx="19">
                  <c:v>173.9191647266739</c:v>
                </c:pt>
                <c:pt idx="20">
                  <c:v>196.58102147577017</c:v>
                </c:pt>
                <c:pt idx="21">
                  <c:v>219.18219050817322</c:v>
                </c:pt>
                <c:pt idx="22">
                  <c:v>241.72981075446003</c:v>
                </c:pt>
                <c:pt idx="23">
                  <c:v>264.22957884423249</c:v>
                </c:pt>
                <c:pt idx="24">
                  <c:v>286.68614125741374</c:v>
                </c:pt>
                <c:pt idx="25">
                  <c:v>207.59390732800321</c:v>
                </c:pt>
                <c:pt idx="26">
                  <c:v>227.22672817199881</c:v>
                </c:pt>
                <c:pt idx="27">
                  <c:v>246.82072062447358</c:v>
                </c:pt>
                <c:pt idx="28">
                  <c:v>266.3794003590545</c:v>
                </c:pt>
                <c:pt idx="29">
                  <c:v>285.90572437062957</c:v>
                </c:pt>
                <c:pt idx="30">
                  <c:v>305.4022126668512</c:v>
                </c:pt>
                <c:pt idx="31">
                  <c:v>233.89285271005073</c:v>
                </c:pt>
                <c:pt idx="32">
                  <c:v>251.5179045878433</c:v>
                </c:pt>
                <c:pt idx="33">
                  <c:v>269.11497170292415</c:v>
                </c:pt>
                <c:pt idx="34">
                  <c:v>286.68614125741368</c:v>
                </c:pt>
                <c:pt idx="35">
                  <c:v>304.23322365298299</c:v>
                </c:pt>
                <c:pt idx="36">
                  <c:v>321.75780338480496</c:v>
                </c:pt>
                <c:pt idx="37">
                  <c:v>233.89285271005073</c:v>
                </c:pt>
                <c:pt idx="38">
                  <c:v>233.89285271005073</c:v>
                </c:pt>
                <c:pt idx="39">
                  <c:v>233.89285271005073</c:v>
                </c:pt>
                <c:pt idx="40">
                  <c:v>233.89285271005073</c:v>
                </c:pt>
                <c:pt idx="41">
                  <c:v>233.89285271005073</c:v>
                </c:pt>
                <c:pt idx="42">
                  <c:v>233.89285271005073</c:v>
                </c:pt>
                <c:pt idx="43">
                  <c:v>233.89285271005073</c:v>
                </c:pt>
                <c:pt idx="44">
                  <c:v>233.89285271005073</c:v>
                </c:pt>
                <c:pt idx="45">
                  <c:v>233.89285271005073</c:v>
                </c:pt>
                <c:pt idx="46">
                  <c:v>233.89285271005073</c:v>
                </c:pt>
                <c:pt idx="47">
                  <c:v>233.89285271005073</c:v>
                </c:pt>
                <c:pt idx="48">
                  <c:v>233.89285271005073</c:v>
                </c:pt>
                <c:pt idx="49">
                  <c:v>233.89285271005073</c:v>
                </c:pt>
                <c:pt idx="50">
                  <c:v>233.89285271005073</c:v>
                </c:pt>
                <c:pt idx="51">
                  <c:v>233.89285271005073</c:v>
                </c:pt>
                <c:pt idx="52">
                  <c:v>233.89285271005073</c:v>
                </c:pt>
                <c:pt idx="53">
                  <c:v>233.89285271005073</c:v>
                </c:pt>
                <c:pt idx="54">
                  <c:v>233.89285271005073</c:v>
                </c:pt>
                <c:pt idx="55">
                  <c:v>233.89285271005073</c:v>
                </c:pt>
                <c:pt idx="56">
                  <c:v>233.89285271005073</c:v>
                </c:pt>
                <c:pt idx="57">
                  <c:v>233.89285271005073</c:v>
                </c:pt>
                <c:pt idx="58">
                  <c:v>233.89285271005073</c:v>
                </c:pt>
                <c:pt idx="59">
                  <c:v>233.89285271005073</c:v>
                </c:pt>
                <c:pt idx="60">
                  <c:v>233.89285271005073</c:v>
                </c:pt>
                <c:pt idx="61">
                  <c:v>233.89285271005073</c:v>
                </c:pt>
                <c:pt idx="62">
                  <c:v>233.89285271005073</c:v>
                </c:pt>
                <c:pt idx="63">
                  <c:v>233.89285271005073</c:v>
                </c:pt>
                <c:pt idx="64">
                  <c:v>233.89285271005073</c:v>
                </c:pt>
                <c:pt idx="65">
                  <c:v>233.89285271005073</c:v>
                </c:pt>
                <c:pt idx="66">
                  <c:v>233.89285271005073</c:v>
                </c:pt>
                <c:pt idx="67">
                  <c:v>233.89285271005073</c:v>
                </c:pt>
                <c:pt idx="68">
                  <c:v>233.89285271005073</c:v>
                </c:pt>
                <c:pt idx="69">
                  <c:v>233.89285271005073</c:v>
                </c:pt>
                <c:pt idx="70">
                  <c:v>233.89285271005073</c:v>
                </c:pt>
                <c:pt idx="71">
                  <c:v>233.89285271005073</c:v>
                </c:pt>
                <c:pt idx="72">
                  <c:v>233.89285271005073</c:v>
                </c:pt>
                <c:pt idx="73">
                  <c:v>233.89285271005073</c:v>
                </c:pt>
                <c:pt idx="74">
                  <c:v>233.89285271005073</c:v>
                </c:pt>
                <c:pt idx="75">
                  <c:v>233.89285271005073</c:v>
                </c:pt>
                <c:pt idx="76">
                  <c:v>233.89285271005073</c:v>
                </c:pt>
                <c:pt idx="77">
                  <c:v>233.89285271005073</c:v>
                </c:pt>
                <c:pt idx="78">
                  <c:v>233.89285271005073</c:v>
                </c:pt>
                <c:pt idx="79">
                  <c:v>233.89285271005073</c:v>
                </c:pt>
                <c:pt idx="80">
                  <c:v>233.89285271005073</c:v>
                </c:pt>
                <c:pt idx="81">
                  <c:v>233.89285271005073</c:v>
                </c:pt>
                <c:pt idx="82">
                  <c:v>233.89285271005073</c:v>
                </c:pt>
                <c:pt idx="83">
                  <c:v>233.89285271005073</c:v>
                </c:pt>
                <c:pt idx="84">
                  <c:v>233.89285271005073</c:v>
                </c:pt>
                <c:pt idx="85">
                  <c:v>233.89285271005073</c:v>
                </c:pt>
                <c:pt idx="86">
                  <c:v>233.89285271005073</c:v>
                </c:pt>
                <c:pt idx="87">
                  <c:v>233.89285271005073</c:v>
                </c:pt>
                <c:pt idx="88">
                  <c:v>233.89285271005073</c:v>
                </c:pt>
                <c:pt idx="89">
                  <c:v>233.89285271005073</c:v>
                </c:pt>
                <c:pt idx="90">
                  <c:v>233.89285271005073</c:v>
                </c:pt>
                <c:pt idx="91">
                  <c:v>233.89285271005073</c:v>
                </c:pt>
                <c:pt idx="92">
                  <c:v>233.89285271005073</c:v>
                </c:pt>
                <c:pt idx="93">
                  <c:v>233.89285271005073</c:v>
                </c:pt>
                <c:pt idx="94">
                  <c:v>233.89285271005073</c:v>
                </c:pt>
                <c:pt idx="95">
                  <c:v>233.89285271005073</c:v>
                </c:pt>
                <c:pt idx="96">
                  <c:v>233.89285271005073</c:v>
                </c:pt>
                <c:pt idx="97">
                  <c:v>233.89285271005073</c:v>
                </c:pt>
                <c:pt idx="98">
                  <c:v>233.89285271005073</c:v>
                </c:pt>
                <c:pt idx="99">
                  <c:v>233.89285271005073</c:v>
                </c:pt>
                <c:pt idx="100">
                  <c:v>233.89285271005073</c:v>
                </c:pt>
                <c:pt idx="101">
                  <c:v>233.89285271005073</c:v>
                </c:pt>
                <c:pt idx="102">
                  <c:v>233.89285271005073</c:v>
                </c:pt>
                <c:pt idx="103">
                  <c:v>233.89285271005073</c:v>
                </c:pt>
                <c:pt idx="104">
                  <c:v>233.89285271005073</c:v>
                </c:pt>
                <c:pt idx="105">
                  <c:v>233.89285271005073</c:v>
                </c:pt>
                <c:pt idx="106">
                  <c:v>233.89285271005073</c:v>
                </c:pt>
                <c:pt idx="107">
                  <c:v>233.89285271005073</c:v>
                </c:pt>
                <c:pt idx="108">
                  <c:v>233.89285271005073</c:v>
                </c:pt>
                <c:pt idx="109">
                  <c:v>233.89285271005073</c:v>
                </c:pt>
                <c:pt idx="110">
                  <c:v>233.89285271005073</c:v>
                </c:pt>
                <c:pt idx="111">
                  <c:v>233.89285271005073</c:v>
                </c:pt>
                <c:pt idx="112">
                  <c:v>233.89285271005073</c:v>
                </c:pt>
                <c:pt idx="113">
                  <c:v>233.89285271005073</c:v>
                </c:pt>
                <c:pt idx="114">
                  <c:v>233.89285271005073</c:v>
                </c:pt>
                <c:pt idx="115">
                  <c:v>233.89285271005073</c:v>
                </c:pt>
                <c:pt idx="116">
                  <c:v>233.89285271005073</c:v>
                </c:pt>
                <c:pt idx="117">
                  <c:v>233.89285271005073</c:v>
                </c:pt>
                <c:pt idx="118">
                  <c:v>233.89285271005073</c:v>
                </c:pt>
                <c:pt idx="119">
                  <c:v>233.89285271005073</c:v>
                </c:pt>
                <c:pt idx="120">
                  <c:v>233.89285271005073</c:v>
                </c:pt>
                <c:pt idx="121">
                  <c:v>233.89285271005073</c:v>
                </c:pt>
                <c:pt idx="122">
                  <c:v>233.89285271005073</c:v>
                </c:pt>
                <c:pt idx="123">
                  <c:v>233.89285271005073</c:v>
                </c:pt>
                <c:pt idx="124">
                  <c:v>233.89285271005073</c:v>
                </c:pt>
                <c:pt idx="125">
                  <c:v>233.89285271005073</c:v>
                </c:pt>
                <c:pt idx="126">
                  <c:v>233.89285271005073</c:v>
                </c:pt>
                <c:pt idx="127">
                  <c:v>233.89285271005073</c:v>
                </c:pt>
                <c:pt idx="128">
                  <c:v>233.89285271005073</c:v>
                </c:pt>
                <c:pt idx="129">
                  <c:v>233.89285271005073</c:v>
                </c:pt>
                <c:pt idx="130">
                  <c:v>233.89285271005073</c:v>
                </c:pt>
                <c:pt idx="131">
                  <c:v>233.89285271005073</c:v>
                </c:pt>
                <c:pt idx="132">
                  <c:v>233.89285271005073</c:v>
                </c:pt>
                <c:pt idx="133">
                  <c:v>233.89285271005073</c:v>
                </c:pt>
                <c:pt idx="134">
                  <c:v>233.89285271005073</c:v>
                </c:pt>
                <c:pt idx="135">
                  <c:v>233.89285271005073</c:v>
                </c:pt>
                <c:pt idx="136">
                  <c:v>233.89285271005073</c:v>
                </c:pt>
                <c:pt idx="137">
                  <c:v>233.89285271005073</c:v>
                </c:pt>
                <c:pt idx="138">
                  <c:v>233.89285271005073</c:v>
                </c:pt>
                <c:pt idx="139">
                  <c:v>233.89285271005073</c:v>
                </c:pt>
                <c:pt idx="140">
                  <c:v>233.89285271005073</c:v>
                </c:pt>
                <c:pt idx="141">
                  <c:v>233.89285271005073</c:v>
                </c:pt>
                <c:pt idx="142">
                  <c:v>233.89285271005073</c:v>
                </c:pt>
                <c:pt idx="143">
                  <c:v>233.89285271005073</c:v>
                </c:pt>
                <c:pt idx="144">
                  <c:v>233.89285271005073</c:v>
                </c:pt>
                <c:pt idx="145">
                  <c:v>233.89285271005073</c:v>
                </c:pt>
                <c:pt idx="146">
                  <c:v>233.89285271005073</c:v>
                </c:pt>
                <c:pt idx="147">
                  <c:v>233.89285271005073</c:v>
                </c:pt>
                <c:pt idx="148">
                  <c:v>233.89285271005073</c:v>
                </c:pt>
                <c:pt idx="149">
                  <c:v>233.89285271005073</c:v>
                </c:pt>
                <c:pt idx="150">
                  <c:v>233.89285271005073</c:v>
                </c:pt>
                <c:pt idx="151">
                  <c:v>233.89285271005073</c:v>
                </c:pt>
                <c:pt idx="152">
                  <c:v>233.89285271005073</c:v>
                </c:pt>
                <c:pt idx="153">
                  <c:v>233.89285271005073</c:v>
                </c:pt>
                <c:pt idx="154">
                  <c:v>233.89285271005073</c:v>
                </c:pt>
                <c:pt idx="155">
                  <c:v>233.89285271005073</c:v>
                </c:pt>
                <c:pt idx="156">
                  <c:v>233.89285271005073</c:v>
                </c:pt>
                <c:pt idx="157">
                  <c:v>233.89285271005073</c:v>
                </c:pt>
                <c:pt idx="158">
                  <c:v>233.89285271005073</c:v>
                </c:pt>
                <c:pt idx="159">
                  <c:v>233.89285271005073</c:v>
                </c:pt>
                <c:pt idx="160">
                  <c:v>233.89285271005073</c:v>
                </c:pt>
                <c:pt idx="161">
                  <c:v>233.89285271005073</c:v>
                </c:pt>
                <c:pt idx="162">
                  <c:v>233.89285271005073</c:v>
                </c:pt>
                <c:pt idx="163">
                  <c:v>233.89285271005073</c:v>
                </c:pt>
                <c:pt idx="164">
                  <c:v>233.89285271005073</c:v>
                </c:pt>
                <c:pt idx="165">
                  <c:v>233.89285271005073</c:v>
                </c:pt>
                <c:pt idx="166">
                  <c:v>233.89285271005073</c:v>
                </c:pt>
                <c:pt idx="167">
                  <c:v>233.89285271005073</c:v>
                </c:pt>
                <c:pt idx="168">
                  <c:v>233.89285271005073</c:v>
                </c:pt>
                <c:pt idx="169">
                  <c:v>233.89285271005073</c:v>
                </c:pt>
                <c:pt idx="170">
                  <c:v>233.89285271005073</c:v>
                </c:pt>
                <c:pt idx="171">
                  <c:v>233.89285271005073</c:v>
                </c:pt>
                <c:pt idx="172">
                  <c:v>233.89285271005073</c:v>
                </c:pt>
                <c:pt idx="173">
                  <c:v>233.89285271005073</c:v>
                </c:pt>
                <c:pt idx="174">
                  <c:v>233.89285271005073</c:v>
                </c:pt>
                <c:pt idx="175">
                  <c:v>233.89285271005073</c:v>
                </c:pt>
                <c:pt idx="176">
                  <c:v>233.89285271005073</c:v>
                </c:pt>
                <c:pt idx="177">
                  <c:v>233.89285271005073</c:v>
                </c:pt>
                <c:pt idx="178">
                  <c:v>233.89285271005073</c:v>
                </c:pt>
                <c:pt idx="179">
                  <c:v>233.89285271005073</c:v>
                </c:pt>
                <c:pt idx="180">
                  <c:v>233.89285271005073</c:v>
                </c:pt>
                <c:pt idx="181">
                  <c:v>233.89285271005073</c:v>
                </c:pt>
                <c:pt idx="182">
                  <c:v>233.89285271005073</c:v>
                </c:pt>
                <c:pt idx="183">
                  <c:v>233.89285271005073</c:v>
                </c:pt>
                <c:pt idx="184">
                  <c:v>233.89285271005073</c:v>
                </c:pt>
                <c:pt idx="185">
                  <c:v>233.89285271005073</c:v>
                </c:pt>
                <c:pt idx="186">
                  <c:v>233.89285271005073</c:v>
                </c:pt>
                <c:pt idx="187">
                  <c:v>233.89285271005073</c:v>
                </c:pt>
                <c:pt idx="188">
                  <c:v>233.89285271005073</c:v>
                </c:pt>
                <c:pt idx="189">
                  <c:v>233.89285271005073</c:v>
                </c:pt>
                <c:pt idx="190">
                  <c:v>233.89285271005073</c:v>
                </c:pt>
                <c:pt idx="191">
                  <c:v>233.89285271005073</c:v>
                </c:pt>
                <c:pt idx="192">
                  <c:v>233.89285271005073</c:v>
                </c:pt>
                <c:pt idx="193">
                  <c:v>233.89285271005073</c:v>
                </c:pt>
                <c:pt idx="194">
                  <c:v>233.89285271005073</c:v>
                </c:pt>
                <c:pt idx="195">
                  <c:v>233.89285271005073</c:v>
                </c:pt>
                <c:pt idx="196">
                  <c:v>233.89285271005073</c:v>
                </c:pt>
                <c:pt idx="197">
                  <c:v>233.89285271005073</c:v>
                </c:pt>
                <c:pt idx="198">
                  <c:v>233.89285271005073</c:v>
                </c:pt>
                <c:pt idx="199">
                  <c:v>233.89285271005073</c:v>
                </c:pt>
                <c:pt idx="200">
                  <c:v>233.89285271005073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3.0992391503237613</c:v>
                </c:pt>
                <c:pt idx="2">
                  <c:v>3.8991007217363496</c:v>
                </c:pt>
                <c:pt idx="3">
                  <c:v>4.9061911130309328</c:v>
                </c:pt>
                <c:pt idx="4">
                  <c:v>6.1743939951460893</c:v>
                </c:pt>
                <c:pt idx="5">
                  <c:v>7.7716511779852437</c:v>
                </c:pt>
                <c:pt idx="6">
                  <c:v>9.7836418014334487</c:v>
                </c:pt>
                <c:pt idx="7">
                  <c:v>12.318427179945894</c:v>
                </c:pt>
                <c:pt idx="8">
                  <c:v>15.512315414261836</c:v>
                </c:pt>
                <c:pt idx="9">
                  <c:v>19.537266913685993</c:v>
                </c:pt>
                <c:pt idx="10">
                  <c:v>24.610246721503263</c:v>
                </c:pt>
                <c:pt idx="11">
                  <c:v>31.005036697603739</c:v>
                </c:pt>
                <c:pt idx="12">
                  <c:v>39.067156124650886</c:v>
                </c:pt>
                <c:pt idx="13">
                  <c:v>49.232710681586866</c:v>
                </c:pt>
                <c:pt idx="14">
                  <c:v>62.052206480451446</c:v>
                </c:pt>
                <c:pt idx="15">
                  <c:v>78.22064002443426</c:v>
                </c:pt>
                <c:pt idx="16">
                  <c:v>98.61552174904682</c:v>
                </c:pt>
                <c:pt idx="17">
                  <c:v>124.34492953436147</c:v>
                </c:pt>
                <c:pt idx="18">
                  <c:v>156.80824362944674</c:v>
                </c:pt>
                <c:pt idx="19">
                  <c:v>197.77291670457112</c:v>
                </c:pt>
                <c:pt idx="20">
                  <c:v>249.47152135339448</c:v>
                </c:pt>
                <c:pt idx="21">
                  <c:v>214.04921803989632</c:v>
                </c:pt>
                <c:pt idx="22">
                  <c:v>234.90079301668541</c:v>
                </c:pt>
                <c:pt idx="23">
                  <c:v>255.71013753254616</c:v>
                </c:pt>
                <c:pt idx="24">
                  <c:v>276.48117089492001</c:v>
                </c:pt>
                <c:pt idx="25">
                  <c:v>297.21717518827546</c:v>
                </c:pt>
                <c:pt idx="26">
                  <c:v>286.43864277122071</c:v>
                </c:pt>
                <c:pt idx="27">
                  <c:v>308.81509268095925</c:v>
                </c:pt>
                <c:pt idx="28">
                  <c:v>331.15554333882898</c:v>
                </c:pt>
                <c:pt idx="29">
                  <c:v>353.46276341211814</c:v>
                </c:pt>
                <c:pt idx="30">
                  <c:v>375.73914366877972</c:v>
                </c:pt>
                <c:pt idx="31">
                  <c:v>352.22430305610646</c:v>
                </c:pt>
                <c:pt idx="32">
                  <c:v>376.1513920342295</c:v>
                </c:pt>
                <c:pt idx="33">
                  <c:v>400.04534551775191</c:v>
                </c:pt>
                <c:pt idx="34">
                  <c:v>423.90841924410915</c:v>
                </c:pt>
                <c:pt idx="35">
                  <c:v>447.74259442675481</c:v>
                </c:pt>
                <c:pt idx="36">
                  <c:v>411.56917736902619</c:v>
                </c:pt>
                <c:pt idx="37">
                  <c:v>435.00712246122475</c:v>
                </c:pt>
                <c:pt idx="38">
                  <c:v>458.41797080465699</c:v>
                </c:pt>
                <c:pt idx="39">
                  <c:v>481.80329954772282</c:v>
                </c:pt>
                <c:pt idx="40">
                  <c:v>505.16452037559128</c:v>
                </c:pt>
                <c:pt idx="41">
                  <c:v>461.70162769615803</c:v>
                </c:pt>
                <c:pt idx="42">
                  <c:v>483.8534747099377</c:v>
                </c:pt>
                <c:pt idx="43">
                  <c:v>505.98379058152062</c:v>
                </c:pt>
                <c:pt idx="44">
                  <c:v>528.09364865532655</c:v>
                </c:pt>
                <c:pt idx="45">
                  <c:v>550.18402514843251</c:v>
                </c:pt>
                <c:pt idx="46">
                  <c:v>499.42883909465655</c:v>
                </c:pt>
                <c:pt idx="47">
                  <c:v>522.36337165879252</c:v>
                </c:pt>
                <c:pt idx="48">
                  <c:v>545.27668930291259</c:v>
                </c:pt>
                <c:pt idx="49">
                  <c:v>568.1698080228656</c:v>
                </c:pt>
                <c:pt idx="50">
                  <c:v>591.04365534487874</c:v>
                </c:pt>
                <c:pt idx="51">
                  <c:v>539.5502916245631</c:v>
                </c:pt>
                <c:pt idx="52">
                  <c:v>559.58719489109524</c:v>
                </c:pt>
                <c:pt idx="53">
                  <c:v>579.60908578354827</c:v>
                </c:pt>
                <c:pt idx="54">
                  <c:v>599.61655542768938</c:v>
                </c:pt>
                <c:pt idx="55">
                  <c:v>619.61015231945078</c:v>
                </c:pt>
                <c:pt idx="56">
                  <c:v>567.7611739641967</c:v>
                </c:pt>
                <c:pt idx="57">
                  <c:v>587.36876501525296</c:v>
                </c:pt>
                <c:pt idx="58">
                  <c:v>606.96272626727989</c:v>
                </c:pt>
                <c:pt idx="59">
                  <c:v>626.5435592679155</c:v>
                </c:pt>
                <c:pt idx="60">
                  <c:v>646.1117316883176</c:v>
                </c:pt>
                <c:pt idx="61">
                  <c:v>570.6214835447048</c:v>
                </c:pt>
                <c:pt idx="62">
                  <c:v>570.6214835447048</c:v>
                </c:pt>
                <c:pt idx="63">
                  <c:v>570.6214835447048</c:v>
                </c:pt>
                <c:pt idx="64">
                  <c:v>570.6214835447048</c:v>
                </c:pt>
                <c:pt idx="65">
                  <c:v>570.6214835447048</c:v>
                </c:pt>
                <c:pt idx="66">
                  <c:v>570.6214835447048</c:v>
                </c:pt>
                <c:pt idx="67">
                  <c:v>570.6214835447048</c:v>
                </c:pt>
                <c:pt idx="68">
                  <c:v>570.6214835447048</c:v>
                </c:pt>
                <c:pt idx="69">
                  <c:v>570.6214835447048</c:v>
                </c:pt>
                <c:pt idx="70">
                  <c:v>570.6214835447048</c:v>
                </c:pt>
                <c:pt idx="71">
                  <c:v>570.6214835447048</c:v>
                </c:pt>
                <c:pt idx="72">
                  <c:v>570.6214835447048</c:v>
                </c:pt>
                <c:pt idx="73">
                  <c:v>570.6214835447048</c:v>
                </c:pt>
                <c:pt idx="74">
                  <c:v>570.6214835447048</c:v>
                </c:pt>
                <c:pt idx="75">
                  <c:v>570.6214835447048</c:v>
                </c:pt>
                <c:pt idx="76">
                  <c:v>570.6214835447048</c:v>
                </c:pt>
                <c:pt idx="77">
                  <c:v>570.6214835447048</c:v>
                </c:pt>
                <c:pt idx="78">
                  <c:v>570.6214835447048</c:v>
                </c:pt>
                <c:pt idx="79">
                  <c:v>570.6214835447048</c:v>
                </c:pt>
                <c:pt idx="80">
                  <c:v>570.6214835447048</c:v>
                </c:pt>
                <c:pt idx="81">
                  <c:v>570.6214835447048</c:v>
                </c:pt>
                <c:pt idx="82">
                  <c:v>570.6214835447048</c:v>
                </c:pt>
                <c:pt idx="83">
                  <c:v>570.6214835447048</c:v>
                </c:pt>
                <c:pt idx="84">
                  <c:v>570.6214835447048</c:v>
                </c:pt>
                <c:pt idx="85">
                  <c:v>570.6214835447048</c:v>
                </c:pt>
                <c:pt idx="86">
                  <c:v>570.6214835447048</c:v>
                </c:pt>
                <c:pt idx="87">
                  <c:v>570.6214835447048</c:v>
                </c:pt>
                <c:pt idx="88">
                  <c:v>570.6214835447048</c:v>
                </c:pt>
                <c:pt idx="89">
                  <c:v>570.6214835447048</c:v>
                </c:pt>
                <c:pt idx="90">
                  <c:v>570.6214835447048</c:v>
                </c:pt>
                <c:pt idx="91">
                  <c:v>570.6214835447048</c:v>
                </c:pt>
                <c:pt idx="92">
                  <c:v>570.6214835447048</c:v>
                </c:pt>
                <c:pt idx="93">
                  <c:v>570.6214835447048</c:v>
                </c:pt>
                <c:pt idx="94">
                  <c:v>570.6214835447048</c:v>
                </c:pt>
                <c:pt idx="95">
                  <c:v>570.6214835447048</c:v>
                </c:pt>
                <c:pt idx="96">
                  <c:v>570.6214835447048</c:v>
                </c:pt>
                <c:pt idx="97">
                  <c:v>570.6214835447048</c:v>
                </c:pt>
                <c:pt idx="98">
                  <c:v>570.6214835447048</c:v>
                </c:pt>
                <c:pt idx="99">
                  <c:v>570.6214835447048</c:v>
                </c:pt>
                <c:pt idx="100">
                  <c:v>570.6214835447048</c:v>
                </c:pt>
                <c:pt idx="101">
                  <c:v>570.6214835447048</c:v>
                </c:pt>
                <c:pt idx="102">
                  <c:v>570.6214835447048</c:v>
                </c:pt>
                <c:pt idx="103">
                  <c:v>570.6214835447048</c:v>
                </c:pt>
                <c:pt idx="104">
                  <c:v>570.6214835447048</c:v>
                </c:pt>
                <c:pt idx="105">
                  <c:v>570.6214835447048</c:v>
                </c:pt>
                <c:pt idx="106">
                  <c:v>570.6214835447048</c:v>
                </c:pt>
                <c:pt idx="107">
                  <c:v>570.6214835447048</c:v>
                </c:pt>
                <c:pt idx="108">
                  <c:v>570.6214835447048</c:v>
                </c:pt>
                <c:pt idx="109">
                  <c:v>570.6214835447048</c:v>
                </c:pt>
                <c:pt idx="110">
                  <c:v>570.6214835447048</c:v>
                </c:pt>
                <c:pt idx="111">
                  <c:v>570.6214835447048</c:v>
                </c:pt>
                <c:pt idx="112">
                  <c:v>570.6214835447048</c:v>
                </c:pt>
                <c:pt idx="113">
                  <c:v>570.6214835447048</c:v>
                </c:pt>
                <c:pt idx="114">
                  <c:v>570.6214835447048</c:v>
                </c:pt>
                <c:pt idx="115">
                  <c:v>570.6214835447048</c:v>
                </c:pt>
                <c:pt idx="116">
                  <c:v>570.6214835447048</c:v>
                </c:pt>
                <c:pt idx="117">
                  <c:v>570.6214835447048</c:v>
                </c:pt>
                <c:pt idx="118">
                  <c:v>570.6214835447048</c:v>
                </c:pt>
                <c:pt idx="119">
                  <c:v>570.6214835447048</c:v>
                </c:pt>
                <c:pt idx="120">
                  <c:v>570.6214835447048</c:v>
                </c:pt>
                <c:pt idx="121">
                  <c:v>570.6214835447048</c:v>
                </c:pt>
                <c:pt idx="122">
                  <c:v>570.6214835447048</c:v>
                </c:pt>
                <c:pt idx="123">
                  <c:v>570.6214835447048</c:v>
                </c:pt>
                <c:pt idx="124">
                  <c:v>570.6214835447048</c:v>
                </c:pt>
                <c:pt idx="125">
                  <c:v>570.6214835447048</c:v>
                </c:pt>
                <c:pt idx="126">
                  <c:v>570.6214835447048</c:v>
                </c:pt>
                <c:pt idx="127">
                  <c:v>570.6214835447048</c:v>
                </c:pt>
                <c:pt idx="128">
                  <c:v>570.6214835447048</c:v>
                </c:pt>
                <c:pt idx="129">
                  <c:v>570.6214835447048</c:v>
                </c:pt>
                <c:pt idx="130">
                  <c:v>570.6214835447048</c:v>
                </c:pt>
                <c:pt idx="131">
                  <c:v>570.6214835447048</c:v>
                </c:pt>
                <c:pt idx="132">
                  <c:v>570.6214835447048</c:v>
                </c:pt>
                <c:pt idx="133">
                  <c:v>570.6214835447048</c:v>
                </c:pt>
                <c:pt idx="134">
                  <c:v>570.6214835447048</c:v>
                </c:pt>
                <c:pt idx="135">
                  <c:v>570.6214835447048</c:v>
                </c:pt>
                <c:pt idx="136">
                  <c:v>570.6214835447048</c:v>
                </c:pt>
                <c:pt idx="137">
                  <c:v>570.6214835447048</c:v>
                </c:pt>
                <c:pt idx="138">
                  <c:v>570.6214835447048</c:v>
                </c:pt>
                <c:pt idx="139">
                  <c:v>570.6214835447048</c:v>
                </c:pt>
                <c:pt idx="140">
                  <c:v>570.6214835447048</c:v>
                </c:pt>
                <c:pt idx="141">
                  <c:v>570.6214835447048</c:v>
                </c:pt>
                <c:pt idx="142">
                  <c:v>570.6214835447048</c:v>
                </c:pt>
                <c:pt idx="143">
                  <c:v>570.6214835447048</c:v>
                </c:pt>
                <c:pt idx="144">
                  <c:v>570.6214835447048</c:v>
                </c:pt>
                <c:pt idx="145">
                  <c:v>570.6214835447048</c:v>
                </c:pt>
                <c:pt idx="146">
                  <c:v>570.6214835447048</c:v>
                </c:pt>
                <c:pt idx="147">
                  <c:v>570.6214835447048</c:v>
                </c:pt>
                <c:pt idx="148">
                  <c:v>570.6214835447048</c:v>
                </c:pt>
                <c:pt idx="149">
                  <c:v>570.6214835447048</c:v>
                </c:pt>
                <c:pt idx="150">
                  <c:v>570.6214835447048</c:v>
                </c:pt>
                <c:pt idx="151">
                  <c:v>570.6214835447048</c:v>
                </c:pt>
                <c:pt idx="152">
                  <c:v>570.6214835447048</c:v>
                </c:pt>
                <c:pt idx="153">
                  <c:v>570.6214835447048</c:v>
                </c:pt>
                <c:pt idx="154">
                  <c:v>570.6214835447048</c:v>
                </c:pt>
                <c:pt idx="155">
                  <c:v>570.6214835447048</c:v>
                </c:pt>
                <c:pt idx="156">
                  <c:v>570.6214835447048</c:v>
                </c:pt>
                <c:pt idx="157">
                  <c:v>570.6214835447048</c:v>
                </c:pt>
                <c:pt idx="158">
                  <c:v>570.6214835447048</c:v>
                </c:pt>
                <c:pt idx="159">
                  <c:v>570.6214835447048</c:v>
                </c:pt>
                <c:pt idx="160">
                  <c:v>570.6214835447048</c:v>
                </c:pt>
                <c:pt idx="161">
                  <c:v>570.6214835447048</c:v>
                </c:pt>
                <c:pt idx="162">
                  <c:v>570.6214835447048</c:v>
                </c:pt>
                <c:pt idx="163">
                  <c:v>570.6214835447048</c:v>
                </c:pt>
                <c:pt idx="164">
                  <c:v>570.6214835447048</c:v>
                </c:pt>
                <c:pt idx="165">
                  <c:v>570.6214835447048</c:v>
                </c:pt>
                <c:pt idx="166">
                  <c:v>570.6214835447048</c:v>
                </c:pt>
                <c:pt idx="167">
                  <c:v>570.6214835447048</c:v>
                </c:pt>
                <c:pt idx="168">
                  <c:v>570.6214835447048</c:v>
                </c:pt>
                <c:pt idx="169">
                  <c:v>570.6214835447048</c:v>
                </c:pt>
                <c:pt idx="170">
                  <c:v>570.6214835447048</c:v>
                </c:pt>
                <c:pt idx="171">
                  <c:v>570.6214835447048</c:v>
                </c:pt>
                <c:pt idx="172">
                  <c:v>570.6214835447048</c:v>
                </c:pt>
                <c:pt idx="173">
                  <c:v>570.6214835447048</c:v>
                </c:pt>
                <c:pt idx="174">
                  <c:v>570.6214835447048</c:v>
                </c:pt>
                <c:pt idx="175">
                  <c:v>570.6214835447048</c:v>
                </c:pt>
                <c:pt idx="176">
                  <c:v>570.6214835447048</c:v>
                </c:pt>
                <c:pt idx="177">
                  <c:v>570.6214835447048</c:v>
                </c:pt>
                <c:pt idx="178">
                  <c:v>570.6214835447048</c:v>
                </c:pt>
                <c:pt idx="179">
                  <c:v>570.6214835447048</c:v>
                </c:pt>
                <c:pt idx="180">
                  <c:v>570.6214835447048</c:v>
                </c:pt>
                <c:pt idx="181">
                  <c:v>570.6214835447048</c:v>
                </c:pt>
                <c:pt idx="182">
                  <c:v>570.6214835447048</c:v>
                </c:pt>
                <c:pt idx="183">
                  <c:v>570.6214835447048</c:v>
                </c:pt>
                <c:pt idx="184">
                  <c:v>570.6214835447048</c:v>
                </c:pt>
                <c:pt idx="185">
                  <c:v>570.6214835447048</c:v>
                </c:pt>
                <c:pt idx="186">
                  <c:v>570.6214835447048</c:v>
                </c:pt>
                <c:pt idx="187">
                  <c:v>570.6214835447048</c:v>
                </c:pt>
                <c:pt idx="188">
                  <c:v>570.6214835447048</c:v>
                </c:pt>
                <c:pt idx="189">
                  <c:v>570.6214835447048</c:v>
                </c:pt>
                <c:pt idx="190">
                  <c:v>570.6214835447048</c:v>
                </c:pt>
                <c:pt idx="191">
                  <c:v>570.6214835447048</c:v>
                </c:pt>
                <c:pt idx="192">
                  <c:v>570.6214835447048</c:v>
                </c:pt>
                <c:pt idx="193">
                  <c:v>570.6214835447048</c:v>
                </c:pt>
                <c:pt idx="194">
                  <c:v>570.6214835447048</c:v>
                </c:pt>
                <c:pt idx="195">
                  <c:v>570.6214835447048</c:v>
                </c:pt>
                <c:pt idx="196">
                  <c:v>570.6214835447048</c:v>
                </c:pt>
                <c:pt idx="197">
                  <c:v>570.6214835447048</c:v>
                </c:pt>
                <c:pt idx="198">
                  <c:v>570.6214835447048</c:v>
                </c:pt>
                <c:pt idx="199">
                  <c:v>570.6214835447048</c:v>
                </c:pt>
                <c:pt idx="200">
                  <c:v>570.6214835447048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3.4359076455052011</c:v>
                </c:pt>
                <c:pt idx="2">
                  <c:v>4.3229745411916678</c:v>
                </c:pt>
                <c:pt idx="3">
                  <c:v>5.4399407732669722</c:v>
                </c:pt>
                <c:pt idx="4">
                  <c:v>6.8466035838358836</c:v>
                </c:pt>
                <c:pt idx="5">
                  <c:v>8.6183657393493096</c:v>
                </c:pt>
                <c:pt idx="6">
                  <c:v>10.850320788889475</c:v>
                </c:pt>
                <c:pt idx="7">
                  <c:v>13.662410817799808</c:v>
                </c:pt>
                <c:pt idx="8">
                  <c:v>17.205938989128065</c:v>
                </c:pt>
                <c:pt idx="9">
                  <c:v>21.671793643397155</c:v>
                </c:pt>
                <c:pt idx="10">
                  <c:v>27.300834897020753</c:v>
                </c:pt>
                <c:pt idx="11">
                  <c:v>34.397013757699646</c:v>
                </c:pt>
                <c:pt idx="12">
                  <c:v>43.343944362084081</c:v>
                </c:pt>
                <c:pt idx="13">
                  <c:v>54.625840389733639</c:v>
                </c:pt>
                <c:pt idx="14">
                  <c:v>68.853967588781487</c:v>
                </c:pt>
                <c:pt idx="15">
                  <c:v>86.800069041313407</c:v>
                </c:pt>
                <c:pt idx="16">
                  <c:v>109.43860523354437</c:v>
                </c:pt>
                <c:pt idx="17">
                  <c:v>138.00013861106413</c:v>
                </c:pt>
                <c:pt idx="18">
                  <c:v>174.03880922453607</c:v>
                </c:pt>
                <c:pt idx="19">
                  <c:v>219.51762865311431</c:v>
                </c:pt>
                <c:pt idx="20">
                  <c:v>276.91630711457987</c:v>
                </c:pt>
                <c:pt idx="21">
                  <c:v>237.58815254200749</c:v>
                </c:pt>
                <c:pt idx="22">
                  <c:v>260.73876672061448</c:v>
                </c:pt>
                <c:pt idx="23">
                  <c:v>283.84296405810716</c:v>
                </c:pt>
                <c:pt idx="24">
                  <c:v>306.90505238979614</c:v>
                </c:pt>
                <c:pt idx="25">
                  <c:v>329.92863915898073</c:v>
                </c:pt>
                <c:pt idx="26">
                  <c:v>317.96097919830515</c:v>
                </c:pt>
                <c:pt idx="27">
                  <c:v>342.80619071488064</c:v>
                </c:pt>
                <c:pt idx="28">
                  <c:v>367.6118343101619</c:v>
                </c:pt>
                <c:pt idx="29">
                  <c:v>392.38095311431579</c:v>
                </c:pt>
                <c:pt idx="30">
                  <c:v>417.11617489634546</c:v>
                </c:pt>
                <c:pt idx="31">
                  <c:v>391.00580285106707</c:v>
                </c:pt>
                <c:pt idx="32">
                  <c:v>417.57392988530086</c:v>
                </c:pt>
                <c:pt idx="33">
                  <c:v>444.10563664482487</c:v>
                </c:pt>
                <c:pt idx="34">
                  <c:v>470.60340248231091</c:v>
                </c:pt>
                <c:pt idx="35">
                  <c:v>497.06940501240177</c:v>
                </c:pt>
                <c:pt idx="36">
                  <c:v>456.90175831881999</c:v>
                </c:pt>
                <c:pt idx="37">
                  <c:v>482.92761205485334</c:v>
                </c:pt>
                <c:pt idx="38">
                  <c:v>508.9236828935525</c:v>
                </c:pt>
                <c:pt idx="39">
                  <c:v>534.89170432882395</c:v>
                </c:pt>
                <c:pt idx="40">
                  <c:v>560.83322798868119</c:v>
                </c:pt>
                <c:pt idx="41">
                  <c:v>512.56997221170479</c:v>
                </c:pt>
                <c:pt idx="42">
                  <c:v>537.16831555051442</c:v>
                </c:pt>
                <c:pt idx="43">
                  <c:v>561.74299332696955</c:v>
                </c:pt>
                <c:pt idx="44">
                  <c:v>586.29518528801782</c:v>
                </c:pt>
                <c:pt idx="45">
                  <c:v>610.82596442485999</c:v>
                </c:pt>
                <c:pt idx="46">
                  <c:v>554.4640024830552</c:v>
                </c:pt>
                <c:pt idx="47">
                  <c:v>579.93189980305135</c:v>
                </c:pt>
                <c:pt idx="48">
                  <c:v>605.37647913053706</c:v>
                </c:pt>
                <c:pt idx="49">
                  <c:v>630.79885717882428</c:v>
                </c:pt>
                <c:pt idx="50">
                  <c:v>656.20005342145373</c:v>
                </c:pt>
                <c:pt idx="51">
                  <c:v>599.01745752741874</c:v>
                </c:pt>
                <c:pt idx="52">
                  <c:v>621.268000435266</c:v>
                </c:pt>
                <c:pt idx="53">
                  <c:v>643.50204276587431</c:v>
                </c:pt>
                <c:pt idx="54">
                  <c:v>665.72023424435224</c:v>
                </c:pt>
                <c:pt idx="55">
                  <c:v>687.92317774000242</c:v>
                </c:pt>
                <c:pt idx="56">
                  <c:v>630.34507478926525</c:v>
                </c:pt>
                <c:pt idx="57">
                  <c:v>652.11910728853638</c:v>
                </c:pt>
                <c:pt idx="58">
                  <c:v>673.87815884272584</c:v>
                </c:pt>
                <c:pt idx="59">
                  <c:v>695.62278071877392</c:v>
                </c:pt>
                <c:pt idx="60">
                  <c:v>717.35348694890718</c:v>
                </c:pt>
                <c:pt idx="61">
                  <c:v>633.52140991484237</c:v>
                </c:pt>
                <c:pt idx="62">
                  <c:v>633.52140991484237</c:v>
                </c:pt>
                <c:pt idx="63">
                  <c:v>633.52140991484237</c:v>
                </c:pt>
                <c:pt idx="64">
                  <c:v>633.52140991484237</c:v>
                </c:pt>
                <c:pt idx="65">
                  <c:v>633.52140991484237</c:v>
                </c:pt>
                <c:pt idx="66">
                  <c:v>633.52140991484237</c:v>
                </c:pt>
                <c:pt idx="67">
                  <c:v>633.52140991484237</c:v>
                </c:pt>
                <c:pt idx="68">
                  <c:v>633.52140991484237</c:v>
                </c:pt>
                <c:pt idx="69">
                  <c:v>633.52140991484237</c:v>
                </c:pt>
                <c:pt idx="70">
                  <c:v>633.52140991484237</c:v>
                </c:pt>
                <c:pt idx="71">
                  <c:v>633.52140991484237</c:v>
                </c:pt>
                <c:pt idx="72">
                  <c:v>633.52140991484237</c:v>
                </c:pt>
                <c:pt idx="73">
                  <c:v>633.52140991484237</c:v>
                </c:pt>
                <c:pt idx="74">
                  <c:v>633.52140991484237</c:v>
                </c:pt>
                <c:pt idx="75">
                  <c:v>633.52140991484237</c:v>
                </c:pt>
                <c:pt idx="76">
                  <c:v>633.52140991484237</c:v>
                </c:pt>
                <c:pt idx="77">
                  <c:v>633.52140991484237</c:v>
                </c:pt>
                <c:pt idx="78">
                  <c:v>633.52140991484237</c:v>
                </c:pt>
                <c:pt idx="79">
                  <c:v>633.52140991484237</c:v>
                </c:pt>
                <c:pt idx="80">
                  <c:v>633.52140991484237</c:v>
                </c:pt>
                <c:pt idx="81">
                  <c:v>633.52140991484237</c:v>
                </c:pt>
                <c:pt idx="82">
                  <c:v>633.52140991484237</c:v>
                </c:pt>
                <c:pt idx="83">
                  <c:v>633.52140991484237</c:v>
                </c:pt>
                <c:pt idx="84">
                  <c:v>633.52140991484237</c:v>
                </c:pt>
                <c:pt idx="85">
                  <c:v>633.52140991484237</c:v>
                </c:pt>
                <c:pt idx="86">
                  <c:v>633.52140991484237</c:v>
                </c:pt>
                <c:pt idx="87">
                  <c:v>633.52140991484237</c:v>
                </c:pt>
                <c:pt idx="88">
                  <c:v>633.52140991484237</c:v>
                </c:pt>
                <c:pt idx="89">
                  <c:v>633.52140991484237</c:v>
                </c:pt>
                <c:pt idx="90">
                  <c:v>633.52140991484237</c:v>
                </c:pt>
                <c:pt idx="91">
                  <c:v>633.52140991484237</c:v>
                </c:pt>
                <c:pt idx="92">
                  <c:v>633.52140991484237</c:v>
                </c:pt>
                <c:pt idx="93">
                  <c:v>633.52140991484237</c:v>
                </c:pt>
                <c:pt idx="94">
                  <c:v>633.52140991484237</c:v>
                </c:pt>
                <c:pt idx="95">
                  <c:v>633.52140991484237</c:v>
                </c:pt>
                <c:pt idx="96">
                  <c:v>633.52140991484237</c:v>
                </c:pt>
                <c:pt idx="97">
                  <c:v>633.52140991484237</c:v>
                </c:pt>
                <c:pt idx="98">
                  <c:v>633.52140991484237</c:v>
                </c:pt>
                <c:pt idx="99">
                  <c:v>633.52140991484237</c:v>
                </c:pt>
                <c:pt idx="100">
                  <c:v>633.52140991484237</c:v>
                </c:pt>
                <c:pt idx="101">
                  <c:v>633.52140991484237</c:v>
                </c:pt>
                <c:pt idx="102">
                  <c:v>633.52140991484237</c:v>
                </c:pt>
                <c:pt idx="103">
                  <c:v>633.52140991484237</c:v>
                </c:pt>
                <c:pt idx="104">
                  <c:v>633.52140991484237</c:v>
                </c:pt>
                <c:pt idx="105">
                  <c:v>633.52140991484237</c:v>
                </c:pt>
                <c:pt idx="106">
                  <c:v>633.52140991484237</c:v>
                </c:pt>
                <c:pt idx="107">
                  <c:v>633.52140991484237</c:v>
                </c:pt>
                <c:pt idx="108">
                  <c:v>633.52140991484237</c:v>
                </c:pt>
                <c:pt idx="109">
                  <c:v>633.52140991484237</c:v>
                </c:pt>
                <c:pt idx="110">
                  <c:v>633.52140991484237</c:v>
                </c:pt>
                <c:pt idx="111">
                  <c:v>633.52140991484237</c:v>
                </c:pt>
                <c:pt idx="112">
                  <c:v>633.52140991484237</c:v>
                </c:pt>
                <c:pt idx="113">
                  <c:v>633.52140991484237</c:v>
                </c:pt>
                <c:pt idx="114">
                  <c:v>633.52140991484237</c:v>
                </c:pt>
                <c:pt idx="115">
                  <c:v>633.52140991484237</c:v>
                </c:pt>
                <c:pt idx="116">
                  <c:v>633.52140991484237</c:v>
                </c:pt>
                <c:pt idx="117">
                  <c:v>633.52140991484237</c:v>
                </c:pt>
                <c:pt idx="118">
                  <c:v>633.52140991484237</c:v>
                </c:pt>
                <c:pt idx="119">
                  <c:v>633.52140991484237</c:v>
                </c:pt>
                <c:pt idx="120">
                  <c:v>633.52140991484237</c:v>
                </c:pt>
                <c:pt idx="121">
                  <c:v>633.52140991484237</c:v>
                </c:pt>
                <c:pt idx="122">
                  <c:v>633.52140991484237</c:v>
                </c:pt>
                <c:pt idx="123">
                  <c:v>633.52140991484237</c:v>
                </c:pt>
                <c:pt idx="124">
                  <c:v>633.52140991484237</c:v>
                </c:pt>
                <c:pt idx="125">
                  <c:v>633.52140991484237</c:v>
                </c:pt>
                <c:pt idx="126">
                  <c:v>633.52140991484237</c:v>
                </c:pt>
                <c:pt idx="127">
                  <c:v>633.52140991484237</c:v>
                </c:pt>
                <c:pt idx="128">
                  <c:v>633.52140991484237</c:v>
                </c:pt>
                <c:pt idx="129">
                  <c:v>633.52140991484237</c:v>
                </c:pt>
                <c:pt idx="130">
                  <c:v>633.52140991484237</c:v>
                </c:pt>
                <c:pt idx="131">
                  <c:v>633.52140991484237</c:v>
                </c:pt>
                <c:pt idx="132">
                  <c:v>633.52140991484237</c:v>
                </c:pt>
                <c:pt idx="133">
                  <c:v>633.52140991484237</c:v>
                </c:pt>
                <c:pt idx="134">
                  <c:v>633.52140991484237</c:v>
                </c:pt>
                <c:pt idx="135">
                  <c:v>633.52140991484237</c:v>
                </c:pt>
                <c:pt idx="136">
                  <c:v>633.52140991484237</c:v>
                </c:pt>
                <c:pt idx="137">
                  <c:v>633.52140991484237</c:v>
                </c:pt>
                <c:pt idx="138">
                  <c:v>633.52140991484237</c:v>
                </c:pt>
                <c:pt idx="139">
                  <c:v>633.52140991484237</c:v>
                </c:pt>
                <c:pt idx="140">
                  <c:v>633.52140991484237</c:v>
                </c:pt>
                <c:pt idx="141">
                  <c:v>633.52140991484237</c:v>
                </c:pt>
                <c:pt idx="142">
                  <c:v>633.52140991484237</c:v>
                </c:pt>
                <c:pt idx="143">
                  <c:v>633.52140991484237</c:v>
                </c:pt>
                <c:pt idx="144">
                  <c:v>633.52140991484237</c:v>
                </c:pt>
                <c:pt idx="145">
                  <c:v>633.52140991484237</c:v>
                </c:pt>
                <c:pt idx="146">
                  <c:v>633.52140991484237</c:v>
                </c:pt>
                <c:pt idx="147">
                  <c:v>633.52140991484237</c:v>
                </c:pt>
                <c:pt idx="148">
                  <c:v>633.52140991484237</c:v>
                </c:pt>
                <c:pt idx="149">
                  <c:v>633.52140991484237</c:v>
                </c:pt>
                <c:pt idx="150">
                  <c:v>633.52140991484237</c:v>
                </c:pt>
                <c:pt idx="151">
                  <c:v>633.52140991484237</c:v>
                </c:pt>
                <c:pt idx="152">
                  <c:v>633.52140991484237</c:v>
                </c:pt>
                <c:pt idx="153">
                  <c:v>633.52140991484237</c:v>
                </c:pt>
                <c:pt idx="154">
                  <c:v>633.52140991484237</c:v>
                </c:pt>
                <c:pt idx="155">
                  <c:v>633.52140991484237</c:v>
                </c:pt>
                <c:pt idx="156">
                  <c:v>633.52140991484237</c:v>
                </c:pt>
                <c:pt idx="157">
                  <c:v>633.52140991484237</c:v>
                </c:pt>
                <c:pt idx="158">
                  <c:v>633.52140991484237</c:v>
                </c:pt>
                <c:pt idx="159">
                  <c:v>633.52140991484237</c:v>
                </c:pt>
                <c:pt idx="160">
                  <c:v>633.52140991484237</c:v>
                </c:pt>
                <c:pt idx="161">
                  <c:v>633.52140991484237</c:v>
                </c:pt>
                <c:pt idx="162">
                  <c:v>633.52140991484237</c:v>
                </c:pt>
                <c:pt idx="163">
                  <c:v>633.52140991484237</c:v>
                </c:pt>
                <c:pt idx="164">
                  <c:v>633.52140991484237</c:v>
                </c:pt>
                <c:pt idx="165">
                  <c:v>633.52140991484237</c:v>
                </c:pt>
                <c:pt idx="166">
                  <c:v>633.52140991484237</c:v>
                </c:pt>
                <c:pt idx="167">
                  <c:v>633.52140991484237</c:v>
                </c:pt>
                <c:pt idx="168">
                  <c:v>633.52140991484237</c:v>
                </c:pt>
                <c:pt idx="169">
                  <c:v>633.52140991484237</c:v>
                </c:pt>
                <c:pt idx="170">
                  <c:v>633.52140991484237</c:v>
                </c:pt>
                <c:pt idx="171">
                  <c:v>633.52140991484237</c:v>
                </c:pt>
                <c:pt idx="172">
                  <c:v>633.52140991484237</c:v>
                </c:pt>
                <c:pt idx="173">
                  <c:v>633.52140991484237</c:v>
                </c:pt>
                <c:pt idx="174">
                  <c:v>633.52140991484237</c:v>
                </c:pt>
                <c:pt idx="175">
                  <c:v>633.52140991484237</c:v>
                </c:pt>
                <c:pt idx="176">
                  <c:v>633.52140991484237</c:v>
                </c:pt>
                <c:pt idx="177">
                  <c:v>633.52140991484237</c:v>
                </c:pt>
                <c:pt idx="178">
                  <c:v>633.52140991484237</c:v>
                </c:pt>
                <c:pt idx="179">
                  <c:v>633.52140991484237</c:v>
                </c:pt>
                <c:pt idx="180">
                  <c:v>633.52140991484237</c:v>
                </c:pt>
                <c:pt idx="181">
                  <c:v>633.52140991484237</c:v>
                </c:pt>
                <c:pt idx="182">
                  <c:v>633.52140991484237</c:v>
                </c:pt>
                <c:pt idx="183">
                  <c:v>633.52140991484237</c:v>
                </c:pt>
                <c:pt idx="184">
                  <c:v>633.52140991484237</c:v>
                </c:pt>
                <c:pt idx="185">
                  <c:v>633.52140991484237</c:v>
                </c:pt>
                <c:pt idx="186">
                  <c:v>633.52140991484237</c:v>
                </c:pt>
                <c:pt idx="187">
                  <c:v>633.52140991484237</c:v>
                </c:pt>
                <c:pt idx="188">
                  <c:v>633.52140991484237</c:v>
                </c:pt>
                <c:pt idx="189">
                  <c:v>633.52140991484237</c:v>
                </c:pt>
                <c:pt idx="190">
                  <c:v>633.52140991484237</c:v>
                </c:pt>
                <c:pt idx="191">
                  <c:v>633.52140991484237</c:v>
                </c:pt>
                <c:pt idx="192">
                  <c:v>633.52140991484237</c:v>
                </c:pt>
                <c:pt idx="193">
                  <c:v>633.52140991484237</c:v>
                </c:pt>
                <c:pt idx="194">
                  <c:v>633.52140991484237</c:v>
                </c:pt>
                <c:pt idx="195">
                  <c:v>633.52140991484237</c:v>
                </c:pt>
                <c:pt idx="196">
                  <c:v>633.52140991484237</c:v>
                </c:pt>
                <c:pt idx="197">
                  <c:v>633.52140991484237</c:v>
                </c:pt>
                <c:pt idx="198">
                  <c:v>633.52140991484237</c:v>
                </c:pt>
                <c:pt idx="199">
                  <c:v>633.52140991484237</c:v>
                </c:pt>
                <c:pt idx="200">
                  <c:v>633.52140991484237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70" zoomScaleNormal="70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79" zoomScale="70" zoomScaleNormal="70" workbookViewId="0">
      <selection activeCell="J63" sqref="J63"/>
    </sheetView>
  </sheetViews>
  <sheetFormatPr baseColWidth="10" defaultColWidth="11.44140625" defaultRowHeight="14.4" x14ac:dyDescent="0.3"/>
  <cols>
    <col min="1" max="1" width="13.6640625" style="25" customWidth="1"/>
    <col min="2" max="2" width="36.109375" style="25" customWidth="1"/>
    <col min="3" max="3" width="14.88671875" style="25" bestFit="1" customWidth="1"/>
    <col min="4" max="4" width="16.44140625" style="25" customWidth="1"/>
    <col min="5" max="5" width="23.33203125" style="25" customWidth="1"/>
    <col min="6" max="6" width="28.88671875" style="25" bestFit="1" customWidth="1"/>
    <col min="7" max="8" width="14.6640625" style="25" customWidth="1"/>
    <col min="9" max="9" width="17" style="25" customWidth="1"/>
    <col min="10" max="10" width="13.88671875" style="25" customWidth="1"/>
    <col min="11" max="16384" width="11.44140625" style="25"/>
  </cols>
  <sheetData>
    <row r="1" spans="1:38" x14ac:dyDescent="0.3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3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4" thickBot="1" x14ac:dyDescent="0.35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8" x14ac:dyDescent="0.3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8" x14ac:dyDescent="0.3">
      <c r="A5" s="304" t="s">
        <v>231</v>
      </c>
      <c r="B5" s="304"/>
      <c r="C5" s="26">
        <v>3.3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8" x14ac:dyDescent="0.3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">
      <c r="A9" s="33" t="s">
        <v>165</v>
      </c>
      <c r="B9" s="34" t="s">
        <v>14</v>
      </c>
      <c r="C9" s="35">
        <v>0.12</v>
      </c>
      <c r="D9" s="36">
        <f t="shared" ref="D9:D18" si="0">C9*$C$5</f>
        <v>0.39599999999999996</v>
      </c>
      <c r="E9" s="37">
        <v>115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">
      <c r="A10" s="33" t="s">
        <v>166</v>
      </c>
      <c r="B10" s="34" t="s">
        <v>12</v>
      </c>
      <c r="C10" s="35">
        <v>0.12</v>
      </c>
      <c r="D10" s="36">
        <f t="shared" si="0"/>
        <v>0.39599999999999996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">
      <c r="A11" s="33" t="s">
        <v>167</v>
      </c>
      <c r="B11" s="34" t="s">
        <v>8</v>
      </c>
      <c r="C11" s="35">
        <v>0.35</v>
      </c>
      <c r="D11" s="36">
        <f t="shared" si="0"/>
        <v>1.1549999999999998</v>
      </c>
      <c r="E11" s="37">
        <v>40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">
      <c r="A12" s="33" t="s">
        <v>168</v>
      </c>
      <c r="B12" s="34" t="s">
        <v>13</v>
      </c>
      <c r="C12" s="35">
        <v>0.28000000000000003</v>
      </c>
      <c r="D12" s="36">
        <f t="shared" si="0"/>
        <v>0.92400000000000004</v>
      </c>
      <c r="E12" s="37">
        <v>80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">
      <c r="A13" s="33" t="s">
        <v>169</v>
      </c>
      <c r="B13" s="34" t="s">
        <v>81</v>
      </c>
      <c r="C13" s="35">
        <v>7.0000000000000007E-2</v>
      </c>
      <c r="D13" s="36">
        <f t="shared" si="0"/>
        <v>0.23100000000000001</v>
      </c>
      <c r="E13" s="37">
        <v>36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">
      <c r="A14" s="33" t="s">
        <v>170</v>
      </c>
      <c r="B14" s="34" t="s">
        <v>1</v>
      </c>
      <c r="C14" s="35">
        <v>0.03</v>
      </c>
      <c r="D14" s="36">
        <f t="shared" si="0"/>
        <v>9.8999999999999991E-2</v>
      </c>
      <c r="E14" s="37">
        <v>60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">
      <c r="A15" s="33" t="s">
        <v>171</v>
      </c>
      <c r="B15" s="34" t="s">
        <v>52</v>
      </c>
      <c r="C15" s="35">
        <v>0.03</v>
      </c>
      <c r="D15" s="36">
        <f t="shared" si="0"/>
        <v>9.8999999999999991E-2</v>
      </c>
      <c r="E15" s="37">
        <v>60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">
      <c r="A19" s="100"/>
      <c r="B19" s="39" t="s">
        <v>175</v>
      </c>
      <c r="C19" s="40">
        <f>SUM(C9:C18)</f>
        <v>1</v>
      </c>
      <c r="D19" s="41">
        <f>SUM(D9:D18)</f>
        <v>3.3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4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2" x14ac:dyDescent="0.3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">
      <c r="A36" s="53">
        <v>20</v>
      </c>
      <c r="B36" s="63">
        <v>73</v>
      </c>
      <c r="C36" s="63">
        <v>1</v>
      </c>
      <c r="D36" s="63">
        <v>6</v>
      </c>
      <c r="E36" s="54"/>
      <c r="F36" s="54"/>
      <c r="G36" s="54"/>
      <c r="H36" s="54">
        <v>1</v>
      </c>
      <c r="I36" s="52">
        <f>IFERROR(B36/A36,"")</f>
        <v>3.65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">
      <c r="A37" s="53">
        <v>25</v>
      </c>
      <c r="B37" s="63">
        <v>103</v>
      </c>
      <c r="C37" s="63">
        <v>2</v>
      </c>
      <c r="D37" s="63">
        <v>28</v>
      </c>
      <c r="E37" s="54"/>
      <c r="F37" s="54"/>
      <c r="G37" s="54"/>
      <c r="H37" s="54">
        <v>1</v>
      </c>
      <c r="I37" s="56">
        <f t="shared" ref="I37:I52" si="1">IF(A37&lt;&gt;0,(B37-(B36-D36))/(A37-A36),"")</f>
        <v>7.2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">
      <c r="A38" s="53">
        <v>30</v>
      </c>
      <c r="B38" s="63">
        <v>121</v>
      </c>
      <c r="C38" s="63">
        <v>3</v>
      </c>
      <c r="D38" s="63">
        <v>28</v>
      </c>
      <c r="E38" s="54"/>
      <c r="F38" s="54"/>
      <c r="G38" s="54"/>
      <c r="H38" s="54">
        <v>1</v>
      </c>
      <c r="I38" s="56">
        <f>IF(A38&lt;&gt;0,(B38-(B37-D37))/(A38-A37),"")</f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">
      <c r="A39" s="53">
        <v>35</v>
      </c>
      <c r="B39" s="63">
        <v>147</v>
      </c>
      <c r="C39" s="63">
        <v>4</v>
      </c>
      <c r="D39" s="63">
        <v>28</v>
      </c>
      <c r="E39" s="54">
        <v>0.4</v>
      </c>
      <c r="F39" s="54">
        <v>0.08</v>
      </c>
      <c r="G39" s="54">
        <v>0.12</v>
      </c>
      <c r="H39" s="54">
        <v>0.4</v>
      </c>
      <c r="I39" s="52">
        <f>IF(A39&lt;&gt;0,(B39-(B38-D38))/(A39-A38),"")</f>
        <v>10.8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">
      <c r="A40" s="53">
        <v>40</v>
      </c>
      <c r="B40" s="63">
        <v>175</v>
      </c>
      <c r="C40" s="63">
        <v>5</v>
      </c>
      <c r="D40" s="63">
        <v>28</v>
      </c>
      <c r="E40" s="54">
        <v>0.4</v>
      </c>
      <c r="F40" s="54">
        <v>0.08</v>
      </c>
      <c r="G40" s="54">
        <v>0.12</v>
      </c>
      <c r="H40" s="54">
        <v>0.4</v>
      </c>
      <c r="I40" s="52">
        <f>IF(A40&lt;&gt;0,(B40-(B39-D39))/(A40-A39),"")</f>
        <v>11.2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">
      <c r="A41" s="53">
        <v>45</v>
      </c>
      <c r="B41" s="63">
        <v>204</v>
      </c>
      <c r="C41" s="63">
        <v>6</v>
      </c>
      <c r="D41" s="63">
        <v>28</v>
      </c>
      <c r="E41" s="54">
        <v>0.6</v>
      </c>
      <c r="F41" s="54">
        <v>0.04</v>
      </c>
      <c r="G41" s="54">
        <v>0.06</v>
      </c>
      <c r="H41" s="54">
        <v>0.3</v>
      </c>
      <c r="I41" s="56">
        <f t="shared" si="1"/>
        <v>11.4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">
      <c r="A42" s="53">
        <v>50</v>
      </c>
      <c r="B42" s="63">
        <v>231</v>
      </c>
      <c r="C42" s="63">
        <v>7</v>
      </c>
      <c r="D42" s="63">
        <v>28</v>
      </c>
      <c r="E42" s="54">
        <v>0.6</v>
      </c>
      <c r="F42" s="54">
        <v>0.04</v>
      </c>
      <c r="G42" s="54">
        <v>0.06</v>
      </c>
      <c r="H42" s="54">
        <v>0.3</v>
      </c>
      <c r="I42" s="56">
        <f t="shared" si="1"/>
        <v>11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">
      <c r="A43" s="283">
        <v>55</v>
      </c>
      <c r="B43" s="63">
        <v>254</v>
      </c>
      <c r="C43" s="63">
        <v>8</v>
      </c>
      <c r="D43" s="63">
        <v>28</v>
      </c>
      <c r="E43" s="54">
        <v>0.8</v>
      </c>
      <c r="F43" s="54">
        <v>0.04</v>
      </c>
      <c r="G43" s="54">
        <v>0.06</v>
      </c>
      <c r="H43" s="54">
        <v>0.1</v>
      </c>
      <c r="I43" s="52">
        <f t="shared" si="1"/>
        <v>10.199999999999999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">
      <c r="A44" s="283">
        <v>60</v>
      </c>
      <c r="B44" s="63">
        <v>273</v>
      </c>
      <c r="C44" s="63">
        <v>9</v>
      </c>
      <c r="D44" s="63">
        <v>28</v>
      </c>
      <c r="E44" s="54">
        <v>0.8</v>
      </c>
      <c r="F44" s="54">
        <v>0.04</v>
      </c>
      <c r="G44" s="54">
        <v>0.06</v>
      </c>
      <c r="H44" s="54">
        <v>0.1</v>
      </c>
      <c r="I44" s="52">
        <f t="shared" si="1"/>
        <v>9.4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">
      <c r="A45" s="283">
        <v>65</v>
      </c>
      <c r="B45" s="63">
        <v>289</v>
      </c>
      <c r="C45" s="63">
        <v>10</v>
      </c>
      <c r="D45" s="63">
        <v>28</v>
      </c>
      <c r="E45" s="54">
        <v>0.8</v>
      </c>
      <c r="F45" s="54">
        <v>0.04</v>
      </c>
      <c r="G45" s="54">
        <v>0.06</v>
      </c>
      <c r="H45" s="54">
        <v>0.1</v>
      </c>
      <c r="I45" s="52">
        <f t="shared" si="1"/>
        <v>8.8000000000000007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">
      <c r="A46" s="283">
        <v>70</v>
      </c>
      <c r="B46" s="63">
        <v>302</v>
      </c>
      <c r="C46" s="63">
        <v>11</v>
      </c>
      <c r="D46" s="63">
        <v>28</v>
      </c>
      <c r="E46" s="54">
        <v>0.8</v>
      </c>
      <c r="F46" s="54">
        <v>0.04</v>
      </c>
      <c r="G46" s="54">
        <v>0.06</v>
      </c>
      <c r="H46" s="54">
        <v>0.1</v>
      </c>
      <c r="I46" s="52">
        <f t="shared" si="1"/>
        <v>8.1999999999999993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">
      <c r="A47" s="283">
        <v>75</v>
      </c>
      <c r="B47" s="63">
        <v>312</v>
      </c>
      <c r="C47" s="63">
        <v>12</v>
      </c>
      <c r="D47" s="63">
        <v>28</v>
      </c>
      <c r="E47" s="54">
        <v>0.8</v>
      </c>
      <c r="F47" s="54">
        <v>0.04</v>
      </c>
      <c r="G47" s="54">
        <v>0.06</v>
      </c>
      <c r="H47" s="54">
        <v>0.1</v>
      </c>
      <c r="I47" s="52">
        <f t="shared" si="1"/>
        <v>7.6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">
      <c r="A48" s="283">
        <v>80</v>
      </c>
      <c r="B48" s="63">
        <v>320</v>
      </c>
      <c r="C48" s="63">
        <v>13</v>
      </c>
      <c r="D48" s="63">
        <v>28</v>
      </c>
      <c r="E48" s="54">
        <v>0.8</v>
      </c>
      <c r="F48" s="54">
        <v>0.04</v>
      </c>
      <c r="G48" s="54">
        <v>0.06</v>
      </c>
      <c r="H48" s="54">
        <v>0.1</v>
      </c>
      <c r="I48" s="52">
        <f t="shared" si="1"/>
        <v>7.2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">
      <c r="A49" s="283">
        <v>85</v>
      </c>
      <c r="B49" s="63">
        <v>326</v>
      </c>
      <c r="C49" s="63">
        <v>14</v>
      </c>
      <c r="D49" s="63">
        <v>28</v>
      </c>
      <c r="E49" s="54">
        <v>0.8</v>
      </c>
      <c r="F49" s="54">
        <v>0.04</v>
      </c>
      <c r="G49" s="54">
        <v>0.06</v>
      </c>
      <c r="H49" s="54">
        <v>0.1</v>
      </c>
      <c r="I49" s="52">
        <f t="shared" si="1"/>
        <v>6.8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">
      <c r="A50" s="283">
        <v>90</v>
      </c>
      <c r="B50" s="53">
        <v>330</v>
      </c>
      <c r="C50" s="63">
        <v>15</v>
      </c>
      <c r="D50" s="63">
        <v>28</v>
      </c>
      <c r="E50" s="54">
        <v>0.8</v>
      </c>
      <c r="F50" s="54">
        <v>0.04</v>
      </c>
      <c r="G50" s="54">
        <v>0.06</v>
      </c>
      <c r="H50" s="54">
        <v>0.1</v>
      </c>
      <c r="I50" s="52">
        <f t="shared" si="1"/>
        <v>6.4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">
      <c r="A51" s="283">
        <v>95</v>
      </c>
      <c r="B51" s="53">
        <v>333</v>
      </c>
      <c r="C51" s="63">
        <v>16</v>
      </c>
      <c r="D51" s="63">
        <v>28</v>
      </c>
      <c r="E51" s="54">
        <v>0.8</v>
      </c>
      <c r="F51" s="54">
        <v>0.04</v>
      </c>
      <c r="G51" s="54">
        <v>0.06</v>
      </c>
      <c r="H51" s="54">
        <v>0.1</v>
      </c>
      <c r="I51" s="52">
        <f t="shared" si="1"/>
        <v>6.2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">
      <c r="A52" s="283">
        <v>100</v>
      </c>
      <c r="B52" s="53">
        <v>333</v>
      </c>
      <c r="C52" s="63">
        <v>17</v>
      </c>
      <c r="D52" s="53">
        <v>27</v>
      </c>
      <c r="E52" s="54">
        <v>0.8</v>
      </c>
      <c r="F52" s="54">
        <v>0.04</v>
      </c>
      <c r="G52" s="54">
        <v>0.06</v>
      </c>
      <c r="H52" s="54">
        <v>0.1</v>
      </c>
      <c r="I52" s="52">
        <f t="shared" si="1"/>
        <v>5.6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">
      <c r="A53" s="283">
        <v>105</v>
      </c>
      <c r="B53" s="53">
        <v>333</v>
      </c>
      <c r="C53" s="63">
        <v>18</v>
      </c>
      <c r="D53" s="53">
        <v>26</v>
      </c>
      <c r="E53" s="54">
        <v>0.8</v>
      </c>
      <c r="F53" s="54">
        <v>0.04</v>
      </c>
      <c r="G53" s="54">
        <v>0.06</v>
      </c>
      <c r="H53" s="54">
        <v>0.1</v>
      </c>
      <c r="I53" s="52">
        <f>IF(A53&lt;&gt;0,(B53-(B52-D52))/(A53-A52),"")</f>
        <v>5.4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">
      <c r="A54" s="283">
        <v>110</v>
      </c>
      <c r="B54" s="53">
        <v>332</v>
      </c>
      <c r="C54" s="63">
        <v>19</v>
      </c>
      <c r="D54" s="53">
        <v>25</v>
      </c>
      <c r="E54" s="54">
        <v>0.8</v>
      </c>
      <c r="F54" s="54">
        <v>0.04</v>
      </c>
      <c r="G54" s="54">
        <v>0.06</v>
      </c>
      <c r="H54" s="54">
        <v>0.1</v>
      </c>
      <c r="I54" s="52">
        <f>IF(A54&lt;&gt;0,(B54-(B53-D53))/(A54-A53),"")</f>
        <v>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">
      <c r="A55" s="283">
        <v>115</v>
      </c>
      <c r="B55" s="53">
        <v>331</v>
      </c>
      <c r="C55" s="63">
        <v>20</v>
      </c>
      <c r="D55" s="53">
        <v>24</v>
      </c>
      <c r="E55" s="54">
        <v>0.8</v>
      </c>
      <c r="F55" s="54">
        <v>0.04</v>
      </c>
      <c r="G55" s="54">
        <v>0.06</v>
      </c>
      <c r="H55" s="54">
        <v>0.1</v>
      </c>
      <c r="I55" s="52">
        <f>IF(A55&lt;&gt;0,(B55-(B54-D54))/(A55-A54),"")</f>
        <v>4.8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">
      <c r="A58" s="49" t="s">
        <v>166</v>
      </c>
      <c r="B58" s="55" t="str">
        <f>IF(B10="","",B10)</f>
        <v>Chêne pubescent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2" x14ac:dyDescent="0.3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">
      <c r="A62" s="53">
        <v>20</v>
      </c>
      <c r="B62" s="63">
        <v>73</v>
      </c>
      <c r="C62" s="63">
        <v>1</v>
      </c>
      <c r="D62" s="63">
        <v>6</v>
      </c>
      <c r="E62" s="54"/>
      <c r="F62" s="54"/>
      <c r="G62" s="54"/>
      <c r="H62" s="54">
        <v>1</v>
      </c>
      <c r="I62" s="56">
        <f>IFERROR(B62/A62,"")</f>
        <v>3.65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">
      <c r="A63" s="53">
        <v>25</v>
      </c>
      <c r="B63" s="63">
        <v>103</v>
      </c>
      <c r="C63" s="63">
        <v>2</v>
      </c>
      <c r="D63" s="63">
        <v>28</v>
      </c>
      <c r="E63" s="54"/>
      <c r="F63" s="54"/>
      <c r="G63" s="54"/>
      <c r="H63" s="54">
        <v>1</v>
      </c>
      <c r="I63" s="52">
        <f>IF(A63&lt;&gt;0,(B63-(B62-D62))/(A63-A62),"")</f>
        <v>7.2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">
      <c r="A64" s="53">
        <v>30</v>
      </c>
      <c r="B64" s="63">
        <v>121</v>
      </c>
      <c r="C64" s="63">
        <v>3</v>
      </c>
      <c r="D64" s="63">
        <v>28</v>
      </c>
      <c r="E64" s="54"/>
      <c r="F64" s="54"/>
      <c r="G64" s="54"/>
      <c r="H64" s="54">
        <v>1</v>
      </c>
      <c r="I64" s="52">
        <f>IF(A64&lt;&gt;0,(B64-(B63-D63))/(A64-A63),"")</f>
        <v>9.1999999999999993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">
      <c r="A65" s="53">
        <v>35</v>
      </c>
      <c r="B65" s="63">
        <v>147</v>
      </c>
      <c r="C65" s="63">
        <v>4</v>
      </c>
      <c r="D65" s="63">
        <v>28</v>
      </c>
      <c r="E65" s="54">
        <v>0.4</v>
      </c>
      <c r="F65" s="54">
        <v>0.08</v>
      </c>
      <c r="G65" s="54">
        <v>0.12</v>
      </c>
      <c r="H65" s="54">
        <v>0.4</v>
      </c>
      <c r="I65" s="52">
        <f>IF(A65&lt;&gt;0,(B65-(B64-D64))/(A65-A64),"")</f>
        <v>10.8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">
      <c r="A66" s="53">
        <v>40</v>
      </c>
      <c r="B66" s="63">
        <v>175</v>
      </c>
      <c r="C66" s="63">
        <v>5</v>
      </c>
      <c r="D66" s="63">
        <v>28</v>
      </c>
      <c r="E66" s="54">
        <v>0.4</v>
      </c>
      <c r="F66" s="54">
        <v>0.08</v>
      </c>
      <c r="G66" s="54">
        <v>0.12</v>
      </c>
      <c r="H66" s="54">
        <v>0.4</v>
      </c>
      <c r="I66" s="52">
        <f t="shared" ref="I66:I81" si="2">IF(A66&lt;&gt;0,(B66-(B65-D65))/(A66-A65),"")</f>
        <v>11.2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">
      <c r="A67" s="53">
        <v>45</v>
      </c>
      <c r="B67" s="63">
        <v>204</v>
      </c>
      <c r="C67" s="63">
        <v>6</v>
      </c>
      <c r="D67" s="63">
        <v>28</v>
      </c>
      <c r="E67" s="54">
        <v>0.6</v>
      </c>
      <c r="F67" s="54">
        <v>0.04</v>
      </c>
      <c r="G67" s="54">
        <v>0.06</v>
      </c>
      <c r="H67" s="54">
        <v>0.3</v>
      </c>
      <c r="I67" s="52">
        <f t="shared" si="2"/>
        <v>11.4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">
      <c r="A68" s="53">
        <v>50</v>
      </c>
      <c r="B68" s="63">
        <v>231</v>
      </c>
      <c r="C68" s="63">
        <v>7</v>
      </c>
      <c r="D68" s="63">
        <v>28</v>
      </c>
      <c r="E68" s="54">
        <v>0.6</v>
      </c>
      <c r="F68" s="54">
        <v>0.04</v>
      </c>
      <c r="G68" s="54">
        <v>0.06</v>
      </c>
      <c r="H68" s="54">
        <v>0.3</v>
      </c>
      <c r="I68" s="52">
        <f t="shared" si="2"/>
        <v>11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">
      <c r="A69" s="53">
        <v>55</v>
      </c>
      <c r="B69" s="53">
        <v>254</v>
      </c>
      <c r="C69" s="53">
        <v>8</v>
      </c>
      <c r="D69" s="53">
        <v>28</v>
      </c>
      <c r="E69" s="54">
        <v>0.8</v>
      </c>
      <c r="F69" s="54">
        <v>0.04</v>
      </c>
      <c r="G69" s="54">
        <v>0.06</v>
      </c>
      <c r="H69" s="54">
        <v>0.1</v>
      </c>
      <c r="I69" s="52">
        <f t="shared" si="2"/>
        <v>10.199999999999999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">
      <c r="A70" s="53">
        <v>60</v>
      </c>
      <c r="B70" s="53">
        <v>273</v>
      </c>
      <c r="C70" s="53">
        <v>9</v>
      </c>
      <c r="D70" s="53">
        <v>28</v>
      </c>
      <c r="E70" s="54">
        <v>0.8</v>
      </c>
      <c r="F70" s="54">
        <v>0.04</v>
      </c>
      <c r="G70" s="54">
        <v>0.06</v>
      </c>
      <c r="H70" s="54">
        <v>0.1</v>
      </c>
      <c r="I70" s="52">
        <f t="shared" si="2"/>
        <v>9.4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">
      <c r="A71" s="53">
        <v>65</v>
      </c>
      <c r="B71" s="53">
        <v>289</v>
      </c>
      <c r="C71" s="53">
        <v>10</v>
      </c>
      <c r="D71" s="53">
        <v>28</v>
      </c>
      <c r="E71" s="54">
        <v>0.8</v>
      </c>
      <c r="F71" s="54">
        <v>0.04</v>
      </c>
      <c r="G71" s="54">
        <v>0.06</v>
      </c>
      <c r="H71" s="54">
        <v>0.1</v>
      </c>
      <c r="I71" s="52">
        <f t="shared" si="2"/>
        <v>8.8000000000000007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">
      <c r="A72" s="53">
        <v>70</v>
      </c>
      <c r="B72" s="53">
        <v>302</v>
      </c>
      <c r="C72" s="53">
        <v>11</v>
      </c>
      <c r="D72" s="53">
        <v>28</v>
      </c>
      <c r="E72" s="54">
        <v>0.8</v>
      </c>
      <c r="F72" s="54">
        <v>0.04</v>
      </c>
      <c r="G72" s="54">
        <v>0.06</v>
      </c>
      <c r="H72" s="54">
        <v>0.1</v>
      </c>
      <c r="I72" s="52">
        <f t="shared" si="2"/>
        <v>8.1999999999999993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">
      <c r="A73" s="53">
        <v>75</v>
      </c>
      <c r="B73" s="53">
        <v>312</v>
      </c>
      <c r="C73" s="53">
        <v>12</v>
      </c>
      <c r="D73" s="53">
        <v>28</v>
      </c>
      <c r="E73" s="54">
        <v>0.8</v>
      </c>
      <c r="F73" s="54">
        <v>0.04</v>
      </c>
      <c r="G73" s="54">
        <v>0.06</v>
      </c>
      <c r="H73" s="54">
        <v>0.1</v>
      </c>
      <c r="I73" s="52">
        <f t="shared" si="2"/>
        <v>7.6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">
      <c r="A74" s="53">
        <v>80</v>
      </c>
      <c r="B74" s="53">
        <v>320</v>
      </c>
      <c r="C74" s="53">
        <v>13</v>
      </c>
      <c r="D74" s="53">
        <v>28</v>
      </c>
      <c r="E74" s="54">
        <v>0.8</v>
      </c>
      <c r="F74" s="54">
        <v>0.04</v>
      </c>
      <c r="G74" s="54">
        <v>0.06</v>
      </c>
      <c r="H74" s="54">
        <v>0.1</v>
      </c>
      <c r="I74" s="52">
        <f t="shared" si="2"/>
        <v>7.2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">
      <c r="A75" s="53">
        <v>85</v>
      </c>
      <c r="B75" s="53">
        <v>326</v>
      </c>
      <c r="C75" s="53">
        <v>14</v>
      </c>
      <c r="D75" s="53">
        <v>28</v>
      </c>
      <c r="E75" s="54">
        <v>0.8</v>
      </c>
      <c r="F75" s="54">
        <v>0.04</v>
      </c>
      <c r="G75" s="54">
        <v>0.06</v>
      </c>
      <c r="H75" s="54">
        <v>0.1</v>
      </c>
      <c r="I75" s="52">
        <f t="shared" si="2"/>
        <v>6.8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">
      <c r="A76" s="53">
        <v>90</v>
      </c>
      <c r="B76" s="53">
        <v>330</v>
      </c>
      <c r="C76" s="53">
        <v>15</v>
      </c>
      <c r="D76" s="53">
        <v>28</v>
      </c>
      <c r="E76" s="54">
        <v>0.8</v>
      </c>
      <c r="F76" s="54">
        <v>0.04</v>
      </c>
      <c r="G76" s="54">
        <v>0.06</v>
      </c>
      <c r="H76" s="54">
        <v>0.1</v>
      </c>
      <c r="I76" s="52">
        <f t="shared" si="2"/>
        <v>6.4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">
      <c r="A77" s="53">
        <v>95</v>
      </c>
      <c r="B77" s="53">
        <v>333</v>
      </c>
      <c r="C77" s="53">
        <v>16</v>
      </c>
      <c r="D77" s="53">
        <v>28</v>
      </c>
      <c r="E77" s="54">
        <v>0.8</v>
      </c>
      <c r="F77" s="54">
        <v>0.04</v>
      </c>
      <c r="G77" s="54">
        <v>0.06</v>
      </c>
      <c r="H77" s="54">
        <v>0.1</v>
      </c>
      <c r="I77" s="52">
        <f t="shared" si="2"/>
        <v>6.2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">
      <c r="A78" s="53">
        <v>100</v>
      </c>
      <c r="B78" s="53">
        <v>333</v>
      </c>
      <c r="C78" s="53">
        <v>17</v>
      </c>
      <c r="D78" s="53">
        <v>27</v>
      </c>
      <c r="E78" s="54">
        <v>0.8</v>
      </c>
      <c r="F78" s="54">
        <v>0.04</v>
      </c>
      <c r="G78" s="54">
        <v>0.06</v>
      </c>
      <c r="H78" s="54">
        <v>0.1</v>
      </c>
      <c r="I78" s="52">
        <f t="shared" si="2"/>
        <v>5.6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">
      <c r="A79" s="53">
        <v>105</v>
      </c>
      <c r="B79" s="53">
        <v>333</v>
      </c>
      <c r="C79" s="53">
        <v>18</v>
      </c>
      <c r="D79" s="53">
        <v>26</v>
      </c>
      <c r="E79" s="54">
        <v>0.8</v>
      </c>
      <c r="F79" s="54">
        <v>0.04</v>
      </c>
      <c r="G79" s="54">
        <v>0.06</v>
      </c>
      <c r="H79" s="54">
        <v>0.1</v>
      </c>
      <c r="I79" s="52">
        <f t="shared" si="2"/>
        <v>5.4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">
      <c r="A80" s="53">
        <v>110</v>
      </c>
      <c r="B80" s="53">
        <v>332</v>
      </c>
      <c r="C80" s="53">
        <v>19</v>
      </c>
      <c r="D80" s="53">
        <v>25</v>
      </c>
      <c r="E80" s="54">
        <v>0.8</v>
      </c>
      <c r="F80" s="54">
        <v>0.04</v>
      </c>
      <c r="G80" s="54">
        <v>0.06</v>
      </c>
      <c r="H80" s="54">
        <v>0.1</v>
      </c>
      <c r="I80" s="52">
        <f t="shared" si="2"/>
        <v>5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">
      <c r="A81" s="53">
        <v>115</v>
      </c>
      <c r="B81" s="53">
        <v>331</v>
      </c>
      <c r="C81" s="53">
        <v>20</v>
      </c>
      <c r="D81" s="53">
        <v>24</v>
      </c>
      <c r="E81" s="54">
        <v>0.8</v>
      </c>
      <c r="F81" s="54">
        <v>0.04</v>
      </c>
      <c r="G81" s="54">
        <v>0.06</v>
      </c>
      <c r="H81" s="54">
        <v>0.1</v>
      </c>
      <c r="I81" s="52">
        <f t="shared" si="2"/>
        <v>4.8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">
      <c r="A84" s="49" t="s">
        <v>167</v>
      </c>
      <c r="B84" s="55" t="str">
        <f>IF(B11="","",B11)</f>
        <v>Châtaignier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2" x14ac:dyDescent="0.3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">
      <c r="A88" s="53">
        <v>18</v>
      </c>
      <c r="B88" s="63">
        <v>206.8</v>
      </c>
      <c r="C88" s="63">
        <v>1</v>
      </c>
      <c r="D88" s="63">
        <v>20.68</v>
      </c>
      <c r="E88" s="54"/>
      <c r="F88" s="54"/>
      <c r="G88" s="54"/>
      <c r="H88" s="93">
        <v>1</v>
      </c>
      <c r="I88" s="56">
        <f>IFERROR(B88/A88,"")</f>
        <v>11.488888888888889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">
      <c r="A89" s="53">
        <v>25</v>
      </c>
      <c r="B89" s="63">
        <v>246.32</v>
      </c>
      <c r="C89" s="63">
        <v>2</v>
      </c>
      <c r="D89" s="63">
        <v>49.26</v>
      </c>
      <c r="E89" s="54"/>
      <c r="F89" s="54"/>
      <c r="G89" s="54"/>
      <c r="H89" s="93">
        <v>1</v>
      </c>
      <c r="I89" s="56">
        <f t="shared" ref="I89:I107" si="3">IF(A89&lt;&gt;0,(B89-(B88-D88))/(A89-A88),"")</f>
        <v>8.5999999999999979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">
      <c r="A90" s="53">
        <v>32</v>
      </c>
      <c r="B90" s="63">
        <v>245.66</v>
      </c>
      <c r="C90" s="63">
        <v>3</v>
      </c>
      <c r="D90" s="63">
        <v>73.7</v>
      </c>
      <c r="E90" s="93">
        <v>0.5</v>
      </c>
      <c r="F90" s="93">
        <v>0.1</v>
      </c>
      <c r="G90" s="93">
        <v>0.15</v>
      </c>
      <c r="H90" s="93">
        <v>0.25</v>
      </c>
      <c r="I90" s="56">
        <f t="shared" si="3"/>
        <v>6.9428571428571422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">
      <c r="A91" s="53">
        <v>40</v>
      </c>
      <c r="B91" s="63">
        <v>218.36</v>
      </c>
      <c r="C91" s="63">
        <v>4</v>
      </c>
      <c r="D91" s="63">
        <v>218.36</v>
      </c>
      <c r="E91" s="93">
        <v>0.5</v>
      </c>
      <c r="F91" s="93">
        <v>0.1</v>
      </c>
      <c r="G91" s="93">
        <v>0.15</v>
      </c>
      <c r="H91" s="93">
        <v>0.25</v>
      </c>
      <c r="I91" s="56">
        <f t="shared" si="3"/>
        <v>5.8000000000000043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">
      <c r="A110" s="49" t="s">
        <v>168</v>
      </c>
      <c r="B110" s="55" t="str">
        <f>IF(B12="","",B12)</f>
        <v>Chêne rouge d'Amérique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2" x14ac:dyDescent="0.3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">
      <c r="A114" s="53">
        <v>20</v>
      </c>
      <c r="B114" s="63">
        <v>95</v>
      </c>
      <c r="C114" s="53">
        <v>1</v>
      </c>
      <c r="D114" s="63">
        <v>33</v>
      </c>
      <c r="E114" s="54"/>
      <c r="F114" s="54"/>
      <c r="G114" s="54"/>
      <c r="H114" s="54">
        <v>1</v>
      </c>
      <c r="I114" s="56">
        <f>IFERROR(B114/A114,"")</f>
        <v>4.75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">
      <c r="A115" s="53">
        <v>25</v>
      </c>
      <c r="B115" s="63">
        <v>120</v>
      </c>
      <c r="C115" s="53">
        <v>2</v>
      </c>
      <c r="D115" s="63">
        <v>34</v>
      </c>
      <c r="E115" s="54">
        <v>0.2</v>
      </c>
      <c r="F115" s="54">
        <v>0.2</v>
      </c>
      <c r="G115" s="54">
        <v>0.3</v>
      </c>
      <c r="H115" s="54">
        <v>0.3</v>
      </c>
      <c r="I115" s="56">
        <f t="shared" ref="I115:I133" si="4">IF(A115&lt;&gt;0,(B115-(B114-D114))/(A115-A114),"")</f>
        <v>11.6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">
      <c r="A116" s="53">
        <v>30</v>
      </c>
      <c r="B116" s="63">
        <v>142</v>
      </c>
      <c r="C116" s="53">
        <v>3</v>
      </c>
      <c r="D116" s="63">
        <v>33</v>
      </c>
      <c r="E116" s="54">
        <v>0.2</v>
      </c>
      <c r="F116" s="54">
        <v>0.2</v>
      </c>
      <c r="G116" s="54">
        <v>0.3</v>
      </c>
      <c r="H116" s="54">
        <v>0.3</v>
      </c>
      <c r="I116" s="56">
        <f t="shared" si="4"/>
        <v>11.2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">
      <c r="A117" s="53">
        <v>35</v>
      </c>
      <c r="B117" s="63">
        <v>164</v>
      </c>
      <c r="C117" s="53">
        <v>4</v>
      </c>
      <c r="D117" s="63">
        <v>33</v>
      </c>
      <c r="E117" s="54">
        <v>0.2</v>
      </c>
      <c r="F117" s="54">
        <v>0.2</v>
      </c>
      <c r="G117" s="54">
        <v>0.3</v>
      </c>
      <c r="H117" s="54">
        <v>0.3</v>
      </c>
      <c r="I117" s="56">
        <f t="shared" si="4"/>
        <v>11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">
      <c r="A118" s="53">
        <v>40</v>
      </c>
      <c r="B118" s="63">
        <v>186</v>
      </c>
      <c r="C118" s="53">
        <v>5</v>
      </c>
      <c r="D118" s="63">
        <v>33</v>
      </c>
      <c r="E118" s="54">
        <v>0.45</v>
      </c>
      <c r="F118" s="54">
        <v>0.1</v>
      </c>
      <c r="G118" s="54">
        <v>0.15</v>
      </c>
      <c r="H118" s="54">
        <v>0.3</v>
      </c>
      <c r="I118" s="56">
        <f t="shared" si="4"/>
        <v>11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">
      <c r="A119" s="53">
        <v>45</v>
      </c>
      <c r="B119" s="63">
        <v>207</v>
      </c>
      <c r="C119" s="53">
        <v>6</v>
      </c>
      <c r="D119" s="63">
        <v>32</v>
      </c>
      <c r="E119" s="54">
        <v>0.5</v>
      </c>
      <c r="F119" s="54">
        <v>0.1</v>
      </c>
      <c r="G119" s="54">
        <v>0.15</v>
      </c>
      <c r="H119" s="54">
        <v>0.25</v>
      </c>
      <c r="I119" s="56">
        <f t="shared" si="4"/>
        <v>10.8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">
      <c r="A120" s="63">
        <v>50</v>
      </c>
      <c r="B120" s="63">
        <v>228</v>
      </c>
      <c r="C120" s="63">
        <v>7</v>
      </c>
      <c r="D120" s="63">
        <v>32</v>
      </c>
      <c r="E120" s="93">
        <v>0.5</v>
      </c>
      <c r="F120" s="93">
        <v>0.1</v>
      </c>
      <c r="G120" s="93">
        <v>0.15</v>
      </c>
      <c r="H120" s="93">
        <v>0.25</v>
      </c>
      <c r="I120" s="56">
        <f t="shared" si="4"/>
        <v>10.6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">
      <c r="A121" s="63">
        <v>55</v>
      </c>
      <c r="B121" s="63">
        <v>249</v>
      </c>
      <c r="C121" s="63">
        <v>8</v>
      </c>
      <c r="D121" s="63">
        <v>32</v>
      </c>
      <c r="E121" s="93">
        <v>0.5</v>
      </c>
      <c r="F121" s="93">
        <v>0.1</v>
      </c>
      <c r="G121" s="93">
        <v>0.15</v>
      </c>
      <c r="H121" s="93">
        <v>0.25</v>
      </c>
      <c r="I121" s="56">
        <f t="shared" si="4"/>
        <v>10.6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">
      <c r="A122" s="63">
        <v>60</v>
      </c>
      <c r="B122" s="63">
        <v>270</v>
      </c>
      <c r="C122" s="63">
        <v>9</v>
      </c>
      <c r="D122" s="63">
        <v>31</v>
      </c>
      <c r="E122" s="93">
        <v>0.5</v>
      </c>
      <c r="F122" s="93">
        <v>0.1</v>
      </c>
      <c r="G122" s="93">
        <v>0.15</v>
      </c>
      <c r="H122" s="93">
        <v>0.25</v>
      </c>
      <c r="I122" s="56">
        <f t="shared" si="4"/>
        <v>10.6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">
      <c r="A123" s="63">
        <v>65</v>
      </c>
      <c r="B123" s="63">
        <v>290</v>
      </c>
      <c r="C123" s="63">
        <v>10</v>
      </c>
      <c r="D123" s="63">
        <v>31</v>
      </c>
      <c r="E123" s="93">
        <v>0.5</v>
      </c>
      <c r="F123" s="93">
        <v>0.1</v>
      </c>
      <c r="G123" s="93">
        <v>0.15</v>
      </c>
      <c r="H123" s="93">
        <v>0.25</v>
      </c>
      <c r="I123" s="56">
        <f t="shared" si="4"/>
        <v>10.199999999999999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">
      <c r="A124" s="63">
        <v>70</v>
      </c>
      <c r="B124" s="63">
        <v>310</v>
      </c>
      <c r="C124" s="63">
        <v>11</v>
      </c>
      <c r="D124" s="63">
        <v>31</v>
      </c>
      <c r="E124" s="93">
        <v>0.8</v>
      </c>
      <c r="F124" s="93">
        <v>0.04</v>
      </c>
      <c r="G124" s="93">
        <v>0.06</v>
      </c>
      <c r="H124" s="93">
        <v>0.1</v>
      </c>
      <c r="I124" s="56">
        <f t="shared" si="4"/>
        <v>10.199999999999999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">
      <c r="A125" s="63">
        <v>75</v>
      </c>
      <c r="B125" s="63">
        <v>331</v>
      </c>
      <c r="C125" s="63">
        <v>12</v>
      </c>
      <c r="D125" s="63">
        <v>31</v>
      </c>
      <c r="E125" s="93">
        <v>0.8</v>
      </c>
      <c r="F125" s="93">
        <v>0.04</v>
      </c>
      <c r="G125" s="93">
        <v>0.06</v>
      </c>
      <c r="H125" s="93">
        <v>0.1</v>
      </c>
      <c r="I125" s="56">
        <f t="shared" si="4"/>
        <v>10.4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">
      <c r="A126" s="63">
        <v>80</v>
      </c>
      <c r="B126" s="63">
        <v>351</v>
      </c>
      <c r="C126" s="63">
        <v>13</v>
      </c>
      <c r="D126" s="63">
        <v>31</v>
      </c>
      <c r="E126" s="68">
        <v>0.8</v>
      </c>
      <c r="F126" s="68">
        <v>0.04</v>
      </c>
      <c r="G126" s="68">
        <v>0.06</v>
      </c>
      <c r="H126" s="68">
        <v>0.1</v>
      </c>
      <c r="I126" s="56">
        <f t="shared" si="4"/>
        <v>10.199999999999999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">
      <c r="A136" s="49" t="s">
        <v>169</v>
      </c>
      <c r="B136" s="55" t="str">
        <f>IF(B13="","",B13)</f>
        <v>Mélèze hybride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2" x14ac:dyDescent="0.3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">
      <c r="A140" s="53">
        <v>12</v>
      </c>
      <c r="B140" s="63">
        <v>116</v>
      </c>
      <c r="C140" s="53">
        <v>1</v>
      </c>
      <c r="D140" s="63">
        <v>21</v>
      </c>
      <c r="E140" s="54"/>
      <c r="F140" s="54">
        <v>0.6</v>
      </c>
      <c r="G140" s="54">
        <v>0.4</v>
      </c>
      <c r="H140" s="54"/>
      <c r="I140" s="60">
        <f>IFERROR(B140/A140,"")</f>
        <v>9.6666666666666661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">
      <c r="A141" s="53">
        <v>15</v>
      </c>
      <c r="B141" s="63">
        <v>168</v>
      </c>
      <c r="C141" s="53">
        <v>2</v>
      </c>
      <c r="D141" s="63">
        <v>47</v>
      </c>
      <c r="E141" s="54">
        <v>0.3</v>
      </c>
      <c r="F141" s="54">
        <v>0.42</v>
      </c>
      <c r="G141" s="54">
        <v>0.28000000000000003</v>
      </c>
      <c r="H141" s="54"/>
      <c r="I141" s="60">
        <f t="shared" ref="I141:I159" si="5">IF(A141&lt;&gt;0,(B141-(B140-D140))/(A141-A140),"")</f>
        <v>24.333333333333332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">
      <c r="A142" s="53">
        <v>18</v>
      </c>
      <c r="B142" s="63">
        <v>185</v>
      </c>
      <c r="C142" s="53">
        <v>3</v>
      </c>
      <c r="D142" s="63">
        <v>61</v>
      </c>
      <c r="E142" s="54">
        <v>0.5</v>
      </c>
      <c r="F142" s="54">
        <v>0.3</v>
      </c>
      <c r="G142" s="54">
        <v>0.2</v>
      </c>
      <c r="H142" s="54"/>
      <c r="I142" s="60">
        <f t="shared" si="5"/>
        <v>21.333333333333332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">
      <c r="A143" s="53">
        <v>24</v>
      </c>
      <c r="B143" s="63">
        <v>239</v>
      </c>
      <c r="C143" s="53">
        <v>4</v>
      </c>
      <c r="D143" s="63">
        <v>84</v>
      </c>
      <c r="E143" s="54">
        <v>0.5</v>
      </c>
      <c r="F143" s="54">
        <v>0.3</v>
      </c>
      <c r="G143" s="54">
        <v>0.2</v>
      </c>
      <c r="H143" s="54"/>
      <c r="I143" s="60">
        <f t="shared" si="5"/>
        <v>19.166666666666668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">
      <c r="A144" s="53">
        <v>30</v>
      </c>
      <c r="B144" s="63">
        <v>255</v>
      </c>
      <c r="C144" s="53">
        <v>5</v>
      </c>
      <c r="D144" s="63">
        <v>76</v>
      </c>
      <c r="E144" s="54">
        <v>0.5</v>
      </c>
      <c r="F144" s="54">
        <v>0.3</v>
      </c>
      <c r="G144" s="54">
        <v>0.2</v>
      </c>
      <c r="H144" s="54"/>
      <c r="I144" s="60">
        <f t="shared" si="5"/>
        <v>16.666666666666668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">
      <c r="A145" s="53">
        <v>36</v>
      </c>
      <c r="B145" s="63">
        <v>269</v>
      </c>
      <c r="C145" s="53">
        <v>6</v>
      </c>
      <c r="D145" s="63">
        <v>75</v>
      </c>
      <c r="E145" s="54">
        <v>0.5</v>
      </c>
      <c r="F145" s="54">
        <v>0.3</v>
      </c>
      <c r="G145" s="54">
        <v>0.2</v>
      </c>
      <c r="H145" s="54"/>
      <c r="I145" s="60">
        <f t="shared" si="5"/>
        <v>15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">
      <c r="A162" s="49" t="s">
        <v>170</v>
      </c>
      <c r="B162" s="55" t="str">
        <f>IF(B14="","",B14)</f>
        <v>Alisier torminal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2" x14ac:dyDescent="0.3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">
      <c r="A166" s="53">
        <v>20</v>
      </c>
      <c r="B166" s="63">
        <v>117</v>
      </c>
      <c r="C166" s="63">
        <v>1</v>
      </c>
      <c r="D166" s="63">
        <v>27</v>
      </c>
      <c r="E166" s="54"/>
      <c r="F166" s="54"/>
      <c r="G166" s="54"/>
      <c r="H166" s="54">
        <v>1</v>
      </c>
      <c r="I166" s="52">
        <f>IFERROR(B166/A166,"")</f>
        <v>5.85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">
      <c r="A167" s="53">
        <v>25</v>
      </c>
      <c r="B167" s="63">
        <v>140</v>
      </c>
      <c r="C167" s="63">
        <v>2</v>
      </c>
      <c r="D167" s="63">
        <v>16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10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">
      <c r="A168" s="53">
        <v>30</v>
      </c>
      <c r="B168" s="63">
        <v>178</v>
      </c>
      <c r="C168" s="63">
        <v>3</v>
      </c>
      <c r="D168" s="63">
        <v>23</v>
      </c>
      <c r="E168" s="54">
        <v>0.5</v>
      </c>
      <c r="F168" s="54">
        <v>0.1</v>
      </c>
      <c r="G168" s="54">
        <v>0.15</v>
      </c>
      <c r="H168" s="54">
        <v>0.25</v>
      </c>
      <c r="I168" s="52">
        <f t="shared" si="6"/>
        <v>10.8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">
      <c r="A169" s="53">
        <v>35</v>
      </c>
      <c r="B169" s="63">
        <v>213</v>
      </c>
      <c r="C169" s="63">
        <v>4</v>
      </c>
      <c r="D169" s="63">
        <v>29</v>
      </c>
      <c r="E169" s="54">
        <v>0.5</v>
      </c>
      <c r="F169" s="54">
        <v>0.1</v>
      </c>
      <c r="G169" s="54">
        <v>0.15</v>
      </c>
      <c r="H169" s="54">
        <v>0.25</v>
      </c>
      <c r="I169" s="52">
        <f t="shared" si="6"/>
        <v>11.6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">
      <c r="A170" s="53">
        <v>40</v>
      </c>
      <c r="B170" s="63">
        <v>241</v>
      </c>
      <c r="C170" s="63">
        <v>5</v>
      </c>
      <c r="D170" s="63">
        <v>32</v>
      </c>
      <c r="E170" s="54">
        <v>0.5</v>
      </c>
      <c r="F170" s="54">
        <v>0.1</v>
      </c>
      <c r="G170" s="54">
        <v>0.15</v>
      </c>
      <c r="H170" s="54">
        <v>0.25</v>
      </c>
      <c r="I170" s="52">
        <f t="shared" si="6"/>
        <v>11.4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">
      <c r="A171" s="53">
        <v>45</v>
      </c>
      <c r="B171" s="63">
        <v>263</v>
      </c>
      <c r="C171" s="63">
        <v>6</v>
      </c>
      <c r="D171" s="63">
        <v>36</v>
      </c>
      <c r="E171" s="54">
        <v>0.5</v>
      </c>
      <c r="F171" s="54">
        <v>0.1</v>
      </c>
      <c r="G171" s="54">
        <v>0.15</v>
      </c>
      <c r="H171" s="54">
        <v>0.25</v>
      </c>
      <c r="I171" s="52">
        <f t="shared" si="6"/>
        <v>10.8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">
      <c r="A172" s="53">
        <v>50</v>
      </c>
      <c r="B172" s="63">
        <v>283</v>
      </c>
      <c r="C172" s="63">
        <v>7</v>
      </c>
      <c r="D172" s="63">
        <v>35</v>
      </c>
      <c r="E172" s="54">
        <v>0.5</v>
      </c>
      <c r="F172" s="54">
        <v>0.1</v>
      </c>
      <c r="G172" s="54">
        <v>0.15</v>
      </c>
      <c r="H172" s="54">
        <v>0.25</v>
      </c>
      <c r="I172" s="52">
        <f t="shared" si="6"/>
        <v>11.2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">
      <c r="A173" s="53">
        <v>55</v>
      </c>
      <c r="B173" s="53">
        <v>297</v>
      </c>
      <c r="C173" s="53">
        <v>8</v>
      </c>
      <c r="D173" s="53">
        <v>35</v>
      </c>
      <c r="E173" s="54">
        <v>0.5</v>
      </c>
      <c r="F173" s="54">
        <v>0.1</v>
      </c>
      <c r="G173" s="54">
        <v>0.15</v>
      </c>
      <c r="H173" s="54">
        <v>0.25</v>
      </c>
      <c r="I173" s="52">
        <f t="shared" si="6"/>
        <v>9.8000000000000007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">
      <c r="A174" s="53">
        <v>60</v>
      </c>
      <c r="B174" s="53">
        <v>310</v>
      </c>
      <c r="C174" s="53">
        <v>9</v>
      </c>
      <c r="D174" s="53">
        <v>37</v>
      </c>
      <c r="E174" s="54">
        <v>0.5</v>
      </c>
      <c r="F174" s="54">
        <v>0.1</v>
      </c>
      <c r="G174" s="54">
        <v>0.15</v>
      </c>
      <c r="H174" s="54">
        <v>0.25</v>
      </c>
      <c r="I174" s="52">
        <f t="shared" si="6"/>
        <v>9.6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">
      <c r="A188" s="49" t="s">
        <v>171</v>
      </c>
      <c r="B188" s="55" t="str">
        <f>IF(B15="","",B15)</f>
        <v>Cormier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2" x14ac:dyDescent="0.3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">
      <c r="A192" s="53">
        <v>20</v>
      </c>
      <c r="B192" s="63">
        <v>117</v>
      </c>
      <c r="C192" s="63">
        <v>1</v>
      </c>
      <c r="D192" s="63">
        <v>27</v>
      </c>
      <c r="E192" s="54"/>
      <c r="F192" s="54"/>
      <c r="G192" s="54"/>
      <c r="H192" s="54">
        <v>1</v>
      </c>
      <c r="I192" s="52">
        <f>IFERROR(B192/A192,"")</f>
        <v>5.85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">
      <c r="A193" s="53">
        <v>25</v>
      </c>
      <c r="B193" s="63">
        <v>140</v>
      </c>
      <c r="C193" s="63">
        <v>2</v>
      </c>
      <c r="D193" s="63">
        <v>16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10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">
      <c r="A194" s="53">
        <v>30</v>
      </c>
      <c r="B194" s="63">
        <v>178</v>
      </c>
      <c r="C194" s="63">
        <v>3</v>
      </c>
      <c r="D194" s="63">
        <v>23</v>
      </c>
      <c r="E194" s="54">
        <v>0.5</v>
      </c>
      <c r="F194" s="54">
        <v>0.1</v>
      </c>
      <c r="G194" s="54">
        <v>0.15</v>
      </c>
      <c r="H194" s="54">
        <v>0.25</v>
      </c>
      <c r="I194" s="52">
        <f t="shared" si="7"/>
        <v>10.8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">
      <c r="A195" s="53">
        <v>35</v>
      </c>
      <c r="B195" s="63">
        <v>213</v>
      </c>
      <c r="C195" s="63">
        <v>4</v>
      </c>
      <c r="D195" s="63">
        <v>29</v>
      </c>
      <c r="E195" s="54">
        <v>0.5</v>
      </c>
      <c r="F195" s="54">
        <v>0.1</v>
      </c>
      <c r="G195" s="54">
        <v>0.15</v>
      </c>
      <c r="H195" s="54">
        <v>0.25</v>
      </c>
      <c r="I195" s="52">
        <f t="shared" si="7"/>
        <v>11.6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">
      <c r="A196" s="53">
        <v>40</v>
      </c>
      <c r="B196" s="63">
        <v>241</v>
      </c>
      <c r="C196" s="63">
        <v>5</v>
      </c>
      <c r="D196" s="63">
        <v>32</v>
      </c>
      <c r="E196" s="54">
        <v>0.5</v>
      </c>
      <c r="F196" s="54">
        <v>0.1</v>
      </c>
      <c r="G196" s="54">
        <v>0.15</v>
      </c>
      <c r="H196" s="54">
        <v>0.25</v>
      </c>
      <c r="I196" s="52">
        <f t="shared" si="7"/>
        <v>11.4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">
      <c r="A197" s="53">
        <v>45</v>
      </c>
      <c r="B197" s="63">
        <v>263</v>
      </c>
      <c r="C197" s="63">
        <v>6</v>
      </c>
      <c r="D197" s="63">
        <v>36</v>
      </c>
      <c r="E197" s="54">
        <v>0.5</v>
      </c>
      <c r="F197" s="54">
        <v>0.1</v>
      </c>
      <c r="G197" s="54">
        <v>0.15</v>
      </c>
      <c r="H197" s="54">
        <v>0.25</v>
      </c>
      <c r="I197" s="52">
        <f t="shared" si="7"/>
        <v>10.8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">
      <c r="A198" s="53">
        <v>50</v>
      </c>
      <c r="B198" s="63">
        <v>283</v>
      </c>
      <c r="C198" s="63">
        <v>7</v>
      </c>
      <c r="D198" s="63">
        <v>35</v>
      </c>
      <c r="E198" s="54">
        <v>0.5</v>
      </c>
      <c r="F198" s="54">
        <v>0.1</v>
      </c>
      <c r="G198" s="54">
        <v>0.15</v>
      </c>
      <c r="H198" s="54">
        <v>0.25</v>
      </c>
      <c r="I198" s="52">
        <f t="shared" si="7"/>
        <v>11.2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">
      <c r="A199" s="53">
        <v>55</v>
      </c>
      <c r="B199" s="53">
        <v>297</v>
      </c>
      <c r="C199" s="53">
        <v>8</v>
      </c>
      <c r="D199" s="53">
        <v>35</v>
      </c>
      <c r="E199" s="54">
        <v>0.5</v>
      </c>
      <c r="F199" s="54">
        <v>0.1</v>
      </c>
      <c r="G199" s="54">
        <v>0.15</v>
      </c>
      <c r="H199" s="54">
        <v>0.25</v>
      </c>
      <c r="I199" s="52">
        <f t="shared" si="7"/>
        <v>9.8000000000000007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">
      <c r="A200" s="53">
        <v>60</v>
      </c>
      <c r="B200" s="53">
        <v>310</v>
      </c>
      <c r="C200" s="53">
        <v>9</v>
      </c>
      <c r="D200" s="53">
        <v>37</v>
      </c>
      <c r="E200" s="54">
        <v>0.5</v>
      </c>
      <c r="F200" s="54">
        <v>0.1</v>
      </c>
      <c r="G200" s="54">
        <v>0.15</v>
      </c>
      <c r="H200" s="54">
        <v>0.25</v>
      </c>
      <c r="I200" s="52">
        <f t="shared" si="7"/>
        <v>9.6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2" x14ac:dyDescent="0.3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2" x14ac:dyDescent="0.3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2" x14ac:dyDescent="0.3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B1" zoomScale="70" zoomScaleNormal="7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4" thickBot="1" x14ac:dyDescent="0.55000000000000004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">
      <c r="A15" s="25"/>
      <c r="B15" s="29" t="s">
        <v>295</v>
      </c>
      <c r="C15" s="5"/>
      <c r="D15" s="25"/>
      <c r="E15" s="5"/>
      <c r="F15" s="5"/>
      <c r="G15" s="2" t="s">
        <v>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">
      <c r="C104" s="5"/>
      <c r="F104" s="5"/>
    </row>
    <row r="105" spans="3:35" x14ac:dyDescent="0.3">
      <c r="C105" s="5"/>
      <c r="F105" s="5"/>
    </row>
    <row r="106" spans="3:35" x14ac:dyDescent="0.3">
      <c r="C106" s="5"/>
      <c r="F106" s="5"/>
    </row>
    <row r="107" spans="3:35" x14ac:dyDescent="0.3">
      <c r="C107" s="5"/>
      <c r="F107" s="5"/>
    </row>
    <row r="108" spans="3:35" x14ac:dyDescent="0.3">
      <c r="C108" s="5"/>
      <c r="F108" s="5"/>
    </row>
    <row r="109" spans="3:35" x14ac:dyDescent="0.3">
      <c r="C109" s="5"/>
      <c r="F109" s="5"/>
    </row>
    <row r="110" spans="3:35" x14ac:dyDescent="0.3">
      <c r="C110" s="5"/>
      <c r="F110" s="5"/>
    </row>
    <row r="111" spans="3:35" x14ac:dyDescent="0.3">
      <c r="C111" s="5"/>
      <c r="F111" s="5"/>
    </row>
    <row r="112" spans="3:35" x14ac:dyDescent="0.3">
      <c r="C112" s="5"/>
      <c r="F112" s="5"/>
    </row>
    <row r="113" spans="3:6" x14ac:dyDescent="0.3">
      <c r="C113" s="5"/>
      <c r="F113" s="5"/>
    </row>
    <row r="114" spans="3:6" x14ac:dyDescent="0.3">
      <c r="C114" s="5"/>
      <c r="F114" s="5"/>
    </row>
    <row r="115" spans="3:6" x14ac:dyDescent="0.3">
      <c r="C115" s="5"/>
      <c r="F115" s="5"/>
    </row>
    <row r="116" spans="3:6" x14ac:dyDescent="0.3">
      <c r="C116" s="5"/>
      <c r="F116" s="5"/>
    </row>
    <row r="117" spans="3:6" x14ac:dyDescent="0.3">
      <c r="C117" s="5"/>
      <c r="F117" s="5"/>
    </row>
    <row r="118" spans="3:6" x14ac:dyDescent="0.3">
      <c r="C118" s="5"/>
      <c r="F118" s="5"/>
    </row>
    <row r="119" spans="3:6" x14ac:dyDescent="0.3">
      <c r="C119" s="5"/>
      <c r="F119" s="5"/>
    </row>
    <row r="120" spans="3:6" x14ac:dyDescent="0.3">
      <c r="C120" s="5"/>
      <c r="F120" s="5"/>
    </row>
    <row r="121" spans="3:6" x14ac:dyDescent="0.3">
      <c r="C121" s="5"/>
      <c r="F121" s="5"/>
    </row>
    <row r="122" spans="3:6" x14ac:dyDescent="0.3">
      <c r="C122" s="5"/>
      <c r="F122" s="5"/>
    </row>
    <row r="123" spans="3:6" x14ac:dyDescent="0.3">
      <c r="C123" s="5"/>
      <c r="F123" s="5"/>
    </row>
    <row r="124" spans="3:6" x14ac:dyDescent="0.3">
      <c r="C124" s="5"/>
      <c r="F124" s="5"/>
    </row>
    <row r="125" spans="3:6" x14ac:dyDescent="0.3">
      <c r="C125" s="5"/>
      <c r="F125" s="5"/>
    </row>
    <row r="126" spans="3:6" x14ac:dyDescent="0.3">
      <c r="C126" s="5"/>
      <c r="F126" s="5"/>
    </row>
    <row r="127" spans="3:6" x14ac:dyDescent="0.3">
      <c r="C127" s="5"/>
      <c r="F127" s="5"/>
    </row>
    <row r="128" spans="3:6" x14ac:dyDescent="0.3">
      <c r="C128" s="5"/>
      <c r="F128" s="5"/>
    </row>
    <row r="129" spans="3:6" x14ac:dyDescent="0.3">
      <c r="C129" s="5"/>
      <c r="F129" s="5"/>
    </row>
    <row r="130" spans="3:6" x14ac:dyDescent="0.3">
      <c r="C130" s="5"/>
      <c r="F130" s="5"/>
    </row>
    <row r="131" spans="3:6" x14ac:dyDescent="0.3">
      <c r="C131" s="5"/>
      <c r="F131" s="5"/>
    </row>
    <row r="132" spans="3:6" x14ac:dyDescent="0.3">
      <c r="F132" s="5"/>
    </row>
    <row r="133" spans="3:6" x14ac:dyDescent="0.3">
      <c r="F133" s="5"/>
    </row>
    <row r="134" spans="3:6" x14ac:dyDescent="0.3">
      <c r="F134" s="5"/>
    </row>
    <row r="135" spans="3:6" x14ac:dyDescent="0.3">
      <c r="F135" s="5"/>
    </row>
    <row r="136" spans="3:6" x14ac:dyDescent="0.3">
      <c r="F136" s="5"/>
    </row>
    <row r="137" spans="3:6" x14ac:dyDescent="0.3">
      <c r="F137" s="5"/>
    </row>
    <row r="138" spans="3:6" x14ac:dyDescent="0.3">
      <c r="F138" s="5"/>
    </row>
    <row r="139" spans="3:6" x14ac:dyDescent="0.3">
      <c r="F139" s="5"/>
    </row>
    <row r="140" spans="3:6" x14ac:dyDescent="0.3">
      <c r="F140" s="5"/>
    </row>
    <row r="141" spans="3:6" x14ac:dyDescent="0.3">
      <c r="F141" s="5"/>
    </row>
    <row r="142" spans="3:6" x14ac:dyDescent="0.3">
      <c r="F142" s="5"/>
    </row>
    <row r="143" spans="3:6" x14ac:dyDescent="0.3">
      <c r="F143" s="5"/>
    </row>
    <row r="144" spans="3:6" x14ac:dyDescent="0.3">
      <c r="F144" s="5"/>
    </row>
    <row r="145" spans="6:6" x14ac:dyDescent="0.3">
      <c r="F145" s="5"/>
    </row>
    <row r="146" spans="6:6" x14ac:dyDescent="0.3">
      <c r="F146" s="5"/>
    </row>
    <row r="147" spans="6:6" x14ac:dyDescent="0.3">
      <c r="F147" s="5"/>
    </row>
    <row r="148" spans="6:6" x14ac:dyDescent="0.3">
      <c r="F148" s="5"/>
    </row>
    <row r="149" spans="6:6" x14ac:dyDescent="0.3">
      <c r="F149" s="5"/>
    </row>
    <row r="150" spans="6:6" x14ac:dyDescent="0.3">
      <c r="F150" s="5"/>
    </row>
    <row r="151" spans="6:6" x14ac:dyDescent="0.3">
      <c r="F151" s="5"/>
    </row>
    <row r="152" spans="6:6" x14ac:dyDescent="0.3">
      <c r="F152" s="5"/>
    </row>
    <row r="153" spans="6:6" x14ac:dyDescent="0.3">
      <c r="F153" s="5"/>
    </row>
    <row r="154" spans="6:6" x14ac:dyDescent="0.3">
      <c r="F154" s="5"/>
    </row>
    <row r="155" spans="6:6" x14ac:dyDescent="0.3">
      <c r="F155" s="5"/>
    </row>
    <row r="156" spans="6:6" x14ac:dyDescent="0.3">
      <c r="F156" s="5"/>
    </row>
    <row r="157" spans="6:6" x14ac:dyDescent="0.3">
      <c r="F157" s="5"/>
    </row>
    <row r="158" spans="6:6" x14ac:dyDescent="0.3">
      <c r="F158" s="5"/>
    </row>
    <row r="159" spans="6:6" x14ac:dyDescent="0.3">
      <c r="F159" s="5"/>
    </row>
    <row r="160" spans="6:6" x14ac:dyDescent="0.3">
      <c r="F160" s="5"/>
    </row>
    <row r="161" spans="6:6" x14ac:dyDescent="0.3">
      <c r="F161" s="5"/>
    </row>
    <row r="162" spans="6:6" x14ac:dyDescent="0.3">
      <c r="F162" s="5"/>
    </row>
    <row r="163" spans="6:6" x14ac:dyDescent="0.3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71" bestFit="1" customWidth="1"/>
    <col min="2" max="4" width="11.44140625" style="71"/>
    <col min="5" max="5" width="9.5546875" style="71" customWidth="1"/>
    <col min="6" max="7" width="11.44140625" style="71"/>
    <col min="8" max="8" width="10.6640625" style="71" customWidth="1"/>
    <col min="9" max="9" width="9.44140625" style="71" customWidth="1"/>
    <col min="10" max="11" width="10.5546875" style="71" bestFit="1" customWidth="1"/>
    <col min="12" max="12" width="14" style="71" bestFit="1" customWidth="1"/>
    <col min="13" max="13" width="14" style="71" customWidth="1"/>
    <col min="14" max="23" width="11.44140625" style="71"/>
    <col min="24" max="24" width="11.6640625" style="71" bestFit="1" customWidth="1"/>
    <col min="25" max="25" width="14.5546875" style="71" bestFit="1" customWidth="1"/>
    <col min="26" max="26" width="12.44140625" style="71" bestFit="1" customWidth="1"/>
    <col min="27" max="27" width="9.6640625" style="71" bestFit="1" customWidth="1"/>
    <col min="28" max="28" width="11" style="71" bestFit="1" customWidth="1"/>
    <col min="29" max="29" width="9.44140625" style="71" bestFit="1" customWidth="1"/>
    <col min="30" max="31" width="9.44140625" style="71" customWidth="1"/>
    <col min="32" max="32" width="11.44140625" style="71"/>
    <col min="33" max="34" width="14" style="71" bestFit="1" customWidth="1"/>
    <col min="35" max="35" width="10.5546875" style="71" bestFit="1" customWidth="1"/>
    <col min="36" max="36" width="9.44140625" style="71" bestFit="1" customWidth="1"/>
    <col min="37" max="38" width="10.5546875" style="71" bestFit="1" customWidth="1"/>
    <col min="39" max="41" width="10.5546875" style="71" customWidth="1"/>
    <col min="42" max="42" width="9" style="71" bestFit="1" customWidth="1"/>
    <col min="43" max="43" width="10.5546875" style="71" bestFit="1" customWidth="1"/>
    <col min="44" max="44" width="9.33203125" style="71" bestFit="1" customWidth="1"/>
    <col min="45" max="45" width="11.6640625" style="71" bestFit="1" customWidth="1"/>
    <col min="46" max="46" width="8.44140625" style="71" bestFit="1" customWidth="1"/>
    <col min="47" max="47" width="9.44140625" style="71" bestFit="1" customWidth="1"/>
    <col min="48" max="48" width="9.6640625" style="71" bestFit="1" customWidth="1"/>
    <col min="49" max="49" width="11" style="71" bestFit="1" customWidth="1"/>
    <col min="50" max="50" width="9.44140625" style="71" bestFit="1" customWidth="1"/>
    <col min="51" max="52" width="9.44140625" style="71" customWidth="1"/>
    <col min="53" max="53" width="10.5546875" style="71" bestFit="1" customWidth="1"/>
    <col min="54" max="54" width="14.33203125" style="71" customWidth="1"/>
    <col min="55" max="55" width="14" style="71" customWidth="1"/>
    <col min="56" max="56" width="10.5546875" style="71" bestFit="1" customWidth="1"/>
    <col min="57" max="57" width="9.44140625" style="71" bestFit="1" customWidth="1"/>
    <col min="58" max="59" width="10.5546875" style="71" bestFit="1" customWidth="1"/>
    <col min="60" max="62" width="10.5546875" style="71" customWidth="1"/>
    <col min="63" max="63" width="9" style="71" bestFit="1" customWidth="1"/>
    <col min="64" max="64" width="10.5546875" style="71" bestFit="1" customWidth="1"/>
    <col min="65" max="65" width="9.33203125" style="71" bestFit="1" customWidth="1"/>
    <col min="66" max="66" width="11.6640625" style="71" bestFit="1" customWidth="1"/>
    <col min="67" max="67" width="8.44140625" style="71" bestFit="1" customWidth="1"/>
    <col min="68" max="68" width="9.44140625" style="71" bestFit="1" customWidth="1"/>
    <col min="69" max="69" width="9.6640625" style="71" bestFit="1" customWidth="1"/>
    <col min="70" max="70" width="11" style="71" bestFit="1" customWidth="1"/>
    <col min="71" max="71" width="9.44140625" style="71" bestFit="1" customWidth="1"/>
    <col min="72" max="73" width="9.44140625" style="71" customWidth="1"/>
    <col min="74" max="74" width="10.5546875" style="71" bestFit="1" customWidth="1"/>
    <col min="75" max="75" width="14" style="71" bestFit="1" customWidth="1"/>
    <col min="76" max="76" width="13.88671875" style="71" customWidth="1"/>
    <col min="77" max="77" width="10.5546875" style="71" bestFit="1" customWidth="1"/>
    <col min="78" max="78" width="9.44140625" style="71" bestFit="1" customWidth="1"/>
    <col min="79" max="80" width="10.5546875" style="71" bestFit="1" customWidth="1"/>
    <col min="81" max="83" width="10.5546875" style="71" customWidth="1"/>
    <col min="84" max="84" width="11.44140625" style="71"/>
    <col min="85" max="85" width="10.5546875" style="71" bestFit="1" customWidth="1"/>
    <col min="86" max="86" width="9.33203125" style="71" bestFit="1" customWidth="1"/>
    <col min="87" max="87" width="11.6640625" style="71" bestFit="1" customWidth="1"/>
    <col min="88" max="88" width="8.44140625" style="71" bestFit="1" customWidth="1"/>
    <col min="89" max="89" width="9.44140625" style="71" bestFit="1" customWidth="1"/>
    <col min="90" max="90" width="9.6640625" style="71" bestFit="1" customWidth="1"/>
    <col min="91" max="91" width="11" style="71" bestFit="1" customWidth="1"/>
    <col min="92" max="92" width="9.44140625" style="71" bestFit="1" customWidth="1"/>
    <col min="93" max="94" width="9.44140625" style="71" customWidth="1"/>
    <col min="95" max="95" width="11.44140625" style="71"/>
    <col min="96" max="97" width="14" style="71" customWidth="1"/>
    <col min="98" max="98" width="10.5546875" style="71" bestFit="1" customWidth="1"/>
    <col min="99" max="99" width="9.44140625" style="71" bestFit="1" customWidth="1"/>
    <col min="100" max="101" width="10.5546875" style="71" bestFit="1" customWidth="1"/>
    <col min="102" max="104" width="10.5546875" style="71" customWidth="1"/>
    <col min="105" max="105" width="9" style="71" bestFit="1" customWidth="1"/>
    <col min="106" max="106" width="10.5546875" style="71" bestFit="1" customWidth="1"/>
    <col min="107" max="107" width="9.33203125" style="71" bestFit="1" customWidth="1"/>
    <col min="108" max="108" width="11.6640625" style="71" bestFit="1" customWidth="1"/>
    <col min="109" max="109" width="8.44140625" style="71" bestFit="1" customWidth="1"/>
    <col min="110" max="110" width="9.44140625" style="71" bestFit="1" customWidth="1"/>
    <col min="111" max="111" width="9.6640625" style="71" bestFit="1" customWidth="1"/>
    <col min="112" max="112" width="11" style="71" bestFit="1" customWidth="1"/>
    <col min="113" max="113" width="9.44140625" style="71" bestFit="1" customWidth="1"/>
    <col min="114" max="115" width="9.44140625" style="71" customWidth="1"/>
    <col min="116" max="116" width="10.5546875" style="71" bestFit="1" customWidth="1"/>
    <col min="117" max="117" width="14.33203125" style="71" customWidth="1"/>
    <col min="118" max="118" width="14" style="71" bestFit="1" customWidth="1"/>
    <col min="119" max="119" width="10.5546875" style="71" bestFit="1" customWidth="1"/>
    <col min="120" max="120" width="9.44140625" style="71" bestFit="1" customWidth="1"/>
    <col min="121" max="122" width="10.5546875" style="71" bestFit="1" customWidth="1"/>
    <col min="123" max="125" width="10.5546875" style="71" customWidth="1"/>
    <col min="126" max="126" width="9" style="71" bestFit="1" customWidth="1"/>
    <col min="127" max="127" width="10.5546875" style="71" bestFit="1" customWidth="1"/>
    <col min="128" max="128" width="9.33203125" style="71" bestFit="1" customWidth="1"/>
    <col min="129" max="129" width="11.6640625" style="71" bestFit="1" customWidth="1"/>
    <col min="130" max="130" width="8.44140625" style="71" bestFit="1" customWidth="1"/>
    <col min="131" max="131" width="9.44140625" style="71" bestFit="1" customWidth="1"/>
    <col min="132" max="132" width="9.6640625" style="71" bestFit="1" customWidth="1"/>
    <col min="133" max="133" width="11" style="71" bestFit="1" customWidth="1"/>
    <col min="134" max="134" width="9.44140625" style="71" bestFit="1" customWidth="1"/>
    <col min="135" max="136" width="9.44140625" style="71" customWidth="1"/>
    <col min="137" max="137" width="10.5546875" style="71" bestFit="1" customWidth="1"/>
    <col min="138" max="139" width="14" style="71" customWidth="1"/>
    <col min="140" max="140" width="10.5546875" style="71" bestFit="1" customWidth="1"/>
    <col min="141" max="141" width="9.44140625" style="71" bestFit="1" customWidth="1"/>
    <col min="142" max="143" width="10.5546875" style="71" bestFit="1" customWidth="1"/>
    <col min="144" max="146" width="10.5546875" style="71" customWidth="1"/>
    <col min="147" max="147" width="9" style="71" bestFit="1" customWidth="1"/>
    <col min="148" max="148" width="10.5546875" style="71" bestFit="1" customWidth="1"/>
    <col min="149" max="149" width="9.33203125" style="71" bestFit="1" customWidth="1"/>
    <col min="150" max="150" width="11.6640625" style="71" bestFit="1" customWidth="1"/>
    <col min="151" max="151" width="8.44140625" style="71" bestFit="1" customWidth="1"/>
    <col min="152" max="152" width="9.44140625" style="71" bestFit="1" customWidth="1"/>
    <col min="153" max="153" width="9.6640625" style="71" bestFit="1" customWidth="1"/>
    <col min="154" max="154" width="11" style="71" bestFit="1" customWidth="1"/>
    <col min="155" max="155" width="9.44140625" style="71" bestFit="1" customWidth="1"/>
    <col min="156" max="157" width="9.44140625" style="71" customWidth="1"/>
    <col min="158" max="158" width="11.44140625" style="71"/>
    <col min="159" max="160" width="14" style="71" bestFit="1" customWidth="1"/>
    <col min="161" max="161" width="10.5546875" style="71" bestFit="1" customWidth="1"/>
    <col min="162" max="162" width="9.44140625" style="71" bestFit="1" customWidth="1"/>
    <col min="163" max="164" width="10.5546875" style="71" bestFit="1" customWidth="1"/>
    <col min="165" max="167" width="10.5546875" style="71" customWidth="1"/>
    <col min="168" max="168" width="9" style="71" bestFit="1" customWidth="1"/>
    <col min="169" max="169" width="10.5546875" style="71" bestFit="1" customWidth="1"/>
    <col min="170" max="170" width="9.33203125" style="71" bestFit="1" customWidth="1"/>
    <col min="171" max="171" width="11.6640625" style="71" bestFit="1" customWidth="1"/>
    <col min="172" max="172" width="8.109375" style="71" bestFit="1" customWidth="1"/>
    <col min="173" max="173" width="9.44140625" style="71" bestFit="1" customWidth="1"/>
    <col min="174" max="174" width="9.6640625" style="71" bestFit="1" customWidth="1"/>
    <col min="175" max="175" width="11" style="71" bestFit="1" customWidth="1"/>
    <col min="176" max="176" width="9.44140625" style="71" bestFit="1" customWidth="1"/>
    <col min="177" max="178" width="9.44140625" style="71" customWidth="1"/>
    <col min="179" max="179" width="10.5546875" style="71" bestFit="1" customWidth="1"/>
    <col min="180" max="181" width="14" style="71" bestFit="1" customWidth="1"/>
    <col min="182" max="182" width="10.5546875" style="71" bestFit="1" customWidth="1"/>
    <col min="183" max="183" width="9.44140625" style="71" bestFit="1" customWidth="1"/>
    <col min="184" max="185" width="10.5546875" style="71" bestFit="1" customWidth="1"/>
    <col min="186" max="188" width="10.5546875" style="71" customWidth="1"/>
    <col min="189" max="189" width="9" style="71" bestFit="1" customWidth="1"/>
    <col min="190" max="190" width="10.5546875" style="71" bestFit="1" customWidth="1"/>
    <col min="191" max="191" width="9.33203125" style="71" bestFit="1" customWidth="1"/>
    <col min="192" max="192" width="11.44140625" style="71"/>
    <col min="193" max="193" width="8.44140625" style="71" bestFit="1" customWidth="1"/>
    <col min="194" max="194" width="9.44140625" style="71" bestFit="1" customWidth="1"/>
    <col min="195" max="195" width="9.6640625" style="71" bestFit="1" customWidth="1"/>
    <col min="196" max="196" width="11" style="71" bestFit="1" customWidth="1"/>
    <col min="197" max="197" width="9.44140625" style="71" bestFit="1" customWidth="1"/>
    <col min="198" max="199" width="9.44140625" style="71" customWidth="1"/>
    <col min="200" max="200" width="10.5546875" style="71" bestFit="1" customWidth="1"/>
    <col min="201" max="201" width="14" style="71" customWidth="1"/>
    <col min="202" max="202" width="14.33203125" style="71" customWidth="1"/>
    <col min="203" max="203" width="10.5546875" style="71" bestFit="1" customWidth="1"/>
    <col min="204" max="204" width="9.44140625" style="71" bestFit="1" customWidth="1"/>
    <col min="205" max="206" width="10.5546875" style="71" bestFit="1" customWidth="1"/>
    <col min="207" max="209" width="10.5546875" style="71" customWidth="1"/>
    <col min="210" max="210" width="9" style="71" bestFit="1" customWidth="1"/>
    <col min="211" max="211" width="10.5546875" style="71" bestFit="1" customWidth="1"/>
    <col min="212" max="212" width="9.33203125" style="71" bestFit="1" customWidth="1"/>
    <col min="213" max="213" width="11.6640625" style="71" bestFit="1" customWidth="1"/>
    <col min="214" max="214" width="8.44140625" style="71" bestFit="1" customWidth="1"/>
    <col min="215" max="215" width="9.44140625" style="71" bestFit="1" customWidth="1"/>
    <col min="216" max="216" width="9.6640625" style="71" bestFit="1" customWidth="1"/>
    <col min="217" max="217" width="11" style="71" bestFit="1" customWidth="1"/>
    <col min="218" max="218" width="9.44140625" style="71" bestFit="1" customWidth="1"/>
    <col min="219" max="16384" width="11.44140625" style="71"/>
  </cols>
  <sheetData>
    <row r="1" spans="1:218" s="5" customFormat="1" ht="26.4" thickBot="1" x14ac:dyDescent="0.55000000000000004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Chêne sessile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pubescent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Châtaignier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Chêne rouge d'Amérique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>Mélèze hybride</v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>Alisier torminal</v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>Cormier</v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2" thickBot="1" x14ac:dyDescent="0.3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312.57314929661908</v>
      </c>
      <c r="T3" s="62">
        <f>IF('Données projet'!E9&gt;30,$R$33-$H$33,LOOKUP('Données projet'!$E$9,$A$3:$A$203,R3:R203)-LOOKUP('Données projet'!$E$9,$A$3:$A$203,$H$3:$H$203))</f>
        <v>190.92100876773804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360.56293184044779</v>
      </c>
      <c r="AO3" s="62">
        <f>IF('Données projet'!E10&gt;30,$AM$33-$H$33,LOOKUP('Données projet'!$E$10,$A$3:$A$203,AM3:AM203)-LOOKUP('Données projet'!$E$10,$A$3:$A$203,$H$3:$H$203))</f>
        <v>219.32252911220542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293.33333333333331</v>
      </c>
      <c r="BI3" s="62">
        <f ca="1">AVERAGE(OFFSET($BH$3,0,0,'Données projet'!$E$11+1,1))-AVERAGE(OFFSET($H$3,0,0,'Données projet'!$E$11+1,1))</f>
        <v>182.06733089745194</v>
      </c>
      <c r="BJ3" s="62">
        <f>IF('Données projet'!E11&gt;30,$BH$33-$H$33,LOOKUP('Données projet'!$E$11,$A$3:$A$203,BH3:BH203)-LOOKUP('Données projet'!$E$11,$A$3:$A$203,$H$3:$H$203))</f>
        <v>320.36755413886021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293.33333333333331</v>
      </c>
      <c r="CD3" s="62">
        <f ca="1">AVERAGE(OFFSET($CC$3,0,0,'Données projet'!$E$12+1,1))-AVERAGE(OFFSET($H$3,0,0,'Données projet'!$E$12+1,1))</f>
        <v>248.60758320902863</v>
      </c>
      <c r="CE3" s="62">
        <f>IF('Données projet'!E12&gt;30,$CC$33-$H$33,LOOKUP('Données projet'!$E$12,$A$3:$A$203,CC3:CC203)-LOOKUP('Données projet'!$E$12,$A$3:$A$203,$H$3:$H$203))</f>
        <v>222.23585883330111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293.33333333333331</v>
      </c>
      <c r="CY3" s="62">
        <f ca="1">AVERAGE(OFFSET($CX$3,0,0,'Données projet'!$E$13+1,1))-AVERAGE(OFFSET($H$3,0,0,'Données projet'!$E$13+1,1))</f>
        <v>135.44138026609272</v>
      </c>
      <c r="CZ3" s="62">
        <f>IF('Données projet'!E13&gt;30,$CX$33-$H$33,LOOKUP('Données projet'!$E$13,$A$3:$A$203,CX3:CX203)-LOOKUP('Données projet'!$E$13,$A$3:$A$203,$H$3:$H$203))</f>
        <v>254.77247578425659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293.33333333333331</v>
      </c>
      <c r="DT3" s="62">
        <f ca="1">AVERAGE(OFFSET($DS$3,0,0,'Données projet'!$E$14+1,1))-AVERAGE(OFFSET($H$3,0,0,'Données projet'!$E$14+1,1))</f>
        <v>271.09447278906288</v>
      </c>
      <c r="DU3" s="62">
        <f>IF('Données projet'!E14&gt;30,$DS$33-$H$33,LOOKUP('Données projet'!$E$14,$A$3:$A$203,DS3:DS203)-LOOKUP('Données projet'!$E$14,$A$3:$A$203,$H$3:$H$203))</f>
        <v>325.1094067861851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293.33333333333331</v>
      </c>
      <c r="EO3" s="62">
        <f ca="1">AVERAGE(OFFSET($EN$3,0,0,'Données projet'!$E$15+1,1))-AVERAGE(OFFSET($H$3,0,0,'Données projet'!$E$15+1,1))</f>
        <v>306.50593475734655</v>
      </c>
      <c r="EP3" s="62">
        <f>IF('Données projet'!E15&gt;30,$EN$33-$H$33,LOOKUP('Données projet'!$E$15,$A$3:$A$203,EN3:EN203)-LOOKUP('Données projet'!$E$15,$A$3:$A$203,$H$3:$H$203))</f>
        <v>366.48643801375079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0.73319999999999996</v>
      </c>
      <c r="D4" s="12">
        <f>IFERROR(EXP(-1.0587+0.8836*LN(C4)+0.284),0)</f>
        <v>0.35031814074723205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8.3639996829610901</v>
      </c>
      <c r="H4" s="70">
        <f t="shared" ref="H4:H67" si="1">(B4+E4+F4)*44/12+(C4+D4)*0.475*44/12</f>
        <v>295.22046076180141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3.65</v>
      </c>
      <c r="N4" s="14">
        <f>IF('Données projet'!$A$36&gt;35,N3+M4-V3,IF(A4&lt;'Données projet'!$A$36,$K$205^A4,IF(A4='Données projet'!$A$36,'Données projet'!$B$36,N3+M4-V3)))</f>
        <v>1.2392705892426346</v>
      </c>
      <c r="O4" s="14">
        <f>N4*VLOOKUP('Données projet'!$B$9,Paramètres!$A$1:$I$89,3,0)*VLOOKUP('Données projet'!$B$9,Paramètres!$A$1:$I$89,5,0)</f>
        <v>1.1212920291467359</v>
      </c>
      <c r="P4" s="14">
        <f>EXP(-1.0587+0.8836*LN(O4)+0.284)</f>
        <v>0.50989827066551541</v>
      </c>
      <c r="Q4" s="22">
        <f t="shared" ref="Q4:Q34" si="2">(O4+P4)*0.475*44/12</f>
        <v>2.8409897721730037</v>
      </c>
      <c r="R4" s="62">
        <f t="shared" si="0"/>
        <v>296.17432310550635</v>
      </c>
      <c r="S4" s="62">
        <f ca="1">AVERAGE(OFFSET($R$3,0,0,'Données projet'!$E$9+1,1))-AVERAGE(OFFSET($H$3,0,0,'Données projet'!$E$9+1,1))</f>
        <v>312.57314929661908</v>
      </c>
      <c r="T4" s="62">
        <f>$T$3</f>
        <v>190.92100876773804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3.65</v>
      </c>
      <c r="AI4" s="14">
        <f>IF('Données projet'!$A$62&gt;35,AI3+AH4-AQ3,IF(A4&lt;'Données projet'!$A$62,$AF$205^A4,IF(A4='Données projet'!$A$62,'Données projet'!$B$62,AI3+AH4-AQ3)))</f>
        <v>1.2392705892426346</v>
      </c>
      <c r="AJ4" s="14">
        <f>AI4*VLOOKUP('Données projet'!$B$10,Paramètres!$A$1:$I$89,3,0)*VLOOKUP('Données projet'!$B$10,Paramètres!$A$1:$I$89,5,0)</f>
        <v>1.2566203774920315</v>
      </c>
      <c r="AK4" s="14">
        <f>EXP(-1.0587+0.8836*LN(AJ4)+0.284)</f>
        <v>0.56390871417545174</v>
      </c>
      <c r="AL4" s="22">
        <f t="shared" ref="AL4:AL67" si="4">(AJ4+AK4)*0.475*44/12</f>
        <v>3.1707548346542</v>
      </c>
      <c r="AM4" s="62">
        <f t="shared" ref="AM4:AM67" si="5">AL4+(AD4+AE4)*44/12</f>
        <v>296.5040881679875</v>
      </c>
      <c r="AN4" s="62">
        <f ca="1">AVERAGE(OFFSET($AM$3,0,0,'Données projet'!$E$10+1,1))-AVERAGE(OFFSET($H$3,0,0,'Données projet'!$E$10+1,1))</f>
        <v>360.56293184044779</v>
      </c>
      <c r="AO4" s="62">
        <f>$AO$3</f>
        <v>219.32252911220542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11.488888888888889</v>
      </c>
      <c r="BD4" s="13">
        <f>IF('Données projet'!$A$88&gt;35,BD3+BC4-BL3,IF(A4&lt;'Données projet'!$A$88,$BA$205^A4,IF(A4='Données projet'!$A$88,'Données projet'!$B$88,BD3+BC4-BL3)))</f>
        <v>1.3447504440329676</v>
      </c>
      <c r="BE4" s="14">
        <f>BD4*VLOOKUP('Données projet'!$B$11,Paramètres!$A$1:$I$89,3,0)*VLOOKUP('Données projet'!$B$11,Paramètres!$A$1:$I$89,5,0)</f>
        <v>0.98597102556497185</v>
      </c>
      <c r="BF4" s="14">
        <f>EXP(-1.0587+0.8836*LN(BE4)+0.284)</f>
        <v>0.45512472564980078</v>
      </c>
      <c r="BG4" s="22">
        <f t="shared" ref="BG4:BG67" si="7">(BE4+BF4)*0.475*44/12</f>
        <v>2.5099084333657289</v>
      </c>
      <c r="BH4" s="62">
        <f t="shared" ref="BH4:BH67" si="8">BG4+(AY4+AZ4)*44/12</f>
        <v>295.84324176669907</v>
      </c>
      <c r="BI4" s="62">
        <f ca="1">AVERAGE(OFFSET($BH$3,0,0,'Données projet'!$E$11+1,1))-AVERAGE(OFFSET($H$3,0,0,'Données projet'!$E$11+1,1))</f>
        <v>182.06733089745194</v>
      </c>
      <c r="BJ4" s="62">
        <f>$BJ$3</f>
        <v>320.36755413886021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4.75</v>
      </c>
      <c r="BY4" s="13">
        <f>IF('Données projet'!$A$114&gt;35,BY3+BX4-CG3,IF(A4&lt;'Données projet'!$A$114,$BV$205^A4,IF(A4='Données projet'!$A$114,'Données projet'!$B$114,BY3+BX4-CG3)))</f>
        <v>1.2557008269631629</v>
      </c>
      <c r="BZ4" s="14">
        <f>BY4*VLOOKUP('Données projet'!$B$12,Paramètres!$A$1:$I$89,3,0)*VLOOKUP('Données projet'!$B$12,Paramètres!$A$1:$I$89,5,0)</f>
        <v>1.0969802424350192</v>
      </c>
      <c r="CA4" s="14">
        <f>EXP(-1.0587+0.8836*LN(BZ4)+0.284)</f>
        <v>0.50011712916308415</v>
      </c>
      <c r="CB4" s="22">
        <f t="shared" ref="CB4:CB67" si="10">(BZ4+CA4)*0.475*44/12</f>
        <v>2.7816112555333632</v>
      </c>
      <c r="CC4" s="62">
        <f t="shared" ref="CC4:CC67" si="11">CB4+(BT4+BU4)*44/12</f>
        <v>296.11494458886671</v>
      </c>
      <c r="CD4" s="62">
        <f ca="1">AVERAGE(OFFSET($CC$3,0,0,'Données projet'!$E$12+1,1))-AVERAGE(OFFSET($H$3,0,0,'Données projet'!$E$12+1,1))</f>
        <v>248.60758320902863</v>
      </c>
      <c r="CE4" s="62">
        <f>$CE$3</f>
        <v>222.23585883330111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9.6666666666666661</v>
      </c>
      <c r="CT4" s="13">
        <f>IF('Données projet'!$A$140&gt;35,CT3+CS4-DB3,IF(A4&lt;'Données projet'!$A$140,$CQ$205^A4,IF(A4='Données projet'!$A$140,'Données projet'!$B$140,CT3+CS4-DB3)))</f>
        <v>1.4860662319460807</v>
      </c>
      <c r="CU4" s="18">
        <f>CT4*VLOOKUP('Données projet'!$B$13,Paramètres!$A$1:$I$89,3,0)*VLOOKUP('Données projet'!$B$13,Paramètres!$A$1:$I$89,5,0)</f>
        <v>0.81139216264255998</v>
      </c>
      <c r="CV4" s="14">
        <f>EXP(-1.0587+0.8836*LN(CU4)+0.284)</f>
        <v>0.38313198283208655</v>
      </c>
      <c r="CW4" s="22">
        <f t="shared" ref="CW4:CW67" si="13">(CU4+CV4)*0.475*44/12</f>
        <v>2.0804628867016759</v>
      </c>
      <c r="CX4" s="62">
        <f t="shared" ref="CX4:CX67" si="14">CW4+(CO4+CP4)*44/12</f>
        <v>295.41379622003501</v>
      </c>
      <c r="CY4" s="62">
        <f ca="1">AVERAGE(OFFSET($CX$3,0,0,'Données projet'!$E$13+1,1))-AVERAGE(OFFSET($H$3,0,0,'Données projet'!$E$13+1,1))</f>
        <v>135.44138026609272</v>
      </c>
      <c r="CZ4" s="62">
        <f>$CZ$3</f>
        <v>254.77247578425659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5.85</v>
      </c>
      <c r="DO4" s="13">
        <f>IF('Données projet'!$A$166&gt;35,DO3+DN4-DW3,IF(A4&lt;'Données projet'!$A$166,$DL$205^A4,IF(A4='Données projet'!$A$166,'Données projet'!$B$166,DO3+DN4-DW3)))</f>
        <v>1.2688471048731957</v>
      </c>
      <c r="DP4" s="18">
        <f>DO4*VLOOKUP('Données projet'!$B$14,Paramètres!$A$1:$I$89,3,0)*VLOOKUP('Données projet'!$B$14,Paramètres!$A$1:$I$89,5,0)</f>
        <v>1.227228919833355</v>
      </c>
      <c r="DQ4" s="14">
        <f>EXP(-1.0587+0.8836*LN(DP4)+0.284)</f>
        <v>0.55223853489799124</v>
      </c>
      <c r="DR4" s="22">
        <f t="shared" ref="DR4:DR67" si="16">(DP4+DQ4)*0.475*44/12</f>
        <v>3.0992391503237613</v>
      </c>
      <c r="DS4" s="62">
        <f t="shared" ref="DS4:DS67" si="17">DR4+(DJ4+DK4)*44/12</f>
        <v>296.43257248365705</v>
      </c>
      <c r="DT4" s="62">
        <f ca="1">AVERAGE(OFFSET($DS$3,0,0,'Données projet'!$E$14+1,1))-AVERAGE(OFFSET($H$3,0,0,'Données projet'!$E$14+1,1))</f>
        <v>271.09447278906288</v>
      </c>
      <c r="DU4" s="62">
        <f>$DU$3</f>
        <v>325.1094067861851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5.85</v>
      </c>
      <c r="EJ4" s="13">
        <f>IF('Données projet'!$A$192&gt;35,EJ3+EI4-ER3,IF(A4&lt;'Données projet'!$A$192,$EG$205^A4,IF(A4='Données projet'!$A$192,'Données projet'!$B$192,EJ3+EI4-ER3)))</f>
        <v>1.2688471048731957</v>
      </c>
      <c r="EK4" s="18">
        <f>EJ4*VLOOKUP('Données projet'!$B$15,Paramètres!$A$1:$I$89,3,0)*VLOOKUP('Données projet'!$B$15,Paramètres!$A$1:$I$89,5,0)</f>
        <v>1.3657870236855079</v>
      </c>
      <c r="EL4" s="14">
        <f>EXP(-1.0587+0.8836*LN(EK4)+0.284)</f>
        <v>0.60698291631747847</v>
      </c>
      <c r="EM4" s="22">
        <f t="shared" ref="EM4:EM67" si="19">(EK4+EL4)*0.475*44/12</f>
        <v>3.4359076455052011</v>
      </c>
      <c r="EN4" s="62">
        <f t="shared" ref="EN4:EN67" si="20">EM4+(EE4+EF4)*44/12</f>
        <v>296.76924097883852</v>
      </c>
      <c r="EO4" s="62">
        <f ca="1">AVERAGE(OFFSET($EN$3,0,0,'Données projet'!$E$15+1,1))-AVERAGE(OFFSET($H$3,0,0,'Données projet'!$E$15+1,1))</f>
        <v>306.50593475734655</v>
      </c>
      <c r="EP4" s="62">
        <f>$EP$3</f>
        <v>366.48643801375079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1.4663999999999999</v>
      </c>
      <c r="D5" s="12">
        <f t="shared" ref="D5:D68" si="32">IFERROR(EXP(-1.0587+0.8836*LN(C5)+0.284),0)</f>
        <v>0.64632764391155073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16.308774795106711</v>
      </c>
      <c r="H5" s="70">
        <f t="shared" si="1"/>
        <v>297.01300064647927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3.65</v>
      </c>
      <c r="N5" s="14">
        <f>IF('Données projet'!$A$36&gt;35,N4+M5-V4,IF(A5&lt;'Données projet'!$A$36,$K$205^A5,IF(A5='Données projet'!$A$36,'Données projet'!$B$36,N4+M5-V4)))</f>
        <v>1.5357915933617867</v>
      </c>
      <c r="O5" s="14">
        <f>N5*VLOOKUP('Données projet'!$B$9,Paramètres!$A$1:$I$89,3,0)*VLOOKUP('Données projet'!$B$9,Paramètres!$A$1:$I$89,5,0)</f>
        <v>1.3895842336737447</v>
      </c>
      <c r="P5" s="14">
        <f t="shared" ref="P5:P68" si="33">EXP(-1.0587+0.8836*LN(O5)+0.284)</f>
        <v>0.61631841327304715</v>
      </c>
      <c r="Q5" s="22">
        <f t="shared" si="2"/>
        <v>3.4936137767656628</v>
      </c>
      <c r="R5" s="62">
        <f t="shared" si="0"/>
        <v>296.82694711009896</v>
      </c>
      <c r="S5" s="62">
        <f ca="1">AVERAGE(OFFSET($R$3,0,0,'Données projet'!$E$9+1,1))-AVERAGE(OFFSET($H$3,0,0,'Données projet'!$E$9+1,1))</f>
        <v>312.57314929661908</v>
      </c>
      <c r="T5" s="62">
        <f t="shared" ref="T5:T68" si="34">$T$3</f>
        <v>190.92100876773804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3.65</v>
      </c>
      <c r="AI5" s="14">
        <f>IF('Données projet'!$A$62&gt;35,AI4+AH5-AQ4,IF(A5&lt;'Données projet'!$A$62,$AF$205^A5,IF(A5='Données projet'!$A$62,'Données projet'!$B$62,AI4+AH5-AQ4)))</f>
        <v>1.5357915933617867</v>
      </c>
      <c r="AJ5" s="14">
        <f>AI5*VLOOKUP('Données projet'!$B$10,Paramètres!$A$1:$I$89,3,0)*VLOOKUP('Données projet'!$B$10,Paramètres!$A$1:$I$89,5,0)</f>
        <v>1.5572926756688519</v>
      </c>
      <c r="AK5" s="14">
        <f t="shared" ref="AK5:AK68" si="35">EXP(-1.0587+0.8836*LN(AJ5)+0.284)</f>
        <v>0.68160129960402205</v>
      </c>
      <c r="AL5" s="22">
        <f t="shared" si="4"/>
        <v>3.8994070069335893</v>
      </c>
      <c r="AM5" s="62">
        <f t="shared" si="5"/>
        <v>297.2327403402669</v>
      </c>
      <c r="AN5" s="62">
        <f ca="1">AVERAGE(OFFSET($AM$3,0,0,'Données projet'!$E$10+1,1))-AVERAGE(OFFSET($H$3,0,0,'Données projet'!$E$10+1,1))</f>
        <v>360.56293184044779</v>
      </c>
      <c r="AO5" s="62">
        <f t="shared" ref="AO5:AO68" si="36">$AO$3</f>
        <v>219.32252911220542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11.488888888888889</v>
      </c>
      <c r="BD5" s="13">
        <f>IF('Données projet'!$A$88&gt;35,BD4+BC5-BL4,IF(A5&lt;'Données projet'!$A$88,$BA$205^A5,IF(A5='Données projet'!$A$88,'Données projet'!$B$88,BD4+BC5-BL4)))</f>
        <v>1.8083537567268635</v>
      </c>
      <c r="BE5" s="14">
        <f>BD5*VLOOKUP('Données projet'!$B$11,Paramètres!$A$1:$I$89,3,0)*VLOOKUP('Données projet'!$B$11,Paramètres!$A$1:$I$89,5,0)</f>
        <v>1.3258849744321362</v>
      </c>
      <c r="BF5" s="14">
        <f t="shared" ref="BF5:BF68" si="37">EXP(-1.0587+0.8836*LN(BE5)+0.284)</f>
        <v>0.59128686700602451</v>
      </c>
      <c r="BG5" s="22">
        <f t="shared" si="7"/>
        <v>3.3390742905047959</v>
      </c>
      <c r="BH5" s="62">
        <f t="shared" si="8"/>
        <v>296.67240762383813</v>
      </c>
      <c r="BI5" s="62">
        <f ca="1">AVERAGE(OFFSET($BH$3,0,0,'Données projet'!$E$11+1,1))-AVERAGE(OFFSET($H$3,0,0,'Données projet'!$E$11+1,1))</f>
        <v>182.06733089745194</v>
      </c>
      <c r="BJ5" s="62">
        <f t="shared" ref="BJ5:BJ68" si="38">$BJ$3</f>
        <v>320.36755413886021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4.75</v>
      </c>
      <c r="BY5" s="13">
        <f>IF('Données projet'!$A$114&gt;35,BY4+BX5-CG4,IF(A5&lt;'Données projet'!$A$114,$BV$205^A5,IF(A5='Données projet'!$A$114,'Données projet'!$B$114,BY4+BX5-CG4)))</f>
        <v>1.576784566835971</v>
      </c>
      <c r="BZ5" s="14">
        <f>BY5*VLOOKUP('Données projet'!$B$12,Paramètres!$A$1:$I$89,3,0)*VLOOKUP('Données projet'!$B$12,Paramètres!$A$1:$I$89,5,0)</f>
        <v>1.3774789975879045</v>
      </c>
      <c r="CA5" s="14">
        <f t="shared" ref="CA5:CA68" si="39">EXP(-1.0587+0.8836*LN(BZ5)+0.284)</f>
        <v>0.61157195042276347</v>
      </c>
      <c r="CB5" s="22">
        <f t="shared" si="10"/>
        <v>3.4642637344519134</v>
      </c>
      <c r="CC5" s="62">
        <f t="shared" si="11"/>
        <v>296.7975970677852</v>
      </c>
      <c r="CD5" s="62">
        <f ca="1">AVERAGE(OFFSET($CC$3,0,0,'Données projet'!$E$12+1,1))-AVERAGE(OFFSET($H$3,0,0,'Données projet'!$E$12+1,1))</f>
        <v>248.60758320902863</v>
      </c>
      <c r="CE5" s="62">
        <f t="shared" ref="CE5:CE68" si="40">$CE$3</f>
        <v>222.23585883330111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9.6666666666666661</v>
      </c>
      <c r="CT5" s="13">
        <f>IF('Données projet'!$A$140&gt;35,CT4+CS5-DB4,IF(A5&lt;'Données projet'!$A$140,$CQ$205^A5,IF(A5='Données projet'!$A$140,'Données projet'!$B$140,CT4+CS5-DB4)))</f>
        <v>2.2083928457304225</v>
      </c>
      <c r="CU5" s="18">
        <f>CT5*VLOOKUP('Données projet'!$B$13,Paramètres!$A$1:$I$89,3,0)*VLOOKUP('Données projet'!$B$13,Paramètres!$A$1:$I$89,5,0)</f>
        <v>1.2057824937688106</v>
      </c>
      <c r="CV5" s="14">
        <f t="shared" ref="CV5:CV68" si="41">EXP(-1.0587+0.8836*LN(CU5)+0.284)</f>
        <v>0.54370250071771287</v>
      </c>
      <c r="CW5" s="22">
        <f t="shared" si="13"/>
        <v>3.0470196987306952</v>
      </c>
      <c r="CX5" s="62">
        <f t="shared" si="14"/>
        <v>296.38035303206402</v>
      </c>
      <c r="CY5" s="62">
        <f ca="1">AVERAGE(OFFSET($CX$3,0,0,'Données projet'!$E$13+1,1))-AVERAGE(OFFSET($H$3,0,0,'Données projet'!$E$13+1,1))</f>
        <v>135.44138026609272</v>
      </c>
      <c r="CZ5" s="62">
        <f t="shared" ref="CZ5:CZ68" si="42">$CZ$3</f>
        <v>254.77247578425659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5.85</v>
      </c>
      <c r="DO5" s="13">
        <f>IF('Données projet'!$A$166&gt;35,DO4+DN5-DW4,IF(A5&lt;'Données projet'!$A$166,$DL$205^A5,IF(A5='Données projet'!$A$166,'Données projet'!$B$166,DO4+DN5-DW4)))</f>
        <v>1.6099729755450907</v>
      </c>
      <c r="DP5" s="18">
        <f>DO5*VLOOKUP('Données projet'!$B$14,Paramètres!$A$1:$I$89,3,0)*VLOOKUP('Données projet'!$B$14,Paramètres!$A$1:$I$89,5,0)</f>
        <v>1.5571658619472117</v>
      </c>
      <c r="DQ5" s="14">
        <f t="shared" ref="DQ5:DQ68" si="43">EXP(-1.0587+0.8836*LN(DP5)+0.284)</f>
        <v>0.68155225579614664</v>
      </c>
      <c r="DR5" s="22">
        <f t="shared" si="16"/>
        <v>3.8991007217363496</v>
      </c>
      <c r="DS5" s="62">
        <f t="shared" si="17"/>
        <v>297.23243405506969</v>
      </c>
      <c r="DT5" s="62">
        <f ca="1">AVERAGE(OFFSET($DS$3,0,0,'Données projet'!$E$14+1,1))-AVERAGE(OFFSET($H$3,0,0,'Données projet'!$E$14+1,1))</f>
        <v>271.09447278906288</v>
      </c>
      <c r="DU5" s="62">
        <f t="shared" ref="DU5:DU68" si="44">$DU$3</f>
        <v>325.1094067861851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5.85</v>
      </c>
      <c r="EJ5" s="13">
        <f>IF('Données projet'!$A$192&gt;35,EJ4+EI5-ER4,IF(A5&lt;'Données projet'!$A$192,$EG$205^A5,IF(A5='Données projet'!$A$192,'Données projet'!$B$192,EJ4+EI5-ER4)))</f>
        <v>1.6099729755450907</v>
      </c>
      <c r="EK5" s="18">
        <f>EJ5*VLOOKUP('Données projet'!$B$15,Paramètres!$A$1:$I$89,3,0)*VLOOKUP('Données projet'!$B$15,Paramètres!$A$1:$I$89,5,0)</f>
        <v>1.7329749108767356</v>
      </c>
      <c r="EL5" s="14">
        <f t="shared" ref="EL5:EL68" si="45">EXP(-1.0587+0.8836*LN(EK5)+0.284)</f>
        <v>0.74911573478355231</v>
      </c>
      <c r="EM5" s="22">
        <f t="shared" si="19"/>
        <v>4.3229745411916678</v>
      </c>
      <c r="EN5" s="62">
        <f t="shared" si="20"/>
        <v>297.656307874525</v>
      </c>
      <c r="EO5" s="62">
        <f ca="1">AVERAGE(OFFSET($EN$3,0,0,'Données projet'!$E$15+1,1))-AVERAGE(OFFSET($H$3,0,0,'Données projet'!$E$15+1,1))</f>
        <v>306.50593475734655</v>
      </c>
      <c r="EP5" s="62">
        <f t="shared" ref="EP5:EP68" si="46">$EP$3</f>
        <v>366.48643801375079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2.1995999999999998</v>
      </c>
      <c r="D6" s="12">
        <f t="shared" si="32"/>
        <v>0.92479818325965968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24.118161414635967</v>
      </c>
      <c r="H6" s="70">
        <f t="shared" si="1"/>
        <v>298.77499350251054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3.65</v>
      </c>
      <c r="N6" s="14">
        <f>IF('Données projet'!$A$36&gt;35,N5+M6-V5,IF(A6&lt;'Données projet'!$A$36,$K$205^A6,IF(A6='Données projet'!$A$36,'Données projet'!$B$36,N5+M6-V5)))</f>
        <v>1.9032613528593461</v>
      </c>
      <c r="O6" s="14">
        <f>N6*VLOOKUP('Données projet'!$B$9,Paramètres!$A$1:$I$89,3,0)*VLOOKUP('Données projet'!$B$9,Paramètres!$A$1:$I$89,5,0)</f>
        <v>1.7220708720671365</v>
      </c>
      <c r="P6" s="14">
        <f t="shared" si="33"/>
        <v>0.74494935243383209</v>
      </c>
      <c r="Q6" s="22">
        <f t="shared" si="2"/>
        <v>4.2967268910058536</v>
      </c>
      <c r="R6" s="62">
        <f t="shared" si="0"/>
        <v>297.63006022433916</v>
      </c>
      <c r="S6" s="62">
        <f ca="1">AVERAGE(OFFSET($R$3,0,0,'Données projet'!$E$9+1,1))-AVERAGE(OFFSET($H$3,0,0,'Données projet'!$E$9+1,1))</f>
        <v>312.57314929661908</v>
      </c>
      <c r="T6" s="62">
        <f t="shared" si="34"/>
        <v>190.92100876773804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3.65</v>
      </c>
      <c r="AI6" s="14">
        <f>IF('Données projet'!$A$62&gt;35,AI5+AH6-AQ5,IF(A6&lt;'Données projet'!$A$62,$AF$205^A6,IF(A6='Données projet'!$A$62,'Données projet'!$B$62,AI5+AH6-AQ5)))</f>
        <v>1.9032613528593461</v>
      </c>
      <c r="AJ6" s="14">
        <f>AI6*VLOOKUP('Données projet'!$B$10,Paramètres!$A$1:$I$89,3,0)*VLOOKUP('Données projet'!$B$10,Paramètres!$A$1:$I$89,5,0)</f>
        <v>1.9299070117993768</v>
      </c>
      <c r="AK6" s="14">
        <f t="shared" si="35"/>
        <v>0.82385733708903885</v>
      </c>
      <c r="AL6" s="22">
        <f t="shared" si="4"/>
        <v>4.7961395743139903</v>
      </c>
      <c r="AM6" s="62">
        <f t="shared" si="5"/>
        <v>298.12947290764731</v>
      </c>
      <c r="AN6" s="62">
        <f ca="1">AVERAGE(OFFSET($AM$3,0,0,'Données projet'!$E$10+1,1))-AVERAGE(OFFSET($H$3,0,0,'Données projet'!$E$10+1,1))</f>
        <v>360.56293184044779</v>
      </c>
      <c r="AO6" s="62">
        <f t="shared" si="36"/>
        <v>219.32252911220542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11.488888888888889</v>
      </c>
      <c r="BD6" s="13">
        <f>IF('Données projet'!$A$88&gt;35,BD5+BC6-BL5,IF(A6&lt;'Données projet'!$A$88,$BA$205^A6,IF(A6='Données projet'!$A$88,'Données projet'!$B$88,BD5+BC6-BL5)))</f>
        <v>2.4317845173271349</v>
      </c>
      <c r="BE6" s="14">
        <f>BD6*VLOOKUP('Données projet'!$B$11,Paramètres!$A$1:$I$89,3,0)*VLOOKUP('Données projet'!$B$11,Paramètres!$A$1:$I$89,5,0)</f>
        <v>1.7829844081042552</v>
      </c>
      <c r="BF6" s="14">
        <f t="shared" si="37"/>
        <v>0.76818537730428227</v>
      </c>
      <c r="BG6" s="22">
        <f t="shared" si="7"/>
        <v>4.4432873762532026</v>
      </c>
      <c r="BH6" s="62">
        <f t="shared" si="8"/>
        <v>297.7766207095865</v>
      </c>
      <c r="BI6" s="62">
        <f ca="1">AVERAGE(OFFSET($BH$3,0,0,'Données projet'!$E$11+1,1))-AVERAGE(OFFSET($H$3,0,0,'Données projet'!$E$11+1,1))</f>
        <v>182.06733089745194</v>
      </c>
      <c r="BJ6" s="62">
        <f t="shared" si="38"/>
        <v>320.36755413886021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4.75</v>
      </c>
      <c r="BY6" s="13">
        <f>IF('Données projet'!$A$114&gt;35,BY5+BX6-CG5,IF(A6&lt;'Données projet'!$A$114,$BV$205^A6,IF(A6='Données projet'!$A$114,'Données projet'!$B$114,BY5+BX6-CG5)))</f>
        <v>1.9799696845186814</v>
      </c>
      <c r="BZ6" s="14">
        <f>BY6*VLOOKUP('Données projet'!$B$12,Paramètres!$A$1:$I$89,3,0)*VLOOKUP('Données projet'!$B$12,Paramètres!$A$1:$I$89,5,0)</f>
        <v>1.7297015163955203</v>
      </c>
      <c r="CA6" s="14">
        <f t="shared" si="39"/>
        <v>0.7478653074126923</v>
      </c>
      <c r="CB6" s="22">
        <f t="shared" si="10"/>
        <v>4.3150955514659701</v>
      </c>
      <c r="CC6" s="62">
        <f t="shared" si="11"/>
        <v>297.64842888479927</v>
      </c>
      <c r="CD6" s="62">
        <f ca="1">AVERAGE(OFFSET($CC$3,0,0,'Données projet'!$E$12+1,1))-AVERAGE(OFFSET($H$3,0,0,'Données projet'!$E$12+1,1))</f>
        <v>248.60758320902863</v>
      </c>
      <c r="CE6" s="62">
        <f t="shared" si="40"/>
        <v>222.23585883330111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9.6666666666666661</v>
      </c>
      <c r="CT6" s="13">
        <f>IF('Données projet'!$A$140&gt;35,CT5+CS6-DB5,IF(A6&lt;'Données projet'!$A$140,$CQ$205^A6,IF(A6='Données projet'!$A$140,'Données projet'!$B$140,CT5+CS6-DB5)))</f>
        <v>3.2818180349112911</v>
      </c>
      <c r="CU6" s="18">
        <f>CT6*VLOOKUP('Données projet'!$B$13,Paramètres!$A$1:$I$89,3,0)*VLOOKUP('Données projet'!$B$13,Paramètres!$A$1:$I$89,5,0)</f>
        <v>1.7918726470615651</v>
      </c>
      <c r="CV6" s="14">
        <f t="shared" si="41"/>
        <v>0.77156808236563035</v>
      </c>
      <c r="CW6" s="22">
        <f t="shared" si="13"/>
        <v>4.4646592704190313</v>
      </c>
      <c r="CX6" s="62">
        <f t="shared" si="14"/>
        <v>297.79799260375233</v>
      </c>
      <c r="CY6" s="62">
        <f ca="1">AVERAGE(OFFSET($CX$3,0,0,'Données projet'!$E$13+1,1))-AVERAGE(OFFSET($H$3,0,0,'Données projet'!$E$13+1,1))</f>
        <v>135.44138026609272</v>
      </c>
      <c r="CZ6" s="62">
        <f t="shared" si="42"/>
        <v>254.77247578425659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5.85</v>
      </c>
      <c r="DO6" s="13">
        <f>IF('Données projet'!$A$166&gt;35,DO5+DN6-DW5,IF(A6&lt;'Données projet'!$A$166,$DL$205^A6,IF(A6='Données projet'!$A$166,'Données projet'!$B$166,DO5+DN6-DW5)))</f>
        <v>2.0428095489444726</v>
      </c>
      <c r="DP6" s="18">
        <f>DO6*VLOOKUP('Données projet'!$B$14,Paramètres!$A$1:$I$89,3,0)*VLOOKUP('Données projet'!$B$14,Paramètres!$A$1:$I$89,5,0)</f>
        <v>1.975805395739094</v>
      </c>
      <c r="DQ6" s="14">
        <f t="shared" si="43"/>
        <v>0.84114643949397772</v>
      </c>
      <c r="DR6" s="22">
        <f t="shared" si="16"/>
        <v>4.9061911130309328</v>
      </c>
      <c r="DS6" s="62">
        <f t="shared" si="17"/>
        <v>298.23952444636427</v>
      </c>
      <c r="DT6" s="62">
        <f ca="1">AVERAGE(OFFSET($DS$3,0,0,'Données projet'!$E$14+1,1))-AVERAGE(OFFSET($H$3,0,0,'Données projet'!$E$14+1,1))</f>
        <v>271.09447278906288</v>
      </c>
      <c r="DU6" s="62">
        <f t="shared" si="44"/>
        <v>325.1094067861851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5.85</v>
      </c>
      <c r="EJ6" s="13">
        <f>IF('Données projet'!$A$192&gt;35,EJ5+EI6-ER5,IF(A6&lt;'Données projet'!$A$192,$EG$205^A6,IF(A6='Données projet'!$A$192,'Données projet'!$B$192,EJ5+EI6-ER5)))</f>
        <v>2.0428095489444726</v>
      </c>
      <c r="EK6" s="18">
        <f>EJ6*VLOOKUP('Données projet'!$B$15,Paramètres!$A$1:$I$89,3,0)*VLOOKUP('Données projet'!$B$15,Paramètres!$A$1:$I$89,5,0)</f>
        <v>2.1988801984838302</v>
      </c>
      <c r="EL6" s="14">
        <f t="shared" si="45"/>
        <v>0.92453077181299614</v>
      </c>
      <c r="EM6" s="22">
        <f t="shared" si="19"/>
        <v>5.4399407732669722</v>
      </c>
      <c r="EN6" s="62">
        <f t="shared" si="20"/>
        <v>298.7732741066003</v>
      </c>
      <c r="EO6" s="62">
        <f ca="1">AVERAGE(OFFSET($EN$3,0,0,'Données projet'!$E$15+1,1))-AVERAGE(OFFSET($H$3,0,0,'Données projet'!$E$15+1,1))</f>
        <v>306.50593475734655</v>
      </c>
      <c r="EP6" s="62">
        <f t="shared" si="46"/>
        <v>366.48643801375079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2.9327999999999999</v>
      </c>
      <c r="D7" s="12">
        <f t="shared" si="32"/>
        <v>1.1924572972247856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31.844091417173786</v>
      </c>
      <c r="H7" s="70">
        <f t="shared" si="1"/>
        <v>300.51815645933317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3.65</v>
      </c>
      <c r="N7" s="14">
        <f>IF('Données projet'!$A$36&gt;35,N6+M7-V6,IF(A7&lt;'Données projet'!$A$36,$K$205^A7,IF(A7='Données projet'!$A$36,'Données projet'!$B$36,N6+M7-V6)))</f>
        <v>2.3586558182407358</v>
      </c>
      <c r="O7" s="14">
        <f>N7*VLOOKUP('Données projet'!$B$9,Paramètres!$A$1:$I$89,3,0)*VLOOKUP('Données projet'!$B$9,Paramètres!$A$1:$I$89,5,0)</f>
        <v>2.1341117843442179</v>
      </c>
      <c r="P7" s="14">
        <f t="shared" si="33"/>
        <v>0.90042667189585779</v>
      </c>
      <c r="Q7" s="22">
        <f t="shared" si="2"/>
        <v>5.2851544779514645</v>
      </c>
      <c r="R7" s="62">
        <f t="shared" si="0"/>
        <v>298.61848781128475</v>
      </c>
      <c r="S7" s="62">
        <f ca="1">AVERAGE(OFFSET($R$3,0,0,'Données projet'!$E$9+1,1))-AVERAGE(OFFSET($H$3,0,0,'Données projet'!$E$9+1,1))</f>
        <v>312.57314929661908</v>
      </c>
      <c r="T7" s="62">
        <f t="shared" si="34"/>
        <v>190.92100876773804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3.65</v>
      </c>
      <c r="AI7" s="14">
        <f>IF('Données projet'!$A$62&gt;35,AI6+AH7-AQ6,IF(A7&lt;'Données projet'!$A$62,$AF$205^A7,IF(A7='Données projet'!$A$62,'Données projet'!$B$62,AI6+AH7-AQ6)))</f>
        <v>2.3586558182407358</v>
      </c>
      <c r="AJ7" s="14">
        <f>AI7*VLOOKUP('Données projet'!$B$10,Paramètres!$A$1:$I$89,3,0)*VLOOKUP('Données projet'!$B$10,Paramètres!$A$1:$I$89,5,0)</f>
        <v>2.3916769996961063</v>
      </c>
      <c r="AK7" s="14">
        <f t="shared" si="35"/>
        <v>0.9958034297612971</v>
      </c>
      <c r="AL7" s="22">
        <f t="shared" si="4"/>
        <v>5.8998617479716442</v>
      </c>
      <c r="AM7" s="62">
        <f t="shared" si="5"/>
        <v>299.23319508130498</v>
      </c>
      <c r="AN7" s="62">
        <f ca="1">AVERAGE(OFFSET($AM$3,0,0,'Données projet'!$E$10+1,1))-AVERAGE(OFFSET($H$3,0,0,'Données projet'!$E$10+1,1))</f>
        <v>360.56293184044779</v>
      </c>
      <c r="AO7" s="62">
        <f t="shared" si="36"/>
        <v>219.32252911220542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11.488888888888889</v>
      </c>
      <c r="BD7" s="13">
        <f>IF('Données projet'!$A$88&gt;35,BD6+BC7-BL6,IF(A7&lt;'Données projet'!$A$88,$BA$205^A7,IF(A7='Données projet'!$A$88,'Données projet'!$B$88,BD6+BC7-BL6)))</f>
        <v>3.27014330946816</v>
      </c>
      <c r="BE7" s="14">
        <f>BD7*VLOOKUP('Données projet'!$B$11,Paramètres!$A$1:$I$89,3,0)*VLOOKUP('Données projet'!$B$11,Paramètres!$A$1:$I$89,5,0)</f>
        <v>2.3976690745020548</v>
      </c>
      <c r="BF7" s="14">
        <f t="shared" si="37"/>
        <v>0.99800757776362037</v>
      </c>
      <c r="BG7" s="22">
        <f t="shared" si="7"/>
        <v>5.9141368360293844</v>
      </c>
      <c r="BH7" s="62">
        <f t="shared" si="8"/>
        <v>299.24747016936271</v>
      </c>
      <c r="BI7" s="62">
        <f ca="1">AVERAGE(OFFSET($BH$3,0,0,'Données projet'!$E$11+1,1))-AVERAGE(OFFSET($H$3,0,0,'Données projet'!$E$11+1,1))</f>
        <v>182.06733089745194</v>
      </c>
      <c r="BJ7" s="62">
        <f t="shared" si="38"/>
        <v>320.36755413886021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4.75</v>
      </c>
      <c r="BY7" s="13">
        <f>IF('Données projet'!$A$114&gt;35,BY6+BX7-CG6,IF(A7&lt;'Données projet'!$A$114,$BV$205^A7,IF(A7='Données projet'!$A$114,'Données projet'!$B$114,BY6+BX7-CG6)))</f>
        <v>2.4862495702121006</v>
      </c>
      <c r="BZ7" s="14">
        <f>BY7*VLOOKUP('Données projet'!$B$12,Paramètres!$A$1:$I$89,3,0)*VLOOKUP('Données projet'!$B$12,Paramètres!$A$1:$I$89,5,0)</f>
        <v>2.1719876245372913</v>
      </c>
      <c r="CA7" s="14">
        <f t="shared" si="39"/>
        <v>0.91453265252739235</v>
      </c>
      <c r="CB7" s="22">
        <f t="shared" si="10"/>
        <v>5.375689482554324</v>
      </c>
      <c r="CC7" s="62">
        <f t="shared" si="11"/>
        <v>298.70902281588764</v>
      </c>
      <c r="CD7" s="62">
        <f ca="1">AVERAGE(OFFSET($CC$3,0,0,'Données projet'!$E$12+1,1))-AVERAGE(OFFSET($H$3,0,0,'Données projet'!$E$12+1,1))</f>
        <v>248.60758320902863</v>
      </c>
      <c r="CE7" s="62">
        <f t="shared" si="40"/>
        <v>222.23585883330111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9.6666666666666661</v>
      </c>
      <c r="CT7" s="13">
        <f>IF('Données projet'!$A$140&gt;35,CT6+CS7-DB6,IF(A7&lt;'Données projet'!$A$140,$CQ$205^A7,IF(A7='Données projet'!$A$140,'Données projet'!$B$140,CT6+CS7-DB6)))</f>
        <v>4.8769989610733138</v>
      </c>
      <c r="CU7" s="18">
        <f>CT7*VLOOKUP('Données projet'!$B$13,Paramètres!$A$1:$I$89,3,0)*VLOOKUP('Données projet'!$B$13,Paramètres!$A$1:$I$89,5,0)</f>
        <v>2.6628414327460295</v>
      </c>
      <c r="CV7" s="14">
        <f t="shared" si="41"/>
        <v>1.0949320721157787</v>
      </c>
      <c r="CW7" s="22">
        <f t="shared" si="13"/>
        <v>6.5447888543009825</v>
      </c>
      <c r="CX7" s="62">
        <f t="shared" si="14"/>
        <v>299.87812218763429</v>
      </c>
      <c r="CY7" s="62">
        <f ca="1">AVERAGE(OFFSET($CX$3,0,0,'Données projet'!$E$13+1,1))-AVERAGE(OFFSET($H$3,0,0,'Données projet'!$E$13+1,1))</f>
        <v>135.44138026609272</v>
      </c>
      <c r="CZ7" s="62">
        <f t="shared" si="42"/>
        <v>254.77247578425659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5.85</v>
      </c>
      <c r="DO7" s="13">
        <f>IF('Données projet'!$A$166&gt;35,DO6+DN7-DW6,IF(A7&lt;'Données projet'!$A$166,$DL$205^A7,IF(A7='Données projet'!$A$166,'Données projet'!$B$166,DO6+DN7-DW6)))</f>
        <v>2.5920129819855133</v>
      </c>
      <c r="DP7" s="18">
        <f>DO7*VLOOKUP('Données projet'!$B$14,Paramètres!$A$1:$I$89,3,0)*VLOOKUP('Données projet'!$B$14,Paramètres!$A$1:$I$89,5,0)</f>
        <v>2.5069949561763885</v>
      </c>
      <c r="DQ7" s="14">
        <f t="shared" si="43"/>
        <v>1.0381116439074902</v>
      </c>
      <c r="DR7" s="22">
        <f t="shared" si="16"/>
        <v>6.1743939951460893</v>
      </c>
      <c r="DS7" s="62">
        <f t="shared" si="17"/>
        <v>299.5077273284794</v>
      </c>
      <c r="DT7" s="62">
        <f ca="1">AVERAGE(OFFSET($DS$3,0,0,'Données projet'!$E$14+1,1))-AVERAGE(OFFSET($H$3,0,0,'Données projet'!$E$14+1,1))</f>
        <v>271.09447278906288</v>
      </c>
      <c r="DU7" s="62">
        <f t="shared" si="44"/>
        <v>325.1094067861851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5.85</v>
      </c>
      <c r="EJ7" s="13">
        <f>IF('Données projet'!$A$192&gt;35,EJ6+EI7-ER6,IF(A7&lt;'Données projet'!$A$192,$EG$205^A7,IF(A7='Données projet'!$A$192,'Données projet'!$B$192,EJ6+EI7-ER6)))</f>
        <v>2.5920129819855133</v>
      </c>
      <c r="EK7" s="18">
        <f>EJ7*VLOOKUP('Données projet'!$B$15,Paramètres!$A$1:$I$89,3,0)*VLOOKUP('Données projet'!$B$15,Paramètres!$A$1:$I$89,5,0)</f>
        <v>2.7900427738092062</v>
      </c>
      <c r="EL7" s="14">
        <f t="shared" si="45"/>
        <v>1.1410214848525453</v>
      </c>
      <c r="EM7" s="22">
        <f t="shared" si="19"/>
        <v>6.8466035838358836</v>
      </c>
      <c r="EN7" s="62">
        <f t="shared" si="20"/>
        <v>300.17993691716919</v>
      </c>
      <c r="EO7" s="62">
        <f ca="1">AVERAGE(OFFSET($EN$3,0,0,'Données projet'!$E$15+1,1))-AVERAGE(OFFSET($H$3,0,0,'Données projet'!$E$15+1,1))</f>
        <v>306.50593475734655</v>
      </c>
      <c r="EP7" s="62">
        <f t="shared" si="46"/>
        <v>366.48643801375079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3.6659999999999999</v>
      </c>
      <c r="D8" s="12">
        <f t="shared" si="32"/>
        <v>1.4523541267681601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39.510102031192822</v>
      </c>
      <c r="H8" s="70">
        <f t="shared" si="1"/>
        <v>302.24780010412121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3.65</v>
      </c>
      <c r="N8" s="14">
        <f>IF('Données projet'!$A$36&gt;35,N7+M8-V7,IF(A8&lt;'Données projet'!$A$36,$K$205^A8,IF(A8='Données projet'!$A$36,'Données projet'!$B$36,N7+M8-V7)))</f>
        <v>2.9230127856917649</v>
      </c>
      <c r="O8" s="14">
        <f>N8*VLOOKUP('Données projet'!$B$9,Paramètres!$A$1:$I$89,3,0)*VLOOKUP('Données projet'!$B$9,Paramètres!$A$1:$I$89,5,0)</f>
        <v>2.6447419684939089</v>
      </c>
      <c r="P8" s="14">
        <f t="shared" si="33"/>
        <v>1.0883534414958294</v>
      </c>
      <c r="Q8" s="22">
        <f t="shared" si="2"/>
        <v>6.5018078390654601</v>
      </c>
      <c r="R8" s="62">
        <f t="shared" si="0"/>
        <v>299.83514117239878</v>
      </c>
      <c r="S8" s="62">
        <f ca="1">AVERAGE(OFFSET($R$3,0,0,'Données projet'!$E$9+1,1))-AVERAGE(OFFSET($H$3,0,0,'Données projet'!$E$9+1,1))</f>
        <v>312.57314929661908</v>
      </c>
      <c r="T8" s="62">
        <f t="shared" si="34"/>
        <v>190.92100876773804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3.65</v>
      </c>
      <c r="AI8" s="14">
        <f>IF('Données projet'!$A$62&gt;35,AI7+AH8-AQ7,IF(A8&lt;'Données projet'!$A$62,$AF$205^A8,IF(A8='Données projet'!$A$62,'Données projet'!$B$62,AI7+AH8-AQ7)))</f>
        <v>2.9230127856917649</v>
      </c>
      <c r="AJ8" s="14">
        <f>AI8*VLOOKUP('Données projet'!$B$10,Paramètres!$A$1:$I$89,3,0)*VLOOKUP('Données projet'!$B$10,Paramètres!$A$1:$I$89,5,0)</f>
        <v>2.9639349646914495</v>
      </c>
      <c r="AK8" s="14">
        <f t="shared" si="35"/>
        <v>1.2036361467970902</v>
      </c>
      <c r="AL8" s="22">
        <f t="shared" si="4"/>
        <v>7.2585196858425398</v>
      </c>
      <c r="AM8" s="62">
        <f t="shared" si="5"/>
        <v>300.59185301917586</v>
      </c>
      <c r="AN8" s="62">
        <f ca="1">AVERAGE(OFFSET($AM$3,0,0,'Données projet'!$E$10+1,1))-AVERAGE(OFFSET($H$3,0,0,'Données projet'!$E$10+1,1))</f>
        <v>360.56293184044779</v>
      </c>
      <c r="AO8" s="62">
        <f t="shared" si="36"/>
        <v>219.32252911220542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11.488888888888889</v>
      </c>
      <c r="BD8" s="13">
        <f>IF('Données projet'!$A$88&gt;35,BD7+BC8-BL7,IF(A8&lt;'Données projet'!$A$88,$BA$205^A8,IF(A8='Données projet'!$A$88,'Données projet'!$B$88,BD7+BC8-BL7)))</f>
        <v>4.3975266674587461</v>
      </c>
      <c r="BE8" s="14">
        <f>BD8*VLOOKUP('Données projet'!$B$11,Paramètres!$A$1:$I$89,3,0)*VLOOKUP('Données projet'!$B$11,Paramètres!$A$1:$I$89,5,0)</f>
        <v>3.2242665525807523</v>
      </c>
      <c r="BF8" s="14">
        <f t="shared" si="37"/>
        <v>1.2965869368261618</v>
      </c>
      <c r="BG8" s="22">
        <f t="shared" si="7"/>
        <v>7.8738198273837083</v>
      </c>
      <c r="BH8" s="62">
        <f t="shared" si="8"/>
        <v>301.20715316071704</v>
      </c>
      <c r="BI8" s="62">
        <f ca="1">AVERAGE(OFFSET($BH$3,0,0,'Données projet'!$E$11+1,1))-AVERAGE(OFFSET($H$3,0,0,'Données projet'!$E$11+1,1))</f>
        <v>182.06733089745194</v>
      </c>
      <c r="BJ8" s="62">
        <f t="shared" si="38"/>
        <v>320.36755413886021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4.75</v>
      </c>
      <c r="BY8" s="13">
        <f>IF('Données projet'!$A$114&gt;35,BY7+BX8-CG7,IF(A8&lt;'Données projet'!$A$114,$BV$205^A8,IF(A8='Données projet'!$A$114,'Données projet'!$B$114,BY7+BX8-CG7)))</f>
        <v>3.121985641352143</v>
      </c>
      <c r="BZ8" s="14">
        <f>BY8*VLOOKUP('Données projet'!$B$12,Paramètres!$A$1:$I$89,3,0)*VLOOKUP('Données projet'!$B$12,Paramètres!$A$1:$I$89,5,0)</f>
        <v>2.7273666562852323</v>
      </c>
      <c r="CA8" s="14">
        <f t="shared" si="39"/>
        <v>1.1183430548908408</v>
      </c>
      <c r="CB8" s="22">
        <f t="shared" si="10"/>
        <v>6.6979444136316602</v>
      </c>
      <c r="CC8" s="62">
        <f t="shared" si="11"/>
        <v>300.03127774696497</v>
      </c>
      <c r="CD8" s="62">
        <f ca="1">AVERAGE(OFFSET($CC$3,0,0,'Données projet'!$E$12+1,1))-AVERAGE(OFFSET($H$3,0,0,'Données projet'!$E$12+1,1))</f>
        <v>248.60758320902863</v>
      </c>
      <c r="CE8" s="62">
        <f t="shared" si="40"/>
        <v>222.23585883330111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9.6666666666666661</v>
      </c>
      <c r="CT8" s="13">
        <f>IF('Données projet'!$A$140&gt;35,CT7+CS8-DB7,IF(A8&lt;'Données projet'!$A$140,$CQ$205^A8,IF(A8='Données projet'!$A$140,'Données projet'!$B$140,CT7+CS8-DB7)))</f>
        <v>7.2475434692871694</v>
      </c>
      <c r="CU8" s="18">
        <f>CT8*VLOOKUP('Données projet'!$B$13,Paramètres!$A$1:$I$89,3,0)*VLOOKUP('Données projet'!$B$13,Paramètres!$A$1:$I$89,5,0)</f>
        <v>3.9571587342307946</v>
      </c>
      <c r="CV8" s="14">
        <f t="shared" si="41"/>
        <v>1.5538178288453746</v>
      </c>
      <c r="CW8" s="22">
        <f t="shared" si="13"/>
        <v>9.5982841806909942</v>
      </c>
      <c r="CX8" s="62">
        <f t="shared" si="14"/>
        <v>302.93161751402431</v>
      </c>
      <c r="CY8" s="62">
        <f ca="1">AVERAGE(OFFSET($CX$3,0,0,'Données projet'!$E$13+1,1))-AVERAGE(OFFSET($H$3,0,0,'Données projet'!$E$13+1,1))</f>
        <v>135.44138026609272</v>
      </c>
      <c r="CZ8" s="62">
        <f t="shared" si="42"/>
        <v>254.77247578425659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5.85</v>
      </c>
      <c r="DO8" s="13">
        <f>IF('Données projet'!$A$166&gt;35,DO7+DN8-DW7,IF(A8&lt;'Données projet'!$A$166,$DL$205^A8,IF(A8='Données projet'!$A$166,'Données projet'!$B$166,DO7+DN8-DW7)))</f>
        <v>3.2888681679860574</v>
      </c>
      <c r="DP8" s="18">
        <f>DO8*VLOOKUP('Données projet'!$B$14,Paramètres!$A$1:$I$89,3,0)*VLOOKUP('Données projet'!$B$14,Paramètres!$A$1:$I$89,5,0)</f>
        <v>3.1809932920761148</v>
      </c>
      <c r="DQ8" s="14">
        <f t="shared" si="43"/>
        <v>1.2811987718388569</v>
      </c>
      <c r="DR8" s="22">
        <f t="shared" si="16"/>
        <v>7.7716511779852437</v>
      </c>
      <c r="DS8" s="62">
        <f t="shared" si="17"/>
        <v>301.10498451131855</v>
      </c>
      <c r="DT8" s="62">
        <f ca="1">AVERAGE(OFFSET($DS$3,0,0,'Données projet'!$E$14+1,1))-AVERAGE(OFFSET($H$3,0,0,'Données projet'!$E$14+1,1))</f>
        <v>271.09447278906288</v>
      </c>
      <c r="DU8" s="62">
        <f t="shared" si="44"/>
        <v>325.1094067861851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5.85</v>
      </c>
      <c r="EJ8" s="13">
        <f>IF('Données projet'!$A$192&gt;35,EJ7+EI8-ER7,IF(A8&lt;'Données projet'!$A$192,$EG$205^A8,IF(A8='Données projet'!$A$192,'Données projet'!$B$192,EJ7+EI8-ER7)))</f>
        <v>3.2888681679860574</v>
      </c>
      <c r="EK8" s="18">
        <f>EJ8*VLOOKUP('Données projet'!$B$15,Paramètres!$A$1:$I$89,3,0)*VLOOKUP('Données projet'!$B$15,Paramètres!$A$1:$I$89,5,0)</f>
        <v>3.5401376960201922</v>
      </c>
      <c r="EL8" s="14">
        <f t="shared" si="45"/>
        <v>1.4082062691564445</v>
      </c>
      <c r="EM8" s="22">
        <f t="shared" si="19"/>
        <v>8.6183657393493096</v>
      </c>
      <c r="EN8" s="62">
        <f t="shared" si="20"/>
        <v>301.95169907268263</v>
      </c>
      <c r="EO8" s="62">
        <f ca="1">AVERAGE(OFFSET($EN$3,0,0,'Données projet'!$E$15+1,1))-AVERAGE(OFFSET($H$3,0,0,'Données projet'!$E$15+1,1))</f>
        <v>306.50593475734655</v>
      </c>
      <c r="EP8" s="62">
        <f t="shared" si="46"/>
        <v>366.48643801375079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4.3991999999999996</v>
      </c>
      <c r="D9" s="12">
        <f t="shared" si="32"/>
        <v>1.7062280291992591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47.129619874520593</v>
      </c>
      <c r="H9" s="70">
        <f t="shared" si="1"/>
        <v>303.96695381752204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3.65</v>
      </c>
      <c r="N9" s="14">
        <f>IF('Données projet'!$A$36&gt;35,N8+M9-V8,IF(A9&lt;'Données projet'!$A$36,$K$205^A9,IF(A9='Données projet'!$A$36,'Données projet'!$B$36,N8+M9-V8)))</f>
        <v>3.6224037772879885</v>
      </c>
      <c r="O9" s="14">
        <f>N9*VLOOKUP('Données projet'!$B$9,Paramètres!$A$1:$I$89,3,0)*VLOOKUP('Données projet'!$B$9,Paramètres!$A$1:$I$89,5,0)</f>
        <v>3.2775509376901719</v>
      </c>
      <c r="P9" s="14">
        <f t="shared" si="33"/>
        <v>1.315502139804245</v>
      </c>
      <c r="Q9" s="22">
        <f t="shared" si="2"/>
        <v>7.9995674433027766</v>
      </c>
      <c r="R9" s="62">
        <f t="shared" si="0"/>
        <v>301.33290077663611</v>
      </c>
      <c r="S9" s="62">
        <f ca="1">AVERAGE(OFFSET($R$3,0,0,'Données projet'!$E$9+1,1))-AVERAGE(OFFSET($H$3,0,0,'Données projet'!$E$9+1,1))</f>
        <v>312.57314929661908</v>
      </c>
      <c r="T9" s="62">
        <f t="shared" si="34"/>
        <v>190.92100876773804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3.65</v>
      </c>
      <c r="AI9" s="14">
        <f>IF('Données projet'!$A$62&gt;35,AI8+AH9-AQ8,IF(A9&lt;'Données projet'!$A$62,$AF$205^A9,IF(A9='Données projet'!$A$62,'Données projet'!$B$62,AI8+AH9-AQ8)))</f>
        <v>3.6224037772879885</v>
      </c>
      <c r="AJ9" s="14">
        <f>AI9*VLOOKUP('Données projet'!$B$10,Paramètres!$A$1:$I$89,3,0)*VLOOKUP('Données projet'!$B$10,Paramètres!$A$1:$I$89,5,0)</f>
        <v>3.6731174301700205</v>
      </c>
      <c r="AK9" s="14">
        <f t="shared" si="35"/>
        <v>1.4548453345092642</v>
      </c>
      <c r="AL9" s="22">
        <f t="shared" si="4"/>
        <v>8.9312018151497536</v>
      </c>
      <c r="AM9" s="62">
        <f t="shared" si="5"/>
        <v>302.26453514848305</v>
      </c>
      <c r="AN9" s="62">
        <f ca="1">AVERAGE(OFFSET($AM$3,0,0,'Données projet'!$E$10+1,1))-AVERAGE(OFFSET($H$3,0,0,'Données projet'!$E$10+1,1))</f>
        <v>360.56293184044779</v>
      </c>
      <c r="AO9" s="62">
        <f t="shared" si="36"/>
        <v>219.32252911220542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11.488888888888889</v>
      </c>
      <c r="BD9" s="13">
        <f>IF('Données projet'!$A$88&gt;35,BD8+BC9-BL8,IF(A9&lt;'Données projet'!$A$88,$BA$205^A9,IF(A9='Données projet'!$A$88,'Données projet'!$B$88,BD8+BC9-BL8)))</f>
        <v>5.9135759387119657</v>
      </c>
      <c r="BE9" s="14">
        <f>BD9*VLOOKUP('Données projet'!$B$11,Paramètres!$A$1:$I$89,3,0)*VLOOKUP('Données projet'!$B$11,Paramètres!$A$1:$I$89,5,0)</f>
        <v>4.3358338782636139</v>
      </c>
      <c r="BF9" s="14">
        <f t="shared" si="37"/>
        <v>1.6844939078673309</v>
      </c>
      <c r="BG9" s="22">
        <f t="shared" si="7"/>
        <v>10.485404227511395</v>
      </c>
      <c r="BH9" s="62">
        <f t="shared" si="8"/>
        <v>303.81873756084474</v>
      </c>
      <c r="BI9" s="62">
        <f ca="1">AVERAGE(OFFSET($BH$3,0,0,'Données projet'!$E$11+1,1))-AVERAGE(OFFSET($H$3,0,0,'Données projet'!$E$11+1,1))</f>
        <v>182.06733089745194</v>
      </c>
      <c r="BJ9" s="62">
        <f t="shared" si="38"/>
        <v>320.36755413886021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4.75</v>
      </c>
      <c r="BY9" s="13">
        <f>IF('Données projet'!$A$114&gt;35,BY8+BX9-CG8,IF(A9&lt;'Données projet'!$A$114,$BV$205^A9,IF(A9='Données projet'!$A$114,'Données projet'!$B$114,BY8+BX9-CG8)))</f>
        <v>3.920279951613006</v>
      </c>
      <c r="BZ9" s="14">
        <f>BY9*VLOOKUP('Données projet'!$B$12,Paramètres!$A$1:$I$89,3,0)*VLOOKUP('Données projet'!$B$12,Paramètres!$A$1:$I$89,5,0)</f>
        <v>3.4247565657291221</v>
      </c>
      <c r="CA9" s="14">
        <f t="shared" si="39"/>
        <v>1.3675741210181858</v>
      </c>
      <c r="CB9" s="22">
        <f t="shared" si="10"/>
        <v>8.3466426127515607</v>
      </c>
      <c r="CC9" s="62">
        <f t="shared" si="11"/>
        <v>301.67997594608488</v>
      </c>
      <c r="CD9" s="62">
        <f ca="1">AVERAGE(OFFSET($CC$3,0,0,'Données projet'!$E$12+1,1))-AVERAGE(OFFSET($H$3,0,0,'Données projet'!$E$12+1,1))</f>
        <v>248.60758320902863</v>
      </c>
      <c r="CE9" s="62">
        <f t="shared" si="40"/>
        <v>222.23585883330111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9.6666666666666661</v>
      </c>
      <c r="CT9" s="13">
        <f>IF('Données projet'!$A$140&gt;35,CT8+CS9-DB8,IF(A9&lt;'Données projet'!$A$140,$CQ$205^A9,IF(A9='Données projet'!$A$140,'Données projet'!$B$140,CT8+CS9-DB8)))</f>
        <v>10.770329614269009</v>
      </c>
      <c r="CU9" s="18">
        <f>CT9*VLOOKUP('Données projet'!$B$13,Paramètres!$A$1:$I$89,3,0)*VLOOKUP('Données projet'!$B$13,Paramètres!$A$1:$I$89,5,0)</f>
        <v>5.8805999693908788</v>
      </c>
      <c r="CV9" s="14">
        <f t="shared" si="41"/>
        <v>2.2050224910961043</v>
      </c>
      <c r="CW9" s="22">
        <f t="shared" si="13"/>
        <v>14.082459118681493</v>
      </c>
      <c r="CX9" s="62">
        <f t="shared" si="14"/>
        <v>307.41579245201478</v>
      </c>
      <c r="CY9" s="62">
        <f ca="1">AVERAGE(OFFSET($CX$3,0,0,'Données projet'!$E$13+1,1))-AVERAGE(OFFSET($H$3,0,0,'Données projet'!$E$13+1,1))</f>
        <v>135.44138026609272</v>
      </c>
      <c r="CZ9" s="62">
        <f t="shared" si="42"/>
        <v>254.77247578425659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5.85</v>
      </c>
      <c r="DO9" s="13">
        <f>IF('Données projet'!$A$166&gt;35,DO8+DN9-DW8,IF(A9&lt;'Données projet'!$A$166,$DL$205^A9,IF(A9='Données projet'!$A$166,'Données projet'!$B$166,DO8+DN9-DW8)))</f>
        <v>4.1730708532587206</v>
      </c>
      <c r="DP9" s="18">
        <f>DO9*VLOOKUP('Données projet'!$B$14,Paramètres!$A$1:$I$89,3,0)*VLOOKUP('Données projet'!$B$14,Paramètres!$A$1:$I$89,5,0)</f>
        <v>4.0361941292718351</v>
      </c>
      <c r="DQ9" s="14">
        <f t="shared" si="43"/>
        <v>1.5812078619818204</v>
      </c>
      <c r="DR9" s="22">
        <f t="shared" si="16"/>
        <v>9.7836418014334487</v>
      </c>
      <c r="DS9" s="62">
        <f t="shared" si="17"/>
        <v>303.11697513476679</v>
      </c>
      <c r="DT9" s="62">
        <f ca="1">AVERAGE(OFFSET($DS$3,0,0,'Données projet'!$E$14+1,1))-AVERAGE(OFFSET($H$3,0,0,'Données projet'!$E$14+1,1))</f>
        <v>271.09447278906288</v>
      </c>
      <c r="DU9" s="62">
        <f t="shared" si="44"/>
        <v>325.1094067861851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5.85</v>
      </c>
      <c r="EJ9" s="13">
        <f>IF('Données projet'!$A$192&gt;35,EJ8+EI9-ER8,IF(A9&lt;'Données projet'!$A$192,$EG$205^A9,IF(A9='Données projet'!$A$192,'Données projet'!$B$192,EJ8+EI9-ER8)))</f>
        <v>4.1730708532587206</v>
      </c>
      <c r="EK9" s="18">
        <f>EJ9*VLOOKUP('Données projet'!$B$15,Paramètres!$A$1:$I$89,3,0)*VLOOKUP('Données projet'!$B$15,Paramètres!$A$1:$I$89,5,0)</f>
        <v>4.4918934664476859</v>
      </c>
      <c r="EL9" s="14">
        <f t="shared" si="45"/>
        <v>1.7379557903309606</v>
      </c>
      <c r="EM9" s="22">
        <f t="shared" si="19"/>
        <v>10.850320788889475</v>
      </c>
      <c r="EN9" s="62">
        <f t="shared" si="20"/>
        <v>304.18365412222278</v>
      </c>
      <c r="EO9" s="62">
        <f ca="1">AVERAGE(OFFSET($EN$3,0,0,'Données projet'!$E$15+1,1))-AVERAGE(OFFSET($H$3,0,0,'Données projet'!$E$15+1,1))</f>
        <v>306.50593475734655</v>
      </c>
      <c r="EP9" s="62">
        <f t="shared" si="46"/>
        <v>366.48643801375079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5.1323999999999996</v>
      </c>
      <c r="D10" s="12">
        <f t="shared" si="32"/>
        <v>1.9552003009222731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54.711300568522809</v>
      </c>
      <c r="H10" s="70">
        <f t="shared" si="1"/>
        <v>305.67757052410627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3.65</v>
      </c>
      <c r="N10" s="14">
        <f>IF('Données projet'!$A$36&gt;35,N9+M10-V9,IF(A10&lt;'Données projet'!$A$36,$K$205^A10,IF(A10='Données projet'!$A$36,'Données projet'!$B$36,N9+M10-V9)))</f>
        <v>4.4891384635544309</v>
      </c>
      <c r="O10" s="14">
        <f>N10*VLOOKUP('Données projet'!$B$9,Paramètres!$A$1:$I$89,3,0)*VLOOKUP('Données projet'!$B$9,Paramètres!$A$1:$I$89,5,0)</f>
        <v>4.0617724818240486</v>
      </c>
      <c r="P10" s="14">
        <f t="shared" si="33"/>
        <v>1.590058719758437</v>
      </c>
      <c r="Q10" s="22">
        <f t="shared" si="2"/>
        <v>9.8436060094228282</v>
      </c>
      <c r="R10" s="62">
        <f t="shared" si="0"/>
        <v>303.17693934275616</v>
      </c>
      <c r="S10" s="62">
        <f ca="1">AVERAGE(OFFSET($R$3,0,0,'Données projet'!$E$9+1,1))-AVERAGE(OFFSET($H$3,0,0,'Données projet'!$E$9+1,1))</f>
        <v>312.57314929661908</v>
      </c>
      <c r="T10" s="62">
        <f t="shared" si="34"/>
        <v>190.92100876773804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3.65</v>
      </c>
      <c r="AI10" s="14">
        <f>IF('Données projet'!$A$62&gt;35,AI9+AH10-AQ9,IF(A10&lt;'Données projet'!$A$62,$AF$205^A10,IF(A10='Données projet'!$A$62,'Données projet'!$B$62,AI9+AH10-AQ9)))</f>
        <v>4.4891384635544309</v>
      </c>
      <c r="AJ10" s="14">
        <f>AI10*VLOOKUP('Données projet'!$B$10,Paramètres!$A$1:$I$89,3,0)*VLOOKUP('Données projet'!$B$10,Paramètres!$A$1:$I$89,5,0)</f>
        <v>4.5519864020441929</v>
      </c>
      <c r="AK10" s="14">
        <f t="shared" si="35"/>
        <v>1.7584840343783612</v>
      </c>
      <c r="AL10" s="22">
        <f t="shared" si="4"/>
        <v>10.990736010102614</v>
      </c>
      <c r="AM10" s="62">
        <f t="shared" si="5"/>
        <v>304.32406934343595</v>
      </c>
      <c r="AN10" s="62">
        <f ca="1">AVERAGE(OFFSET($AM$3,0,0,'Données projet'!$E$10+1,1))-AVERAGE(OFFSET($H$3,0,0,'Données projet'!$E$10+1,1))</f>
        <v>360.56293184044779</v>
      </c>
      <c r="AO10" s="62">
        <f t="shared" si="36"/>
        <v>219.32252911220542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11.488888888888889</v>
      </c>
      <c r="BD10" s="13">
        <f>IF('Données projet'!$A$88&gt;35,BD9+BC10-BL9,IF(A10&lt;'Données projet'!$A$88,$BA$205^A10,IF(A10='Données projet'!$A$88,'Données projet'!$B$88,BD9+BC10-BL9)))</f>
        <v>7.9522838694055888</v>
      </c>
      <c r="BE10" s="14">
        <f>BD10*VLOOKUP('Données projet'!$B$11,Paramètres!$A$1:$I$89,3,0)*VLOOKUP('Données projet'!$B$11,Paramètres!$A$1:$I$89,5,0)</f>
        <v>5.8306145330481778</v>
      </c>
      <c r="BF10" s="14">
        <f t="shared" si="37"/>
        <v>2.1884531187611276</v>
      </c>
      <c r="BG10" s="22">
        <f t="shared" si="7"/>
        <v>13.966542826901206</v>
      </c>
      <c r="BH10" s="62">
        <f t="shared" si="8"/>
        <v>307.29987616023453</v>
      </c>
      <c r="BI10" s="62">
        <f ca="1">AVERAGE(OFFSET($BH$3,0,0,'Données projet'!$E$11+1,1))-AVERAGE(OFFSET($H$3,0,0,'Données projet'!$E$11+1,1))</f>
        <v>182.06733089745194</v>
      </c>
      <c r="BJ10" s="62">
        <f t="shared" si="38"/>
        <v>320.36755413886021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4.75</v>
      </c>
      <c r="BY10" s="13">
        <f>IF('Données projet'!$A$114&gt;35,BY9+BX10-CG9,IF(A10&lt;'Données projet'!$A$114,$BV$205^A10,IF(A10='Données projet'!$A$114,'Données projet'!$B$114,BY9+BX10-CG9)))</f>
        <v>4.9226987771675601</v>
      </c>
      <c r="BZ10" s="14">
        <f>BY10*VLOOKUP('Données projet'!$B$12,Paramètres!$A$1:$I$89,3,0)*VLOOKUP('Données projet'!$B$12,Paramètres!$A$1:$I$89,5,0)</f>
        <v>4.3004696517335805</v>
      </c>
      <c r="CA10" s="14">
        <f t="shared" si="39"/>
        <v>1.6723481835913181</v>
      </c>
      <c r="CB10" s="22">
        <f t="shared" si="10"/>
        <v>10.40265772985753</v>
      </c>
      <c r="CC10" s="62">
        <f t="shared" si="11"/>
        <v>303.73599106319085</v>
      </c>
      <c r="CD10" s="62">
        <f ca="1">AVERAGE(OFFSET($CC$3,0,0,'Données projet'!$E$12+1,1))-AVERAGE(OFFSET($H$3,0,0,'Données projet'!$E$12+1,1))</f>
        <v>248.60758320902863</v>
      </c>
      <c r="CE10" s="62">
        <f t="shared" si="40"/>
        <v>222.23585883330111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9.6666666666666661</v>
      </c>
      <c r="CT10" s="13">
        <f>IF('Données projet'!$A$140&gt;35,CT9+CS10-DB9,IF(A10&lt;'Données projet'!$A$140,$CQ$205^A10,IF(A10='Données projet'!$A$140,'Données projet'!$B$140,CT9+CS10-DB9)))</f>
        <v>16.005423146694032</v>
      </c>
      <c r="CU10" s="18">
        <f>CT10*VLOOKUP('Données projet'!$B$13,Paramètres!$A$1:$I$89,3,0)*VLOOKUP('Données projet'!$B$13,Paramètres!$A$1:$I$89,5,0)</f>
        <v>8.7389610380949421</v>
      </c>
      <c r="CV10" s="14">
        <f t="shared" si="41"/>
        <v>3.1291468639233355</v>
      </c>
      <c r="CW10" s="22">
        <f t="shared" si="13"/>
        <v>20.6702879293485</v>
      </c>
      <c r="CX10" s="62">
        <f t="shared" si="14"/>
        <v>314.0036212626818</v>
      </c>
      <c r="CY10" s="62">
        <f ca="1">AVERAGE(OFFSET($CX$3,0,0,'Données projet'!$E$13+1,1))-AVERAGE(OFFSET($H$3,0,0,'Données projet'!$E$13+1,1))</f>
        <v>135.44138026609272</v>
      </c>
      <c r="CZ10" s="62">
        <f t="shared" si="42"/>
        <v>254.77247578425659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5.85</v>
      </c>
      <c r="DO10" s="13">
        <f>IF('Données projet'!$A$166&gt;35,DO9+DN10-DW9,IF(A10&lt;'Données projet'!$A$166,$DL$205^A10,IF(A10='Données projet'!$A$166,'Données projet'!$B$166,DO9+DN10-DW9)))</f>
        <v>5.2949888705880443</v>
      </c>
      <c r="DP10" s="18">
        <f>DO10*VLOOKUP('Données projet'!$B$14,Paramètres!$A$1:$I$89,3,0)*VLOOKUP('Données projet'!$B$14,Paramètres!$A$1:$I$89,5,0)</f>
        <v>5.1213132356327566</v>
      </c>
      <c r="DQ10" s="14">
        <f t="shared" si="43"/>
        <v>1.9514679203170395</v>
      </c>
      <c r="DR10" s="22">
        <f t="shared" si="16"/>
        <v>12.318427179945894</v>
      </c>
      <c r="DS10" s="62">
        <f t="shared" si="17"/>
        <v>305.65176051327921</v>
      </c>
      <c r="DT10" s="62">
        <f ca="1">AVERAGE(OFFSET($DS$3,0,0,'Données projet'!$E$14+1,1))-AVERAGE(OFFSET($H$3,0,0,'Données projet'!$E$14+1,1))</f>
        <v>271.09447278906288</v>
      </c>
      <c r="DU10" s="62">
        <f t="shared" si="44"/>
        <v>325.1094067861851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5.85</v>
      </c>
      <c r="EJ10" s="13">
        <f>IF('Données projet'!$A$192&gt;35,EJ9+EI10-ER9,IF(A10&lt;'Données projet'!$A$192,$EG$205^A10,IF(A10='Données projet'!$A$192,'Données projet'!$B$192,EJ9+EI10-ER9)))</f>
        <v>5.2949888705880443</v>
      </c>
      <c r="EK10" s="18">
        <f>EJ10*VLOOKUP('Données projet'!$B$15,Paramètres!$A$1:$I$89,3,0)*VLOOKUP('Données projet'!$B$15,Paramètres!$A$1:$I$89,5,0)</f>
        <v>5.6995260203009703</v>
      </c>
      <c r="EL10" s="14">
        <f t="shared" si="45"/>
        <v>2.1449203822635123</v>
      </c>
      <c r="EM10" s="22">
        <f t="shared" si="19"/>
        <v>13.662410817799808</v>
      </c>
      <c r="EN10" s="62">
        <f t="shared" si="20"/>
        <v>306.99574415113312</v>
      </c>
      <c r="EO10" s="62">
        <f ca="1">AVERAGE(OFFSET($EN$3,0,0,'Données projet'!$E$15+1,1))-AVERAGE(OFFSET($H$3,0,0,'Données projet'!$E$15+1,1))</f>
        <v>306.50593475734655</v>
      </c>
      <c r="EP10" s="62">
        <f t="shared" si="46"/>
        <v>366.48643801375079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5.8655999999999997</v>
      </c>
      <c r="D11" s="12">
        <f t="shared" si="32"/>
        <v>2.2000519691514757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62.261173095204363</v>
      </c>
      <c r="H11" s="70">
        <f t="shared" si="1"/>
        <v>307.38101051293881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3.65</v>
      </c>
      <c r="N11" s="14">
        <f>IF('Données projet'!$A$36&gt;35,N10+M11-V10,IF(A11&lt;'Données projet'!$A$36,$K$205^A11,IF(A11='Données projet'!$A$36,'Données projet'!$B$36,N10+M11-V10)))</f>
        <v>5.563257268920875</v>
      </c>
      <c r="O11" s="14">
        <f>N11*VLOOKUP('Données projet'!$B$9,Paramètres!$A$1:$I$89,3,0)*VLOOKUP('Données projet'!$B$9,Paramètres!$A$1:$I$89,5,0)</f>
        <v>5.0336351769196082</v>
      </c>
      <c r="P11" s="14">
        <f t="shared" si="33"/>
        <v>1.9219176128866391</v>
      </c>
      <c r="Q11" s="22">
        <f t="shared" si="2"/>
        <v>12.11425444224588</v>
      </c>
      <c r="R11" s="62">
        <f t="shared" si="0"/>
        <v>305.44758777557922</v>
      </c>
      <c r="S11" s="62">
        <f ca="1">AVERAGE(OFFSET($R$3,0,0,'Données projet'!$E$9+1,1))-AVERAGE(OFFSET($H$3,0,0,'Données projet'!$E$9+1,1))</f>
        <v>312.57314929661908</v>
      </c>
      <c r="T11" s="62">
        <f t="shared" si="34"/>
        <v>190.92100876773804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3.65</v>
      </c>
      <c r="AI11" s="14">
        <f>IF('Données projet'!$A$62&gt;35,AI10+AH11-AQ10,IF(A11&lt;'Données projet'!$A$62,$AF$205^A11,IF(A11='Données projet'!$A$62,'Données projet'!$B$62,AI10+AH11-AQ10)))</f>
        <v>5.563257268920875</v>
      </c>
      <c r="AJ11" s="14">
        <f>AI11*VLOOKUP('Données projet'!$B$10,Paramètres!$A$1:$I$89,3,0)*VLOOKUP('Données projet'!$B$10,Paramètres!$A$1:$I$89,5,0)</f>
        <v>5.6411428706857674</v>
      </c>
      <c r="AK11" s="14">
        <f t="shared" si="35"/>
        <v>2.125494735292019</v>
      </c>
      <c r="AL11" s="22">
        <f t="shared" si="4"/>
        <v>13.526893830411311</v>
      </c>
      <c r="AM11" s="62">
        <f t="shared" si="5"/>
        <v>306.86022716374464</v>
      </c>
      <c r="AN11" s="62">
        <f ca="1">AVERAGE(OFFSET($AM$3,0,0,'Données projet'!$E$10+1,1))-AVERAGE(OFFSET($H$3,0,0,'Données projet'!$E$10+1,1))</f>
        <v>360.56293184044779</v>
      </c>
      <c r="AO11" s="62">
        <f t="shared" si="36"/>
        <v>219.32252911220542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11.488888888888889</v>
      </c>
      <c r="BD11" s="13">
        <f>IF('Données projet'!$A$88&gt;35,BD10+BC11-BL10,IF(A11&lt;'Données projet'!$A$88,$BA$205^A11,IF(A11='Données projet'!$A$88,'Données projet'!$B$88,BD10+BC11-BL10)))</f>
        <v>10.69383726445937</v>
      </c>
      <c r="BE11" s="14">
        <f>BD11*VLOOKUP('Données projet'!$B$11,Paramètres!$A$1:$I$89,3,0)*VLOOKUP('Données projet'!$B$11,Paramètres!$A$1:$I$89,5,0)</f>
        <v>7.8407214823016096</v>
      </c>
      <c r="BF11" s="14">
        <f t="shared" si="37"/>
        <v>2.8431845497612267</v>
      </c>
      <c r="BG11" s="22">
        <f t="shared" si="7"/>
        <v>18.607803005842772</v>
      </c>
      <c r="BH11" s="62">
        <f t="shared" si="8"/>
        <v>311.94113633917607</v>
      </c>
      <c r="BI11" s="62">
        <f ca="1">AVERAGE(OFFSET($BH$3,0,0,'Données projet'!$E$11+1,1))-AVERAGE(OFFSET($H$3,0,0,'Données projet'!$E$11+1,1))</f>
        <v>182.06733089745194</v>
      </c>
      <c r="BJ11" s="62">
        <f t="shared" si="38"/>
        <v>320.36755413886021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4.75</v>
      </c>
      <c r="BY11" s="13">
        <f>IF('Données projet'!$A$114&gt;35,BY10+BX11-CG10,IF(A11&lt;'Données projet'!$A$114,$BV$205^A11,IF(A11='Données projet'!$A$114,'Données projet'!$B$114,BY10+BX11-CG10)))</f>
        <v>6.1814369253798551</v>
      </c>
      <c r="BZ11" s="14">
        <f>BY11*VLOOKUP('Données projet'!$B$12,Paramètres!$A$1:$I$89,3,0)*VLOOKUP('Données projet'!$B$12,Paramètres!$A$1:$I$89,5,0)</f>
        <v>5.4001032980118424</v>
      </c>
      <c r="CA11" s="14">
        <f t="shared" si="39"/>
        <v>2.0450434124030847</v>
      </c>
      <c r="CB11" s="22">
        <f t="shared" si="10"/>
        <v>12.966963853972665</v>
      </c>
      <c r="CC11" s="62">
        <f t="shared" si="11"/>
        <v>306.300297187306</v>
      </c>
      <c r="CD11" s="62">
        <f ca="1">AVERAGE(OFFSET($CC$3,0,0,'Données projet'!$E$12+1,1))-AVERAGE(OFFSET($H$3,0,0,'Données projet'!$E$12+1,1))</f>
        <v>248.60758320902863</v>
      </c>
      <c r="CE11" s="62">
        <f t="shared" si="40"/>
        <v>222.23585883330111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9.6666666666666661</v>
      </c>
      <c r="CT11" s="13">
        <f>IF('Données projet'!$A$140&gt;35,CT10+CS11-DB10,IF(A11&lt;'Données projet'!$A$140,$CQ$205^A11,IF(A11='Données projet'!$A$140,'Données projet'!$B$140,CT10+CS11-DB10)))</f>
        <v>23.785118866310182</v>
      </c>
      <c r="CU11" s="18">
        <f>CT11*VLOOKUP('Données projet'!$B$13,Paramètres!$A$1:$I$89,3,0)*VLOOKUP('Données projet'!$B$13,Paramètres!$A$1:$I$89,5,0)</f>
        <v>12.98667490100536</v>
      </c>
      <c r="CV11" s="14">
        <f t="shared" si="41"/>
        <v>4.4405715295601897</v>
      </c>
      <c r="CW11" s="22">
        <f t="shared" si="13"/>
        <v>30.352454199901668</v>
      </c>
      <c r="CX11" s="62">
        <f t="shared" si="14"/>
        <v>323.68578753323499</v>
      </c>
      <c r="CY11" s="62">
        <f ca="1">AVERAGE(OFFSET($CX$3,0,0,'Données projet'!$E$13+1,1))-AVERAGE(OFFSET($H$3,0,0,'Données projet'!$E$13+1,1))</f>
        <v>135.44138026609272</v>
      </c>
      <c r="CZ11" s="62">
        <f t="shared" si="42"/>
        <v>254.77247578425659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5.85</v>
      </c>
      <c r="DO11" s="13">
        <f>IF('Données projet'!$A$166&gt;35,DO10+DN11-DW10,IF(A11&lt;'Données projet'!$A$166,$DL$205^A11,IF(A11='Données projet'!$A$166,'Données projet'!$B$166,DO10+DN11-DW10)))</f>
        <v>6.718531298781433</v>
      </c>
      <c r="DP11" s="18">
        <f>DO11*VLOOKUP('Données projet'!$B$14,Paramètres!$A$1:$I$89,3,0)*VLOOKUP('Données projet'!$B$14,Paramètres!$A$1:$I$89,5,0)</f>
        <v>6.4981634721814023</v>
      </c>
      <c r="DQ11" s="14">
        <f t="shared" si="43"/>
        <v>2.4084291101698909</v>
      </c>
      <c r="DR11" s="22">
        <f t="shared" si="16"/>
        <v>15.512315414261836</v>
      </c>
      <c r="DS11" s="62">
        <f t="shared" si="17"/>
        <v>308.84564874759513</v>
      </c>
      <c r="DT11" s="62">
        <f ca="1">AVERAGE(OFFSET($DS$3,0,0,'Données projet'!$E$14+1,1))-AVERAGE(OFFSET($H$3,0,0,'Données projet'!$E$14+1,1))</f>
        <v>271.09447278906288</v>
      </c>
      <c r="DU11" s="62">
        <f t="shared" si="44"/>
        <v>325.1094067861851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5.85</v>
      </c>
      <c r="EJ11" s="13">
        <f>IF('Données projet'!$A$192&gt;35,EJ10+EI11-ER10,IF(A11&lt;'Données projet'!$A$192,$EG$205^A11,IF(A11='Données projet'!$A$192,'Données projet'!$B$192,EJ10+EI11-ER10)))</f>
        <v>6.718531298781433</v>
      </c>
      <c r="EK11" s="18">
        <f>EJ11*VLOOKUP('Données projet'!$B$15,Paramètres!$A$1:$I$89,3,0)*VLOOKUP('Données projet'!$B$15,Paramètres!$A$1:$I$89,5,0)</f>
        <v>7.2318270900083341</v>
      </c>
      <c r="EL11" s="14">
        <f t="shared" si="45"/>
        <v>2.6471809420269188</v>
      </c>
      <c r="EM11" s="22">
        <f t="shared" si="19"/>
        <v>17.205938989128065</v>
      </c>
      <c r="EN11" s="62">
        <f t="shared" si="20"/>
        <v>310.53927232246139</v>
      </c>
      <c r="EO11" s="62">
        <f ca="1">AVERAGE(OFFSET($EN$3,0,0,'Données projet'!$E$15+1,1))-AVERAGE(OFFSET($H$3,0,0,'Données projet'!$E$15+1,1))</f>
        <v>306.50593475734655</v>
      </c>
      <c r="EP11" s="62">
        <f t="shared" si="46"/>
        <v>366.48643801375079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6.5987999999999998</v>
      </c>
      <c r="D12" s="12">
        <f t="shared" si="32"/>
        <v>2.4413570988248194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69.783668833033701</v>
      </c>
      <c r="H12" s="70">
        <f t="shared" si="1"/>
        <v>309.07827361378656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3.65</v>
      </c>
      <c r="N12" s="14">
        <f>IF('Données projet'!$A$36&gt;35,N11+M12-V11,IF(A12&lt;'Données projet'!$A$36,$K$205^A12,IF(A12='Données projet'!$A$36,'Données projet'!$B$36,N11+M12-V11)))</f>
        <v>6.8943811137639424</v>
      </c>
      <c r="O12" s="14">
        <f>N12*VLOOKUP('Données projet'!$B$9,Paramètres!$A$1:$I$89,3,0)*VLOOKUP('Données projet'!$B$9,Paramètres!$A$1:$I$89,5,0)</f>
        <v>6.2380360317336141</v>
      </c>
      <c r="P12" s="14">
        <f t="shared" si="33"/>
        <v>2.3230383034439352</v>
      </c>
      <c r="Q12" s="22">
        <f t="shared" si="2"/>
        <v>14.910537800434229</v>
      </c>
      <c r="R12" s="62">
        <f t="shared" si="0"/>
        <v>308.24387113376753</v>
      </c>
      <c r="S12" s="62">
        <f ca="1">AVERAGE(OFFSET($R$3,0,0,'Données projet'!$E$9+1,1))-AVERAGE(OFFSET($H$3,0,0,'Données projet'!$E$9+1,1))</f>
        <v>312.57314929661908</v>
      </c>
      <c r="T12" s="62">
        <f t="shared" si="34"/>
        <v>190.92100876773804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3.65</v>
      </c>
      <c r="AI12" s="14">
        <f>IF('Données projet'!$A$62&gt;35,AI11+AH12-AQ11,IF(A12&lt;'Données projet'!$A$62,$AF$205^A12,IF(A12='Données projet'!$A$62,'Données projet'!$B$62,AI11+AH12-AQ11)))</f>
        <v>6.8943811137639424</v>
      </c>
      <c r="AJ12" s="14">
        <f>AI12*VLOOKUP('Données projet'!$B$10,Paramètres!$A$1:$I$89,3,0)*VLOOKUP('Données projet'!$B$10,Paramètres!$A$1:$I$89,5,0)</f>
        <v>6.9909024493566383</v>
      </c>
      <c r="AK12" s="14">
        <f t="shared" si="35"/>
        <v>2.5691037174250742</v>
      </c>
      <c r="AL12" s="22">
        <f t="shared" si="4"/>
        <v>16.650344073811482</v>
      </c>
      <c r="AM12" s="62">
        <f t="shared" si="5"/>
        <v>309.9836774071448</v>
      </c>
      <c r="AN12" s="62">
        <f ca="1">AVERAGE(OFFSET($AM$3,0,0,'Données projet'!$E$10+1,1))-AVERAGE(OFFSET($H$3,0,0,'Données projet'!$E$10+1,1))</f>
        <v>360.56293184044779</v>
      </c>
      <c r="AO12" s="62">
        <f t="shared" si="36"/>
        <v>219.32252911220542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11.488888888888889</v>
      </c>
      <c r="BD12" s="13">
        <f>IF('Données projet'!$A$88&gt;35,BD11+BC12-BL11,IF(A12&lt;'Données projet'!$A$88,$BA$205^A12,IF(A12='Données projet'!$A$88,'Données projet'!$B$88,BD11+BC12-BL11)))</f>
        <v>14.380542409798034</v>
      </c>
      <c r="BE12" s="14">
        <f>BD12*VLOOKUP('Données projet'!$B$11,Paramètres!$A$1:$I$89,3,0)*VLOOKUP('Données projet'!$B$11,Paramètres!$A$1:$I$89,5,0)</f>
        <v>10.543813694863918</v>
      </c>
      <c r="BF12" s="14">
        <f t="shared" si="37"/>
        <v>3.6937955465900449</v>
      </c>
      <c r="BG12" s="22">
        <f t="shared" si="7"/>
        <v>24.797169428865654</v>
      </c>
      <c r="BH12" s="62">
        <f t="shared" si="8"/>
        <v>318.13050276219894</v>
      </c>
      <c r="BI12" s="62">
        <f ca="1">AVERAGE(OFFSET($BH$3,0,0,'Données projet'!$E$11+1,1))-AVERAGE(OFFSET($H$3,0,0,'Données projet'!$E$11+1,1))</f>
        <v>182.06733089745194</v>
      </c>
      <c r="BJ12" s="62">
        <f t="shared" si="38"/>
        <v>320.36755413886021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4.75</v>
      </c>
      <c r="BY12" s="13">
        <f>IF('Données projet'!$A$114&gt;35,BY11+BX12-CG11,IF(A12&lt;'Données projet'!$A$114,$BV$205^A12,IF(A12='Données projet'!$A$114,'Données projet'!$B$114,BY11+BX12-CG11)))</f>
        <v>7.7620354590201153</v>
      </c>
      <c r="BZ12" s="14">
        <f>BY12*VLOOKUP('Données projet'!$B$12,Paramètres!$A$1:$I$89,3,0)*VLOOKUP('Données projet'!$B$12,Paramètres!$A$1:$I$89,5,0)</f>
        <v>6.7809141769999739</v>
      </c>
      <c r="CA12" s="14">
        <f t="shared" si="39"/>
        <v>2.5007965444325708</v>
      </c>
      <c r="CB12" s="22">
        <f t="shared" si="10"/>
        <v>16.165646173161679</v>
      </c>
      <c r="CC12" s="62">
        <f t="shared" si="11"/>
        <v>309.498979506495</v>
      </c>
      <c r="CD12" s="62">
        <f ca="1">AVERAGE(OFFSET($CC$3,0,0,'Données projet'!$E$12+1,1))-AVERAGE(OFFSET($H$3,0,0,'Données projet'!$E$12+1,1))</f>
        <v>248.60758320902863</v>
      </c>
      <c r="CE12" s="62">
        <f t="shared" si="40"/>
        <v>222.23585883330111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9.6666666666666661</v>
      </c>
      <c r="CT12" s="13">
        <f>IF('Données projet'!$A$140&gt;35,CT11+CS12-DB11,IF(A12&lt;'Données projet'!$A$140,$CQ$205^A12,IF(A12='Données projet'!$A$140,'Données projet'!$B$140,CT11+CS12-DB11)))</f>
        <v>35.346261970047209</v>
      </c>
      <c r="CU12" s="18">
        <f>CT12*VLOOKUP('Données projet'!$B$13,Paramètres!$A$1:$I$89,3,0)*VLOOKUP('Données projet'!$B$13,Paramètres!$A$1:$I$89,5,0)</f>
        <v>19.299059035645776</v>
      </c>
      <c r="CV12" s="14">
        <f t="shared" si="41"/>
        <v>6.301613943558138</v>
      </c>
      <c r="CW12" s="22">
        <f t="shared" si="13"/>
        <v>44.587838772113486</v>
      </c>
      <c r="CX12" s="62">
        <f t="shared" si="14"/>
        <v>337.92117210544677</v>
      </c>
      <c r="CY12" s="62">
        <f ca="1">AVERAGE(OFFSET($CX$3,0,0,'Données projet'!$E$13+1,1))-AVERAGE(OFFSET($H$3,0,0,'Données projet'!$E$13+1,1))</f>
        <v>135.44138026609272</v>
      </c>
      <c r="CZ12" s="62">
        <f t="shared" si="42"/>
        <v>254.77247578425659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5.85</v>
      </c>
      <c r="DO12" s="13">
        <f>IF('Données projet'!$A$166&gt;35,DO11+DN12-DW11,IF(A12&lt;'Données projet'!$A$166,$DL$205^A12,IF(A12='Données projet'!$A$166,'Données projet'!$B$166,DO11+DN12-DW11)))</f>
        <v>8.5247889874587734</v>
      </c>
      <c r="DP12" s="18">
        <f>DO12*VLOOKUP('Données projet'!$B$14,Paramètres!$A$1:$I$89,3,0)*VLOOKUP('Données projet'!$B$14,Paramètres!$A$1:$I$89,5,0)</f>
        <v>8.2451759086701255</v>
      </c>
      <c r="DQ12" s="14">
        <f t="shared" si="43"/>
        <v>2.9723936111495837</v>
      </c>
      <c r="DR12" s="22">
        <f t="shared" si="16"/>
        <v>19.537266913685993</v>
      </c>
      <c r="DS12" s="62">
        <f t="shared" si="17"/>
        <v>312.8706002470193</v>
      </c>
      <c r="DT12" s="62">
        <f ca="1">AVERAGE(OFFSET($DS$3,0,0,'Données projet'!$E$14+1,1))-AVERAGE(OFFSET($H$3,0,0,'Données projet'!$E$14+1,1))</f>
        <v>271.09447278906288</v>
      </c>
      <c r="DU12" s="62">
        <f t="shared" si="44"/>
        <v>325.1094067861851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5.85</v>
      </c>
      <c r="EJ12" s="13">
        <f>IF('Données projet'!$A$192&gt;35,EJ11+EI12-ER11,IF(A12&lt;'Données projet'!$A$192,$EG$205^A12,IF(A12='Données projet'!$A$192,'Données projet'!$B$192,EJ11+EI12-ER11)))</f>
        <v>8.5247889874587734</v>
      </c>
      <c r="EK12" s="18">
        <f>EJ12*VLOOKUP('Données projet'!$B$15,Paramètres!$A$1:$I$89,3,0)*VLOOKUP('Données projet'!$B$15,Paramètres!$A$1:$I$89,5,0)</f>
        <v>9.1760828661006233</v>
      </c>
      <c r="EL12" s="14">
        <f t="shared" si="45"/>
        <v>3.2670522401561191</v>
      </c>
      <c r="EM12" s="22">
        <f t="shared" si="19"/>
        <v>21.671793643397155</v>
      </c>
      <c r="EN12" s="62">
        <f t="shared" si="20"/>
        <v>315.00512697673048</v>
      </c>
      <c r="EO12" s="62">
        <f ca="1">AVERAGE(OFFSET($EN$3,0,0,'Données projet'!$E$15+1,1))-AVERAGE(OFFSET($H$3,0,0,'Données projet'!$E$15+1,1))</f>
        <v>306.50593475734655</v>
      </c>
      <c r="EP12" s="62">
        <f t="shared" si="46"/>
        <v>366.48643801375079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7.3319999999999999</v>
      </c>
      <c r="D13" s="12">
        <f t="shared" si="32"/>
        <v>2.6795547009841778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77.282176639176114</v>
      </c>
      <c r="H13" s="70">
        <f t="shared" si="1"/>
        <v>310.77012443754745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3.65</v>
      </c>
      <c r="N13" s="14">
        <f>IF('Données projet'!$A$36&gt;35,N12+M13-V12,IF(A13&lt;'Données projet'!$A$36,$K$205^A13,IF(A13='Données projet'!$A$36,'Données projet'!$B$36,N12+M13-V12)))</f>
        <v>8.5440037453175322</v>
      </c>
      <c r="O13" s="14">
        <f>N13*VLOOKUP('Données projet'!$B$9,Paramètres!$A$1:$I$89,3,0)*VLOOKUP('Données projet'!$B$9,Paramètres!$A$1:$I$89,5,0)</f>
        <v>7.7306145887633031</v>
      </c>
      <c r="P13" s="14">
        <f t="shared" si="33"/>
        <v>2.8078763226288115</v>
      </c>
      <c r="Q13" s="22">
        <f t="shared" si="2"/>
        <v>18.354538337341264</v>
      </c>
      <c r="R13" s="62">
        <f t="shared" si="0"/>
        <v>311.68787167067455</v>
      </c>
      <c r="S13" s="62">
        <f ca="1">AVERAGE(OFFSET($R$3,0,0,'Données projet'!$E$9+1,1))-AVERAGE(OFFSET($H$3,0,0,'Données projet'!$E$9+1,1))</f>
        <v>312.57314929661908</v>
      </c>
      <c r="T13" s="62">
        <f t="shared" si="34"/>
        <v>190.92100876773804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3.65</v>
      </c>
      <c r="AI13" s="14">
        <f>IF('Données projet'!$A$62&gt;35,AI12+AH13-AQ12,IF(A13&lt;'Données projet'!$A$62,$AF$205^A13,IF(A13='Données projet'!$A$62,'Données projet'!$B$62,AI12+AH13-AQ12)))</f>
        <v>8.5440037453175322</v>
      </c>
      <c r="AJ13" s="14">
        <f>AI13*VLOOKUP('Données projet'!$B$10,Paramètres!$A$1:$I$89,3,0)*VLOOKUP('Données projet'!$B$10,Paramètres!$A$1:$I$89,5,0)</f>
        <v>8.6636197977519771</v>
      </c>
      <c r="AK13" s="14">
        <f t="shared" si="35"/>
        <v>3.1052976990698267</v>
      </c>
      <c r="AL13" s="22">
        <f t="shared" si="4"/>
        <v>20.497531306964643</v>
      </c>
      <c r="AM13" s="62">
        <f t="shared" si="5"/>
        <v>313.83086464029793</v>
      </c>
      <c r="AN13" s="62">
        <f ca="1">AVERAGE(OFFSET($AM$3,0,0,'Données projet'!$E$10+1,1))-AVERAGE(OFFSET($H$3,0,0,'Données projet'!$E$10+1,1))</f>
        <v>360.56293184044779</v>
      </c>
      <c r="AO13" s="62">
        <f t="shared" si="36"/>
        <v>219.32252911220542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11.488888888888889</v>
      </c>
      <c r="BD13" s="13">
        <f>IF('Données projet'!$A$88&gt;35,BD12+BC13-BL12,IF(A13&lt;'Données projet'!$A$88,$BA$205^A13,IF(A13='Données projet'!$A$88,'Données projet'!$B$88,BD12+BC13-BL12)))</f>
        <v>19.338240791010826</v>
      </c>
      <c r="BE13" s="14">
        <f>BD13*VLOOKUP('Données projet'!$B$11,Paramètres!$A$1:$I$89,3,0)*VLOOKUP('Données projet'!$B$11,Paramètres!$A$1:$I$89,5,0)</f>
        <v>14.178798147969138</v>
      </c>
      <c r="BF13" s="14">
        <f t="shared" si="37"/>
        <v>4.7988884651030821</v>
      </c>
      <c r="BG13" s="22">
        <f t="shared" si="7"/>
        <v>33.052804184434116</v>
      </c>
      <c r="BH13" s="62">
        <f t="shared" si="8"/>
        <v>326.38613751776745</v>
      </c>
      <c r="BI13" s="62">
        <f ca="1">AVERAGE(OFFSET($BH$3,0,0,'Données projet'!$E$11+1,1))-AVERAGE(OFFSET($H$3,0,0,'Données projet'!$E$11+1,1))</f>
        <v>182.06733089745194</v>
      </c>
      <c r="BJ13" s="62">
        <f t="shared" si="38"/>
        <v>320.36755413886021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4.75</v>
      </c>
      <c r="BY13" s="13">
        <f>IF('Données projet'!$A$114&gt;35,BY12+BX13-CG12,IF(A13&lt;'Données projet'!$A$114,$BV$205^A13,IF(A13='Données projet'!$A$114,'Données projet'!$B$114,BY12+BX13-CG12)))</f>
        <v>9.7467943448089507</v>
      </c>
      <c r="BZ13" s="14">
        <f>BY13*VLOOKUP('Données projet'!$B$12,Paramètres!$A$1:$I$89,3,0)*VLOOKUP('Données projet'!$B$12,Paramètres!$A$1:$I$89,5,0)</f>
        <v>8.5147995396251002</v>
      </c>
      <c r="CA13" s="14">
        <f t="shared" si="39"/>
        <v>3.0581176510561066</v>
      </c>
      <c r="CB13" s="22">
        <f t="shared" si="10"/>
        <v>20.156164107103098</v>
      </c>
      <c r="CC13" s="62">
        <f t="shared" si="11"/>
        <v>313.48949744043642</v>
      </c>
      <c r="CD13" s="62">
        <f ca="1">AVERAGE(OFFSET($CC$3,0,0,'Données projet'!$E$12+1,1))-AVERAGE(OFFSET($H$3,0,0,'Données projet'!$E$12+1,1))</f>
        <v>248.60758320902863</v>
      </c>
      <c r="CE13" s="62">
        <f t="shared" si="40"/>
        <v>222.23585883330111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9.6666666666666661</v>
      </c>
      <c r="CT13" s="13">
        <f>IF('Données projet'!$A$140&gt;35,CT12+CS13-DB12,IF(A13&lt;'Données projet'!$A$140,$CQ$205^A13,IF(A13='Données projet'!$A$140,'Données projet'!$B$140,CT12+CS13-DB12)))</f>
        <v>52.526886339207103</v>
      </c>
      <c r="CU13" s="18">
        <f>CT13*VLOOKUP('Données projet'!$B$13,Paramètres!$A$1:$I$89,3,0)*VLOOKUP('Données projet'!$B$13,Paramètres!$A$1:$I$89,5,0)</f>
        <v>28.679679941207077</v>
      </c>
      <c r="CV13" s="14">
        <f t="shared" si="41"/>
        <v>8.9426187663684367</v>
      </c>
      <c r="CW13" s="22">
        <f t="shared" si="13"/>
        <v>65.525503582360685</v>
      </c>
      <c r="CX13" s="62">
        <f t="shared" si="14"/>
        <v>358.85883691569398</v>
      </c>
      <c r="CY13" s="62">
        <f ca="1">AVERAGE(OFFSET($CX$3,0,0,'Données projet'!$E$13+1,1))-AVERAGE(OFFSET($H$3,0,0,'Données projet'!$E$13+1,1))</f>
        <v>135.44138026609272</v>
      </c>
      <c r="CZ13" s="62">
        <f t="shared" si="42"/>
        <v>254.77247578425659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0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0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5.85</v>
      </c>
      <c r="DO13" s="13">
        <f>IF('Données projet'!$A$166&gt;35,DO12+DN13-DW12,IF(A13&lt;'Données projet'!$A$166,$DL$205^A13,IF(A13='Données projet'!$A$166,'Données projet'!$B$166,DO12+DN13-DW12)))</f>
        <v>10.816653826391967</v>
      </c>
      <c r="DP13" s="18">
        <f>DO13*VLOOKUP('Données projet'!$B$14,Paramètres!$A$1:$I$89,3,0)*VLOOKUP('Données projet'!$B$14,Paramètres!$A$1:$I$89,5,0)</f>
        <v>10.46186758088631</v>
      </c>
      <c r="DQ13" s="14">
        <f t="shared" si="43"/>
        <v>3.6684176180629335</v>
      </c>
      <c r="DR13" s="22">
        <f t="shared" si="16"/>
        <v>24.610246721503263</v>
      </c>
      <c r="DS13" s="62">
        <f t="shared" si="17"/>
        <v>317.94358005483656</v>
      </c>
      <c r="DT13" s="62">
        <f ca="1">AVERAGE(OFFSET($DS$3,0,0,'Données projet'!$E$14+1,1))-AVERAGE(OFFSET($H$3,0,0,'Données projet'!$E$14+1,1))</f>
        <v>271.09447278906288</v>
      </c>
      <c r="DU13" s="62">
        <f t="shared" si="44"/>
        <v>325.1094067861851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5.85</v>
      </c>
      <c r="EJ13" s="13">
        <f>IF('Données projet'!$A$192&gt;35,EJ12+EI13-ER12,IF(A13&lt;'Données projet'!$A$192,$EG$205^A13,IF(A13='Données projet'!$A$192,'Données projet'!$B$192,EJ12+EI13-ER12)))</f>
        <v>10.816653826391967</v>
      </c>
      <c r="EK13" s="18">
        <f>EJ13*VLOOKUP('Données projet'!$B$15,Paramètres!$A$1:$I$89,3,0)*VLOOKUP('Données projet'!$B$15,Paramètres!$A$1:$I$89,5,0)</f>
        <v>11.643046178728314</v>
      </c>
      <c r="EL13" s="14">
        <f t="shared" si="45"/>
        <v>4.0320743363075247</v>
      </c>
      <c r="EM13" s="22">
        <f t="shared" si="19"/>
        <v>27.300834897020753</v>
      </c>
      <c r="EN13" s="62">
        <f t="shared" si="20"/>
        <v>320.63416823035408</v>
      </c>
      <c r="EO13" s="62">
        <f ca="1">AVERAGE(OFFSET($EN$3,0,0,'Données projet'!$E$15+1,1))-AVERAGE(OFFSET($H$3,0,0,'Données projet'!$E$15+1,1))</f>
        <v>306.50593475734655</v>
      </c>
      <c r="EP13" s="62">
        <f t="shared" si="46"/>
        <v>366.48643801375079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8.065199999999999</v>
      </c>
      <c r="D14" s="12">
        <f t="shared" si="32"/>
        <v>2.9149909035839161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84.759368378542504</v>
      </c>
      <c r="H14" s="70">
        <f t="shared" si="1"/>
        <v>312.45716582374195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3.65</v>
      </c>
      <c r="N14" s="14">
        <f>IF('Données projet'!$A$36&gt;35,N13+M14-V13,IF(A14&lt;'Données projet'!$A$36,$K$205^A14,IF(A14='Données projet'!$A$36,'Données projet'!$B$36,N13+M14-V13)))</f>
        <v>10.588332555950936</v>
      </c>
      <c r="O14" s="14">
        <f>N14*VLOOKUP('Données projet'!$B$9,Paramètres!$A$1:$I$89,3,0)*VLOOKUP('Données projet'!$B$9,Paramètres!$A$1:$I$89,5,0)</f>
        <v>9.5803232966244067</v>
      </c>
      <c r="P14" s="14">
        <f t="shared" si="33"/>
        <v>3.3939041949894282</v>
      </c>
      <c r="Q14" s="22">
        <f t="shared" si="2"/>
        <v>22.596779547894098</v>
      </c>
      <c r="R14" s="62">
        <f t="shared" si="0"/>
        <v>315.93011288122739</v>
      </c>
      <c r="S14" s="62">
        <f ca="1">AVERAGE(OFFSET($R$3,0,0,'Données projet'!$E$9+1,1))-AVERAGE(OFFSET($H$3,0,0,'Données projet'!$E$9+1,1))</f>
        <v>312.57314929661908</v>
      </c>
      <c r="T14" s="62">
        <f t="shared" si="34"/>
        <v>190.92100876773804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3.65</v>
      </c>
      <c r="AI14" s="14">
        <f>IF('Données projet'!$A$62&gt;35,AI13+AH14-AQ13,IF(A14&lt;'Données projet'!$A$62,$AF$205^A14,IF(A14='Données projet'!$A$62,'Données projet'!$B$62,AI13+AH14-AQ13)))</f>
        <v>10.588332555950936</v>
      </c>
      <c r="AJ14" s="14">
        <f>AI14*VLOOKUP('Données projet'!$B$10,Paramètres!$A$1:$I$89,3,0)*VLOOKUP('Données projet'!$B$10,Paramètres!$A$1:$I$89,5,0)</f>
        <v>10.736569211734251</v>
      </c>
      <c r="AK14" s="14">
        <f t="shared" si="35"/>
        <v>3.7533999637480915</v>
      </c>
      <c r="AL14" s="22">
        <f t="shared" si="4"/>
        <v>25.23669631396508</v>
      </c>
      <c r="AM14" s="62">
        <f t="shared" si="5"/>
        <v>318.57002964729838</v>
      </c>
      <c r="AN14" s="62">
        <f ca="1">AVERAGE(OFFSET($AM$3,0,0,'Données projet'!$E$10+1,1))-AVERAGE(OFFSET($H$3,0,0,'Données projet'!$E$10+1,1))</f>
        <v>360.56293184044779</v>
      </c>
      <c r="AO14" s="62">
        <f t="shared" si="36"/>
        <v>219.32252911220542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11.488888888888889</v>
      </c>
      <c r="BD14" s="13">
        <f>IF('Données projet'!$A$88&gt;35,BD13+BC14-BL13,IF(A14&lt;'Données projet'!$A$88,$BA$205^A14,IF(A14='Données projet'!$A$88,'Données projet'!$B$88,BD13+BC14-BL13)))</f>
        <v>26.005107890528258</v>
      </c>
      <c r="BE14" s="14">
        <f>BD14*VLOOKUP('Données projet'!$B$11,Paramètres!$A$1:$I$89,3,0)*VLOOKUP('Données projet'!$B$11,Paramètres!$A$1:$I$89,5,0)</f>
        <v>19.066945105335318</v>
      </c>
      <c r="BF14" s="14">
        <f t="shared" si="37"/>
        <v>6.2345980469219837</v>
      </c>
      <c r="BG14" s="22">
        <f t="shared" si="7"/>
        <v>44.066854323514804</v>
      </c>
      <c r="BH14" s="62">
        <f t="shared" si="8"/>
        <v>337.40018765684812</v>
      </c>
      <c r="BI14" s="62">
        <f ca="1">AVERAGE(OFFSET($BH$3,0,0,'Données projet'!$E$11+1,1))-AVERAGE(OFFSET($H$3,0,0,'Données projet'!$E$11+1,1))</f>
        <v>182.06733089745194</v>
      </c>
      <c r="BJ14" s="62">
        <f t="shared" si="38"/>
        <v>320.36755413886021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4.75</v>
      </c>
      <c r="BY14" s="13">
        <f>IF('Données projet'!$A$114&gt;35,BY13+BX14-CG13,IF(A14&lt;'Données projet'!$A$114,$BV$205^A14,IF(A14='Données projet'!$A$114,'Données projet'!$B$114,BY13+BX14-CG13)))</f>
        <v>12.239057719016479</v>
      </c>
      <c r="BZ14" s="14">
        <f>BY14*VLOOKUP('Données projet'!$B$12,Paramètres!$A$1:$I$89,3,0)*VLOOKUP('Données projet'!$B$12,Paramètres!$A$1:$I$89,5,0)</f>
        <v>10.692040823332798</v>
      </c>
      <c r="CA14" s="14">
        <f t="shared" si="39"/>
        <v>3.7396419107028573</v>
      </c>
      <c r="CB14" s="22">
        <f t="shared" si="10"/>
        <v>25.135180761778766</v>
      </c>
      <c r="CC14" s="62">
        <f t="shared" si="11"/>
        <v>318.46851409511208</v>
      </c>
      <c r="CD14" s="62">
        <f ca="1">AVERAGE(OFFSET($CC$3,0,0,'Données projet'!$E$12+1,1))-AVERAGE(OFFSET($H$3,0,0,'Données projet'!$E$12+1,1))</f>
        <v>248.60758320902863</v>
      </c>
      <c r="CE14" s="62">
        <f t="shared" si="40"/>
        <v>222.23585883330111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9.6666666666666661</v>
      </c>
      <c r="CT14" s="13">
        <f>IF('Données projet'!$A$140&gt;35,CT13+CS14-DB13,IF(A14&lt;'Données projet'!$A$140,$CQ$205^A14,IF(A14='Données projet'!$A$140,'Données projet'!$B$140,CT13+CS14-DB13)))</f>
        <v>78.058432057965561</v>
      </c>
      <c r="CU14" s="18">
        <f>CT14*VLOOKUP('Données projet'!$B$13,Paramètres!$A$1:$I$89,3,0)*VLOOKUP('Données projet'!$B$13,Paramètres!$A$1:$I$89,5,0)</f>
        <v>42.619903903649202</v>
      </c>
      <c r="CV14" s="14">
        <f t="shared" si="41"/>
        <v>12.690468047849112</v>
      </c>
      <c r="CW14" s="22">
        <f t="shared" si="13"/>
        <v>96.332231148859549</v>
      </c>
      <c r="CX14" s="62">
        <f t="shared" si="14"/>
        <v>389.66556448219285</v>
      </c>
      <c r="CY14" s="62">
        <f ca="1">AVERAGE(OFFSET($CX$3,0,0,'Données projet'!$E$13+1,1))-AVERAGE(OFFSET($H$3,0,0,'Données projet'!$E$13+1,1))</f>
        <v>135.44138026609272</v>
      </c>
      <c r="CZ14" s="62">
        <f t="shared" si="42"/>
        <v>254.77247578425659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0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0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5.85</v>
      </c>
      <c r="DO14" s="13">
        <f>IF('Données projet'!$A$166&gt;35,DO13+DN14-DW13,IF(A14&lt;'Données projet'!$A$166,$DL$205^A14,IF(A14='Données projet'!$A$166,'Données projet'!$B$166,DO13+DN14-DW13)))</f>
        <v>13.724679892033022</v>
      </c>
      <c r="DP14" s="18">
        <f>DO14*VLOOKUP('Données projet'!$B$14,Paramètres!$A$1:$I$89,3,0)*VLOOKUP('Données projet'!$B$14,Paramètres!$A$1:$I$89,5,0)</f>
        <v>13.274510391574339</v>
      </c>
      <c r="DQ14" s="14">
        <f t="shared" si="43"/>
        <v>4.5274245544182392</v>
      </c>
      <c r="DR14" s="22">
        <f t="shared" si="16"/>
        <v>31.005036697603739</v>
      </c>
      <c r="DS14" s="62">
        <f t="shared" si="17"/>
        <v>324.33837003093703</v>
      </c>
      <c r="DT14" s="62">
        <f ca="1">AVERAGE(OFFSET($DS$3,0,0,'Données projet'!$E$14+1,1))-AVERAGE(OFFSET($H$3,0,0,'Données projet'!$E$14+1,1))</f>
        <v>271.09447278906288</v>
      </c>
      <c r="DU14" s="62">
        <f t="shared" si="44"/>
        <v>325.1094067861851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5.85</v>
      </c>
      <c r="EJ14" s="13">
        <f>IF('Données projet'!$A$192&gt;35,EJ13+EI14-ER13,IF(A14&lt;'Données projet'!$A$192,$EG$205^A14,IF(A14='Données projet'!$A$192,'Données projet'!$B$192,EJ13+EI14-ER13)))</f>
        <v>13.724679892033022</v>
      </c>
      <c r="EK14" s="18">
        <f>EJ14*VLOOKUP('Données projet'!$B$15,Paramètres!$A$1:$I$89,3,0)*VLOOKUP('Données projet'!$B$15,Paramètres!$A$1:$I$89,5,0)</f>
        <v>14.773245435784343</v>
      </c>
      <c r="EL14" s="14">
        <f t="shared" si="45"/>
        <v>4.9762361475838759</v>
      </c>
      <c r="EM14" s="22">
        <f t="shared" si="19"/>
        <v>34.397013757699646</v>
      </c>
      <c r="EN14" s="62">
        <f t="shared" si="20"/>
        <v>327.73034709103297</v>
      </c>
      <c r="EO14" s="62">
        <f ca="1">AVERAGE(OFFSET($EN$3,0,0,'Données projet'!$E$15+1,1))-AVERAGE(OFFSET($H$3,0,0,'Données projet'!$E$15+1,1))</f>
        <v>306.50593475734655</v>
      </c>
      <c r="EP14" s="62">
        <f t="shared" si="46"/>
        <v>366.48643801375079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8.7983999999999991</v>
      </c>
      <c r="D15" s="12">
        <f t="shared" si="32"/>
        <v>3.1479452926301796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92.217402258899639</v>
      </c>
      <c r="H15" s="70">
        <f t="shared" si="1"/>
        <v>314.13988471799752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3.65</v>
      </c>
      <c r="N15" s="14">
        <f>IF('Données projet'!$A$36&gt;35,N14+M15-V14,IF(A15&lt;'Données projet'!$A$36,$K$205^A15,IF(A15='Données projet'!$A$36,'Données projet'!$B$36,N14+M15-V14)))</f>
        <v>13.121809125710287</v>
      </c>
      <c r="O15" s="14">
        <f>N15*VLOOKUP('Données projet'!$B$9,Paramètres!$A$1:$I$89,3,0)*VLOOKUP('Données projet'!$B$9,Paramètres!$A$1:$I$89,5,0)</f>
        <v>11.872612896942668</v>
      </c>
      <c r="P15" s="14">
        <f t="shared" si="33"/>
        <v>4.1022411108131784</v>
      </c>
      <c r="Q15" s="22">
        <f t="shared" si="2"/>
        <v>27.822870730174767</v>
      </c>
      <c r="R15" s="62">
        <f t="shared" si="0"/>
        <v>321.15620406350808</v>
      </c>
      <c r="S15" s="62">
        <f ca="1">AVERAGE(OFFSET($R$3,0,0,'Données projet'!$E$9+1,1))-AVERAGE(OFFSET($H$3,0,0,'Données projet'!$E$9+1,1))</f>
        <v>312.57314929661908</v>
      </c>
      <c r="T15" s="62">
        <f t="shared" si="34"/>
        <v>190.92100876773804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3.65</v>
      </c>
      <c r="AI15" s="14">
        <f>IF('Données projet'!$A$62&gt;35,AI14+AH15-AQ14,IF(A15&lt;'Données projet'!$A$62,$AF$205^A15,IF(A15='Données projet'!$A$62,'Données projet'!$B$62,AI14+AH15-AQ14)))</f>
        <v>13.121809125710287</v>
      </c>
      <c r="AJ15" s="14">
        <f>AI15*VLOOKUP('Données projet'!$B$10,Paramètres!$A$1:$I$89,3,0)*VLOOKUP('Données projet'!$B$10,Paramètres!$A$1:$I$89,5,0)</f>
        <v>13.305514453470233</v>
      </c>
      <c r="AK15" s="14">
        <f t="shared" si="35"/>
        <v>4.5367667299931158</v>
      </c>
      <c r="AL15" s="22">
        <f t="shared" si="4"/>
        <v>31.075306394532003</v>
      </c>
      <c r="AM15" s="62">
        <f t="shared" si="5"/>
        <v>324.40863972786531</v>
      </c>
      <c r="AN15" s="62">
        <f ca="1">AVERAGE(OFFSET($AM$3,0,0,'Données projet'!$E$10+1,1))-AVERAGE(OFFSET($H$3,0,0,'Données projet'!$E$10+1,1))</f>
        <v>360.56293184044779</v>
      </c>
      <c r="AO15" s="62">
        <f t="shared" si="36"/>
        <v>219.32252911220542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11.488888888888889</v>
      </c>
      <c r="BD15" s="13">
        <f>IF('Données projet'!$A$88&gt;35,BD14+BC15-BL14,IF(A15&lt;'Données projet'!$A$88,$BA$205^A15,IF(A15='Données projet'!$A$88,'Données projet'!$B$88,BD14+BC15-BL14)))</f>
        <v>34.970380382913099</v>
      </c>
      <c r="BE15" s="14">
        <f>BD15*VLOOKUP('Données projet'!$B$11,Paramètres!$A$1:$I$89,3,0)*VLOOKUP('Données projet'!$B$11,Paramètres!$A$1:$I$89,5,0)</f>
        <v>25.640282896751881</v>
      </c>
      <c r="BF15" s="14">
        <f t="shared" si="37"/>
        <v>8.0998366787106519</v>
      </c>
      <c r="BG15" s="22">
        <f t="shared" si="7"/>
        <v>58.764041593930564</v>
      </c>
      <c r="BH15" s="62">
        <f t="shared" si="8"/>
        <v>352.0973749272639</v>
      </c>
      <c r="BI15" s="62">
        <f ca="1">AVERAGE(OFFSET($BH$3,0,0,'Données projet'!$E$11+1,1))-AVERAGE(OFFSET($H$3,0,0,'Données projet'!$E$11+1,1))</f>
        <v>182.06733089745194</v>
      </c>
      <c r="BJ15" s="62">
        <f t="shared" si="38"/>
        <v>320.36755413886021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4.75</v>
      </c>
      <c r="BY15" s="13">
        <f>IF('Données projet'!$A$114&gt;35,BY14+BX15-CG14,IF(A15&lt;'Données projet'!$A$114,$BV$205^A15,IF(A15='Données projet'!$A$114,'Données projet'!$B$114,BY14+BX15-CG14)))</f>
        <v>15.368594899018873</v>
      </c>
      <c r="BZ15" s="14">
        <f>BY15*VLOOKUP('Données projet'!$B$12,Paramètres!$A$1:$I$89,3,0)*VLOOKUP('Données projet'!$B$12,Paramètres!$A$1:$I$89,5,0)</f>
        <v>13.42600450378289</v>
      </c>
      <c r="CA15" s="14">
        <f t="shared" si="39"/>
        <v>4.5730489196371114</v>
      </c>
      <c r="CB15" s="22">
        <f t="shared" si="10"/>
        <v>31.348351379123169</v>
      </c>
      <c r="CC15" s="62">
        <f t="shared" si="11"/>
        <v>324.6816847124565</v>
      </c>
      <c r="CD15" s="62">
        <f ca="1">AVERAGE(OFFSET($CC$3,0,0,'Données projet'!$E$12+1,1))-AVERAGE(OFFSET($H$3,0,0,'Données projet'!$E$12+1,1))</f>
        <v>248.60758320902863</v>
      </c>
      <c r="CE15" s="62">
        <f t="shared" si="40"/>
        <v>222.23585883330111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>
        <f>VLOOKUP(A15,'Données projet'!$A$139:$I$159,2,0)</f>
        <v>116</v>
      </c>
      <c r="CR15" s="13">
        <f>VLOOKUP(A15,'Données projet'!$A$139:$I$159,9,0)</f>
        <v>9.6666666666666661</v>
      </c>
      <c r="CS15" s="13">
        <f t="array" ref="CS15">INDEX(CR:CR,MIN(IF(ISNUMBER(CR15:CR211),ROW(CR15:CR211),"")))</f>
        <v>9.6666666666666661</v>
      </c>
      <c r="CT15" s="13">
        <f>IF('Données projet'!$A$140&gt;35,CT14+CS15-DB14,IF(A15&lt;'Données projet'!$A$140,$CQ$205^A15,IF(A15='Données projet'!$A$140,'Données projet'!$B$140,CT14+CS15-DB14)))</f>
        <v>116</v>
      </c>
      <c r="CU15" s="18">
        <f>CT15*VLOOKUP('Données projet'!$B$13,Paramètres!$A$1:$I$89,3,0)*VLOOKUP('Données projet'!$B$13,Paramètres!$A$1:$I$89,5,0)</f>
        <v>63.335999999999999</v>
      </c>
      <c r="CV15" s="14">
        <f t="shared" si="41"/>
        <v>18.009040022946227</v>
      </c>
      <c r="CW15" s="22">
        <f t="shared" si="13"/>
        <v>141.67594470663133</v>
      </c>
      <c r="CX15" s="62">
        <f t="shared" si="14"/>
        <v>435.00927803996467</v>
      </c>
      <c r="CY15" s="62">
        <f ca="1">AVERAGE(OFFSET($CX$3,0,0,'Données projet'!$E$13+1,1))-AVERAGE(OFFSET($H$3,0,0,'Données projet'!$E$13+1,1))</f>
        <v>135.44138026609272</v>
      </c>
      <c r="CZ15" s="62">
        <f t="shared" si="42"/>
        <v>254.77247578425659</v>
      </c>
      <c r="DA15" s="16">
        <f>IF(ISNA(VLOOKUP(A15,'Données projet'!$A$139:$I$159,3,0)),0,VLOOKUP(A15,'Données projet'!$A$139:$I$159,3,0))</f>
        <v>1</v>
      </c>
      <c r="DB15" s="16">
        <f>IF(ISNA(VLOOKUP(A15,'Données projet'!$A$139:$I$159,4,0)),0,VLOOKUP(A15,'Données projet'!$A$139:$I$159,4,0))</f>
        <v>21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0.36</v>
      </c>
      <c r="DE15" s="17">
        <f>IF(ISNA(VLOOKUP(A15,'Données projet'!$A$139:$I$159,7,0)),0%,VLOOKUP(A15,'Données projet'!$A$139:$I$159,7,0))</f>
        <v>0.4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5.4541796229792636</v>
      </c>
      <c r="DH15" s="23">
        <f>EXP(-LN(2)/2)*DH14+(1-EXP(-LN(2)/2))/(LN(2)/2)*DB15*DE15*VLOOKUP('Données projet'!$B$13,Paramètres!$A$1:$I$89,3,0)*0.475*44/12</f>
        <v>5.1928702093753829</v>
      </c>
      <c r="DI15" s="24">
        <f t="shared" si="15"/>
        <v>10.647049832354647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5.85</v>
      </c>
      <c r="DO15" s="13">
        <f>IF('Données projet'!$A$166&gt;35,DO14+DN15-DW14,IF(A15&lt;'Données projet'!$A$166,$DL$205^A15,IF(A15='Données projet'!$A$166,'Données projet'!$B$166,DO14+DN15-DW14)))</f>
        <v>17.414520346317467</v>
      </c>
      <c r="DP15" s="18">
        <f>DO15*VLOOKUP('Données projet'!$B$14,Paramètres!$A$1:$I$89,3,0)*VLOOKUP('Données projet'!$B$14,Paramètres!$A$1:$I$89,5,0)</f>
        <v>16.843324078958254</v>
      </c>
      <c r="DQ15" s="14">
        <f t="shared" si="43"/>
        <v>5.5875789591188108</v>
      </c>
      <c r="DR15" s="22">
        <f t="shared" si="16"/>
        <v>39.067156124650886</v>
      </c>
      <c r="DS15" s="62">
        <f t="shared" si="17"/>
        <v>332.40048945798418</v>
      </c>
      <c r="DT15" s="62">
        <f ca="1">AVERAGE(OFFSET($DS$3,0,0,'Données projet'!$E$14+1,1))-AVERAGE(OFFSET($H$3,0,0,'Données projet'!$E$14+1,1))</f>
        <v>271.09447278906288</v>
      </c>
      <c r="DU15" s="62">
        <f t="shared" si="44"/>
        <v>325.1094067861851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5.85</v>
      </c>
      <c r="EJ15" s="13">
        <f>IF('Données projet'!$A$192&gt;35,EJ14+EI15-ER14,IF(A15&lt;'Données projet'!$A$192,$EG$205^A15,IF(A15='Données projet'!$A$192,'Données projet'!$B$192,EJ14+EI15-ER14)))</f>
        <v>17.414520346317467</v>
      </c>
      <c r="EK15" s="18">
        <f>EJ15*VLOOKUP('Données projet'!$B$15,Paramètres!$A$1:$I$89,3,0)*VLOOKUP('Données projet'!$B$15,Paramètres!$A$1:$I$89,5,0)</f>
        <v>18.74498970077612</v>
      </c>
      <c r="EL15" s="14">
        <f t="shared" si="45"/>
        <v>6.1414855310424921</v>
      </c>
      <c r="EM15" s="22">
        <f t="shared" si="19"/>
        <v>43.343944362084081</v>
      </c>
      <c r="EN15" s="62">
        <f t="shared" si="20"/>
        <v>336.67727769541739</v>
      </c>
      <c r="EO15" s="62">
        <f ca="1">AVERAGE(OFFSET($EN$3,0,0,'Données projet'!$E$15+1,1))-AVERAGE(OFFSET($H$3,0,0,'Données projet'!$E$15+1,1))</f>
        <v>306.50593475734655</v>
      </c>
      <c r="EP15" s="62">
        <f t="shared" si="46"/>
        <v>366.48643801375079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9.5315999999999992</v>
      </c>
      <c r="D16" s="12">
        <f t="shared" si="32"/>
        <v>3.3786481992658062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99.658056275034298</v>
      </c>
      <c r="H16" s="70">
        <f t="shared" si="1"/>
        <v>315.81868228038792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3.65</v>
      </c>
      <c r="N16" s="14">
        <f>IF('Données projet'!$A$36&gt;35,N15+M16-V15,IF(A16&lt;'Données projet'!$A$36,$K$205^A16,IF(A16='Données projet'!$A$36,'Données projet'!$B$36,N15+M16-V15)))</f>
        <v>16.261472127148366</v>
      </c>
      <c r="O16" s="14">
        <f>N16*VLOOKUP('Données projet'!$B$9,Paramètres!$A$1:$I$89,3,0)*VLOOKUP('Données projet'!$B$9,Paramètres!$A$1:$I$89,5,0)</f>
        <v>14.713379980643843</v>
      </c>
      <c r="P16" s="14">
        <f t="shared" si="33"/>
        <v>4.9584140165447881</v>
      </c>
      <c r="Q16" s="22">
        <f t="shared" si="2"/>
        <v>34.261707878436859</v>
      </c>
      <c r="R16" s="62">
        <f t="shared" si="0"/>
        <v>327.59504121177019</v>
      </c>
      <c r="S16" s="62">
        <f ca="1">AVERAGE(OFFSET($R$3,0,0,'Données projet'!$E$9+1,1))-AVERAGE(OFFSET($H$3,0,0,'Données projet'!$E$9+1,1))</f>
        <v>312.57314929661908</v>
      </c>
      <c r="T16" s="62">
        <f t="shared" si="34"/>
        <v>190.92100876773804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3.65</v>
      </c>
      <c r="AI16" s="14">
        <f>IF('Données projet'!$A$62&gt;35,AI15+AH16-AQ15,IF(A16&lt;'Données projet'!$A$62,$AF$205^A16,IF(A16='Données projet'!$A$62,'Données projet'!$B$62,AI15+AH16-AQ15)))</f>
        <v>16.261472127148366</v>
      </c>
      <c r="AJ16" s="14">
        <f>AI16*VLOOKUP('Données projet'!$B$10,Paramètres!$A$1:$I$89,3,0)*VLOOKUP('Données projet'!$B$10,Paramètres!$A$1:$I$89,5,0)</f>
        <v>16.489132736928447</v>
      </c>
      <c r="AK16" s="14">
        <f t="shared" si="35"/>
        <v>5.4836288594779292</v>
      </c>
      <c r="AL16" s="22">
        <f t="shared" si="4"/>
        <v>38.269226447074438</v>
      </c>
      <c r="AM16" s="62">
        <f t="shared" si="5"/>
        <v>331.60255978040777</v>
      </c>
      <c r="AN16" s="62">
        <f ca="1">AVERAGE(OFFSET($AM$3,0,0,'Données projet'!$E$10+1,1))-AVERAGE(OFFSET($H$3,0,0,'Données projet'!$E$10+1,1))</f>
        <v>360.56293184044779</v>
      </c>
      <c r="AO16" s="62">
        <f t="shared" si="36"/>
        <v>219.32252911220542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11.488888888888889</v>
      </c>
      <c r="BD16" s="13">
        <f>IF('Données projet'!$A$88&gt;35,BD15+BC16-BL15,IF(A16&lt;'Données projet'!$A$88,$BA$205^A16,IF(A16='Données projet'!$A$88,'Données projet'!$B$88,BD15+BC16-BL15)))</f>
        <v>47.026434547924168</v>
      </c>
      <c r="BE16" s="14">
        <f>BD16*VLOOKUP('Données projet'!$B$11,Paramètres!$A$1:$I$89,3,0)*VLOOKUP('Données projet'!$B$11,Paramètres!$A$1:$I$89,5,0)</f>
        <v>34.479781810538</v>
      </c>
      <c r="BF16" s="14">
        <f t="shared" si="37"/>
        <v>10.523108904218246</v>
      </c>
      <c r="BG16" s="22">
        <f t="shared" si="7"/>
        <v>78.380034661533784</v>
      </c>
      <c r="BH16" s="62">
        <f t="shared" si="8"/>
        <v>371.7133679948671</v>
      </c>
      <c r="BI16" s="62">
        <f ca="1">AVERAGE(OFFSET($BH$3,0,0,'Données projet'!$E$11+1,1))-AVERAGE(OFFSET($H$3,0,0,'Données projet'!$E$11+1,1))</f>
        <v>182.06733089745194</v>
      </c>
      <c r="BJ16" s="62">
        <f t="shared" si="38"/>
        <v>320.36755413886021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4.75</v>
      </c>
      <c r="BY16" s="13">
        <f>IF('Données projet'!$A$114&gt;35,BY15+BX16-CG15,IF(A16&lt;'Données projet'!$A$114,$BV$205^A16,IF(A16='Données projet'!$A$114,'Données projet'!$B$114,BY15+BX16-CG15)))</f>
        <v>19.298357323959845</v>
      </c>
      <c r="BZ16" s="14">
        <f>BY16*VLOOKUP('Données projet'!$B$12,Paramètres!$A$1:$I$89,3,0)*VLOOKUP('Données projet'!$B$12,Paramètres!$A$1:$I$89,5,0)</f>
        <v>16.859044958211321</v>
      </c>
      <c r="CA16" s="14">
        <f t="shared" si="39"/>
        <v>5.5921868779847026</v>
      </c>
      <c r="CB16" s="22">
        <f t="shared" si="10"/>
        <v>39.102562114708071</v>
      </c>
      <c r="CC16" s="62">
        <f t="shared" si="11"/>
        <v>332.43589544804138</v>
      </c>
      <c r="CD16" s="62">
        <f ca="1">AVERAGE(OFFSET($CC$3,0,0,'Données projet'!$E$12+1,1))-AVERAGE(OFFSET($H$3,0,0,'Données projet'!$E$12+1,1))</f>
        <v>248.60758320902863</v>
      </c>
      <c r="CE16" s="62">
        <f t="shared" si="40"/>
        <v>222.23585883330111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24.333333333333332</v>
      </c>
      <c r="CT16" s="13">
        <f>IF('Données projet'!$A$140&gt;35,CT15+CS16-DB15,IF(A16&lt;'Données projet'!$A$140,$CQ$205^A16,IF(A16='Données projet'!$A$140,'Données projet'!$B$140,CT15+CS16-DB15)))</f>
        <v>119.33333333333334</v>
      </c>
      <c r="CU16" s="18">
        <f>CT16*VLOOKUP('Données projet'!$B$13,Paramètres!$A$1:$I$89,3,0)*VLOOKUP('Données projet'!$B$13,Paramètres!$A$1:$I$89,5,0)</f>
        <v>65.156000000000006</v>
      </c>
      <c r="CV16" s="14">
        <f t="shared" si="41"/>
        <v>18.465547360043153</v>
      </c>
      <c r="CW16" s="22">
        <f t="shared" si="13"/>
        <v>145.64086165207519</v>
      </c>
      <c r="CX16" s="62">
        <f t="shared" si="14"/>
        <v>438.97419498540853</v>
      </c>
      <c r="CY16" s="62">
        <f ca="1">AVERAGE(OFFSET($CX$3,0,0,'Données projet'!$E$13+1,1))-AVERAGE(OFFSET($H$3,0,0,'Données projet'!$E$13+1,1))</f>
        <v>135.44138026609272</v>
      </c>
      <c r="CZ16" s="62">
        <f t="shared" si="42"/>
        <v>254.77247578425659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5.3050347943660547</v>
      </c>
      <c r="DH16" s="23">
        <f>EXP(-LN(2)/2)*DH15+(1-EXP(-LN(2)/2))/(LN(2)/2)*DB16*DE16*VLOOKUP('Données projet'!$B$13,Paramètres!$A$1:$I$89,3,0)*0.475*44/12</f>
        <v>3.6719137388709404</v>
      </c>
      <c r="DI16" s="24">
        <f t="shared" si="15"/>
        <v>8.976948533236996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5.85</v>
      </c>
      <c r="DO16" s="13">
        <f>IF('Données projet'!$A$166&gt;35,DO15+DN16-DW15,IF(A16&lt;'Données projet'!$A$166,$DL$205^A16,IF(A16='Données projet'!$A$166,'Données projet'!$B$166,DO15+DN16-DW15)))</f>
        <v>22.096363724180279</v>
      </c>
      <c r="DP16" s="18">
        <f>DO16*VLOOKUP('Données projet'!$B$14,Paramètres!$A$1:$I$89,3,0)*VLOOKUP('Données projet'!$B$14,Paramètres!$A$1:$I$89,5,0)</f>
        <v>21.371602994027167</v>
      </c>
      <c r="DQ16" s="14">
        <f t="shared" si="43"/>
        <v>6.8959820863097914</v>
      </c>
      <c r="DR16" s="22">
        <f t="shared" si="16"/>
        <v>49.232710681586866</v>
      </c>
      <c r="DS16" s="62">
        <f t="shared" si="17"/>
        <v>342.56604401492018</v>
      </c>
      <c r="DT16" s="62">
        <f ca="1">AVERAGE(OFFSET($DS$3,0,0,'Données projet'!$E$14+1,1))-AVERAGE(OFFSET($H$3,0,0,'Données projet'!$E$14+1,1))</f>
        <v>271.09447278906288</v>
      </c>
      <c r="DU16" s="62">
        <f t="shared" si="44"/>
        <v>325.1094067861851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5.85</v>
      </c>
      <c r="EJ16" s="13">
        <f>IF('Données projet'!$A$192&gt;35,EJ15+EI16-ER15,IF(A16&lt;'Données projet'!$A$192,$EG$205^A16,IF(A16='Données projet'!$A$192,'Données projet'!$B$192,EJ15+EI16-ER15)))</f>
        <v>22.096363724180279</v>
      </c>
      <c r="EK16" s="18">
        <f>EJ16*VLOOKUP('Données projet'!$B$15,Paramètres!$A$1:$I$89,3,0)*VLOOKUP('Données projet'!$B$15,Paramètres!$A$1:$I$89,5,0)</f>
        <v>23.78452591270765</v>
      </c>
      <c r="EL16" s="14">
        <f t="shared" si="45"/>
        <v>7.5795929713499435</v>
      </c>
      <c r="EM16" s="22">
        <f t="shared" si="19"/>
        <v>54.625840389733639</v>
      </c>
      <c r="EN16" s="62">
        <f t="shared" si="20"/>
        <v>347.95917372306695</v>
      </c>
      <c r="EO16" s="62">
        <f ca="1">AVERAGE(OFFSET($EN$3,0,0,'Données projet'!$E$15+1,1))-AVERAGE(OFFSET($H$3,0,0,'Données projet'!$E$15+1,1))</f>
        <v>306.50593475734655</v>
      </c>
      <c r="EP16" s="62">
        <f t="shared" si="46"/>
        <v>366.48643801375079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10.264799999999999</v>
      </c>
      <c r="D17" s="12">
        <f t="shared" si="32"/>
        <v>3.6072925061053467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107.08281934537462</v>
      </c>
      <c r="H17" s="70">
        <f t="shared" si="1"/>
        <v>317.49389444813346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3.65</v>
      </c>
      <c r="N17" s="14">
        <f>IF('Données projet'!$A$36&gt;35,N16+M17-V16,IF(A17&lt;'Données projet'!$A$36,$K$205^A17,IF(A17='Données projet'!$A$36,'Données projet'!$B$36,N16+M17-V16)))</f>
        <v>20.152364144963837</v>
      </c>
      <c r="O17" s="14">
        <f>N17*VLOOKUP('Données projet'!$B$9,Paramètres!$A$1:$I$89,3,0)*VLOOKUP('Données projet'!$B$9,Paramètres!$A$1:$I$89,5,0)</f>
        <v>18.233859078363277</v>
      </c>
      <c r="P17" s="14">
        <f t="shared" si="33"/>
        <v>5.9932775513027368</v>
      </c>
      <c r="Q17" s="22">
        <f t="shared" si="2"/>
        <v>42.195596296668306</v>
      </c>
      <c r="R17" s="62">
        <f t="shared" si="0"/>
        <v>335.52892963000164</v>
      </c>
      <c r="S17" s="62">
        <f ca="1">AVERAGE(OFFSET($R$3,0,0,'Données projet'!$E$9+1,1))-AVERAGE(OFFSET($H$3,0,0,'Données projet'!$E$9+1,1))</f>
        <v>312.57314929661908</v>
      </c>
      <c r="T17" s="62">
        <f t="shared" si="34"/>
        <v>190.92100876773804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3.65</v>
      </c>
      <c r="AI17" s="14">
        <f>IF('Données projet'!$A$62&gt;35,AI16+AH17-AQ16,IF(A17&lt;'Données projet'!$A$62,$AF$205^A17,IF(A17='Données projet'!$A$62,'Données projet'!$B$62,AI16+AH17-AQ16)))</f>
        <v>20.152364144963837</v>
      </c>
      <c r="AJ17" s="14">
        <f>AI17*VLOOKUP('Données projet'!$B$10,Paramètres!$A$1:$I$89,3,0)*VLOOKUP('Données projet'!$B$10,Paramètres!$A$1:$I$89,5,0)</f>
        <v>20.434497242993334</v>
      </c>
      <c r="AK17" s="14">
        <f t="shared" si="35"/>
        <v>6.6281092368495731</v>
      </c>
      <c r="AL17" s="22">
        <f t="shared" si="4"/>
        <v>47.134039619059727</v>
      </c>
      <c r="AM17" s="62">
        <f t="shared" si="5"/>
        <v>340.46737295239302</v>
      </c>
      <c r="AN17" s="62">
        <f ca="1">AVERAGE(OFFSET($AM$3,0,0,'Données projet'!$E$10+1,1))-AVERAGE(OFFSET($H$3,0,0,'Données projet'!$E$10+1,1))</f>
        <v>360.56293184044779</v>
      </c>
      <c r="AO17" s="62">
        <f t="shared" si="36"/>
        <v>219.32252911220542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11.488888888888889</v>
      </c>
      <c r="BD17" s="13">
        <f>IF('Données projet'!$A$88&gt;35,BD16+BC17-BL16,IF(A17&lt;'Données projet'!$A$88,$BA$205^A17,IF(A17='Données projet'!$A$88,'Données projet'!$B$88,BD16+BC17-BL16)))</f>
        <v>63.23881873960832</v>
      </c>
      <c r="BE17" s="14">
        <f>BD17*VLOOKUP('Données projet'!$B$11,Paramètres!$A$1:$I$89,3,0)*VLOOKUP('Données projet'!$B$11,Paramètres!$A$1:$I$89,5,0)</f>
        <v>46.366701899880816</v>
      </c>
      <c r="BF17" s="14">
        <f t="shared" si="37"/>
        <v>13.671364670980568</v>
      </c>
      <c r="BG17" s="22">
        <f t="shared" si="7"/>
        <v>104.56629927758358</v>
      </c>
      <c r="BH17" s="62">
        <f t="shared" si="8"/>
        <v>397.89963261091691</v>
      </c>
      <c r="BI17" s="62">
        <f ca="1">AVERAGE(OFFSET($BH$3,0,0,'Données projet'!$E$11+1,1))-AVERAGE(OFFSET($H$3,0,0,'Données projet'!$E$11+1,1))</f>
        <v>182.06733089745194</v>
      </c>
      <c r="BJ17" s="62">
        <f t="shared" si="38"/>
        <v>320.36755413886021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4.75</v>
      </c>
      <c r="BY17" s="13">
        <f>IF('Données projet'!$A$114&gt;35,BY16+BX17-CG16,IF(A17&lt;'Données projet'!$A$114,$BV$205^A17,IF(A17='Données projet'!$A$114,'Données projet'!$B$114,BY16+BX17-CG16)))</f>
        <v>24.232963250726986</v>
      </c>
      <c r="BZ17" s="14">
        <f>BY17*VLOOKUP('Données projet'!$B$12,Paramètres!$A$1:$I$89,3,0)*VLOOKUP('Données projet'!$B$12,Paramètres!$A$1:$I$89,5,0)</f>
        <v>21.169916695835099</v>
      </c>
      <c r="CA17" s="14">
        <f t="shared" si="39"/>
        <v>6.838447308975188</v>
      </c>
      <c r="CB17" s="22">
        <f t="shared" si="10"/>
        <v>48.781233975044579</v>
      </c>
      <c r="CC17" s="62">
        <f t="shared" si="11"/>
        <v>342.1145673083779</v>
      </c>
      <c r="CD17" s="62">
        <f ca="1">AVERAGE(OFFSET($CC$3,0,0,'Données projet'!$E$12+1,1))-AVERAGE(OFFSET($H$3,0,0,'Données projet'!$E$12+1,1))</f>
        <v>248.60758320902863</v>
      </c>
      <c r="CE17" s="62">
        <f t="shared" si="40"/>
        <v>222.23585883330111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24.333333333333332</v>
      </c>
      <c r="CT17" s="13">
        <f>IF('Données projet'!$A$140&gt;35,CT16+CS17-DB16,IF(A17&lt;'Données projet'!$A$140,$CQ$205^A17,IF(A17='Données projet'!$A$140,'Données projet'!$B$140,CT16+CS17-DB16)))</f>
        <v>143.66666666666669</v>
      </c>
      <c r="CU17" s="18">
        <f>CT17*VLOOKUP('Données projet'!$B$13,Paramètres!$A$1:$I$89,3,0)*VLOOKUP('Données projet'!$B$13,Paramètres!$A$1:$I$89,5,0)</f>
        <v>78.442000000000007</v>
      </c>
      <c r="CV17" s="14">
        <f t="shared" si="41"/>
        <v>21.755810093736013</v>
      </c>
      <c r="CW17" s="22">
        <f t="shared" si="13"/>
        <v>174.5111859132569</v>
      </c>
      <c r="CX17" s="62">
        <f t="shared" si="14"/>
        <v>467.84451924659021</v>
      </c>
      <c r="CY17" s="62">
        <f ca="1">AVERAGE(OFFSET($CX$3,0,0,'Données projet'!$E$13+1,1))-AVERAGE(OFFSET($H$3,0,0,'Données projet'!$E$13+1,1))</f>
        <v>135.44138026609272</v>
      </c>
      <c r="CZ17" s="62">
        <f t="shared" si="42"/>
        <v>254.77247578425659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5.1599683389344602</v>
      </c>
      <c r="DH17" s="23">
        <f>EXP(-LN(2)/2)*DH16+(1-EXP(-LN(2)/2))/(LN(2)/2)*DB17*DE17*VLOOKUP('Données projet'!$B$13,Paramètres!$A$1:$I$89,3,0)*0.475*44/12</f>
        <v>2.5964351046876919</v>
      </c>
      <c r="DI17" s="24">
        <f t="shared" si="15"/>
        <v>7.7564034436221521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5.85</v>
      </c>
      <c r="DO17" s="13">
        <f>IF('Données projet'!$A$166&gt;35,DO16+DN17-DW16,IF(A17&lt;'Données projet'!$A$166,$DL$205^A17,IF(A17='Données projet'!$A$166,'Données projet'!$B$166,DO16+DN17-DW16)))</f>
        <v>28.036907139651255</v>
      </c>
      <c r="DP17" s="18">
        <f>DO17*VLOOKUP('Données projet'!$B$14,Paramètres!$A$1:$I$89,3,0)*VLOOKUP('Données projet'!$B$14,Paramètres!$A$1:$I$89,5,0)</f>
        <v>27.117296585470694</v>
      </c>
      <c r="DQ17" s="14">
        <f t="shared" si="43"/>
        <v>8.5107645516306203</v>
      </c>
      <c r="DR17" s="22">
        <f t="shared" si="16"/>
        <v>62.052206480451446</v>
      </c>
      <c r="DS17" s="62">
        <f t="shared" si="17"/>
        <v>355.38553981378476</v>
      </c>
      <c r="DT17" s="62">
        <f ca="1">AVERAGE(OFFSET($DS$3,0,0,'Données projet'!$E$14+1,1))-AVERAGE(OFFSET($H$3,0,0,'Données projet'!$E$14+1,1))</f>
        <v>271.09447278906288</v>
      </c>
      <c r="DU17" s="62">
        <f t="shared" si="44"/>
        <v>325.1094067861851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5.85</v>
      </c>
      <c r="EJ17" s="13">
        <f>IF('Données projet'!$A$192&gt;35,EJ16+EI17-ER16,IF(A17&lt;'Données projet'!$A$192,$EG$205^A17,IF(A17='Données projet'!$A$192,'Données projet'!$B$192,EJ16+EI17-ER16)))</f>
        <v>28.036907139651255</v>
      </c>
      <c r="EK17" s="18">
        <f>EJ17*VLOOKUP('Données projet'!$B$15,Paramètres!$A$1:$I$89,3,0)*VLOOKUP('Données projet'!$B$15,Paramètres!$A$1:$I$89,5,0)</f>
        <v>30.178926845120607</v>
      </c>
      <c r="EL17" s="14">
        <f t="shared" si="45"/>
        <v>9.3544516747539319</v>
      </c>
      <c r="EM17" s="22">
        <f t="shared" si="19"/>
        <v>68.853967588781487</v>
      </c>
      <c r="EN17" s="62">
        <f t="shared" si="20"/>
        <v>362.18730092211479</v>
      </c>
      <c r="EO17" s="62">
        <f ca="1">AVERAGE(OFFSET($EN$3,0,0,'Données projet'!$E$15+1,1))-AVERAGE(OFFSET($H$3,0,0,'Données projet'!$E$15+1,1))</f>
        <v>306.50593475734655</v>
      </c>
      <c r="EP17" s="62">
        <f t="shared" si="46"/>
        <v>366.48643801375079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10.997999999999999</v>
      </c>
      <c r="D18" s="12">
        <f t="shared" si="32"/>
        <v>3.8340419797271834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114.49295563298176</v>
      </c>
      <c r="H18" s="70">
        <f t="shared" si="1"/>
        <v>319.1658064480248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3.65</v>
      </c>
      <c r="N18" s="14">
        <f>IF('Données projet'!$A$36&gt;35,N17+M18-V17,IF(A18&lt;'Données projet'!$A$36,$K$205^A18,IF(A18='Données projet'!$A$36,'Données projet'!$B$36,N17+M18-V17)))</f>
        <v>24.974232188561476</v>
      </c>
      <c r="O18" s="14">
        <f>N18*VLOOKUP('Données projet'!$B$9,Paramètres!$A$1:$I$89,3,0)*VLOOKUP('Données projet'!$B$9,Paramètres!$A$1:$I$89,5,0)</f>
        <v>22.596685284210423</v>
      </c>
      <c r="P18" s="14">
        <f t="shared" si="33"/>
        <v>7.2441259820371586</v>
      </c>
      <c r="Q18" s="22">
        <f t="shared" si="2"/>
        <v>51.972746288714539</v>
      </c>
      <c r="R18" s="62">
        <f t="shared" si="0"/>
        <v>345.30607962204783</v>
      </c>
      <c r="S18" s="62">
        <f ca="1">AVERAGE(OFFSET($R$3,0,0,'Données projet'!$E$9+1,1))-AVERAGE(OFFSET($H$3,0,0,'Données projet'!$E$9+1,1))</f>
        <v>312.57314929661908</v>
      </c>
      <c r="T18" s="62">
        <f t="shared" si="34"/>
        <v>190.92100876773804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3.65</v>
      </c>
      <c r="AI18" s="14">
        <f>IF('Données projet'!$A$62&gt;35,AI17+AH18-AQ17,IF(A18&lt;'Données projet'!$A$62,$AF$205^A18,IF(A18='Données projet'!$A$62,'Données projet'!$B$62,AI17+AH18-AQ17)))</f>
        <v>24.974232188561476</v>
      </c>
      <c r="AJ18" s="14">
        <f>AI18*VLOOKUP('Données projet'!$B$10,Paramètres!$A$1:$I$89,3,0)*VLOOKUP('Données projet'!$B$10,Paramètres!$A$1:$I$89,5,0)</f>
        <v>25.323871439201337</v>
      </c>
      <c r="AK18" s="14">
        <f t="shared" si="35"/>
        <v>8.0114524854610902</v>
      </c>
      <c r="AL18" s="22">
        <f t="shared" si="4"/>
        <v>58.059022502120392</v>
      </c>
      <c r="AM18" s="62">
        <f t="shared" si="5"/>
        <v>351.39235583545371</v>
      </c>
      <c r="AN18" s="62">
        <f ca="1">AVERAGE(OFFSET($AM$3,0,0,'Données projet'!$E$10+1,1))-AVERAGE(OFFSET($H$3,0,0,'Données projet'!$E$10+1,1))</f>
        <v>360.56293184044779</v>
      </c>
      <c r="AO18" s="62">
        <f t="shared" si="36"/>
        <v>219.32252911220542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11.488888888888889</v>
      </c>
      <c r="BD18" s="13">
        <f>IF('Données projet'!$A$88&gt;35,BD17+BC18-BL17,IF(A18&lt;'Données projet'!$A$88,$BA$205^A18,IF(A18='Données projet'!$A$88,'Données projet'!$B$88,BD17+BC18-BL17)))</f>
        <v>85.040429580208638</v>
      </c>
      <c r="BE18" s="14">
        <f>BD18*VLOOKUP('Données projet'!$B$11,Paramètres!$A$1:$I$89,3,0)*VLOOKUP('Données projet'!$B$11,Paramètres!$A$1:$I$89,5,0)</f>
        <v>62.351642968208978</v>
      </c>
      <c r="BF18" s="14">
        <f t="shared" si="37"/>
        <v>17.761501251024129</v>
      </c>
      <c r="BG18" s="22">
        <f t="shared" si="7"/>
        <v>139.53039284849766</v>
      </c>
      <c r="BH18" s="62">
        <f t="shared" si="8"/>
        <v>432.863726181831</v>
      </c>
      <c r="BI18" s="62">
        <f ca="1">AVERAGE(OFFSET($BH$3,0,0,'Données projet'!$E$11+1,1))-AVERAGE(OFFSET($H$3,0,0,'Données projet'!$E$11+1,1))</f>
        <v>182.06733089745194</v>
      </c>
      <c r="BJ18" s="62">
        <f t="shared" si="38"/>
        <v>320.36755413886021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4.75</v>
      </c>
      <c r="BY18" s="13">
        <f>IF('Données projet'!$A$114&gt;35,BY17+BX18-CG17,IF(A18&lt;'Données projet'!$A$114,$BV$205^A18,IF(A18='Données projet'!$A$114,'Données projet'!$B$114,BY17+BX18-CG17)))</f>
        <v>30.429351993705815</v>
      </c>
      <c r="BZ18" s="14">
        <f>BY18*VLOOKUP('Données projet'!$B$12,Paramètres!$A$1:$I$89,3,0)*VLOOKUP('Données projet'!$B$12,Paramètres!$A$1:$I$89,5,0)</f>
        <v>26.583081901701402</v>
      </c>
      <c r="CA18" s="14">
        <f t="shared" si="39"/>
        <v>8.3624461445900025</v>
      </c>
      <c r="CB18" s="22">
        <f t="shared" si="10"/>
        <v>60.863461347290858</v>
      </c>
      <c r="CC18" s="62">
        <f t="shared" si="11"/>
        <v>354.19679468062418</v>
      </c>
      <c r="CD18" s="62">
        <f ca="1">AVERAGE(OFFSET($CC$3,0,0,'Données projet'!$E$12+1,1))-AVERAGE(OFFSET($H$3,0,0,'Données projet'!$E$12+1,1))</f>
        <v>248.60758320902863</v>
      </c>
      <c r="CE18" s="62">
        <f t="shared" si="40"/>
        <v>222.23585883330111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>
        <f>VLOOKUP(A18,'Données projet'!$A$139:$I$159,2,0)</f>
        <v>168</v>
      </c>
      <c r="CR18" s="13">
        <f>VLOOKUP(A18,'Données projet'!$A$139:$I$159,9,0)</f>
        <v>24.333333333333332</v>
      </c>
      <c r="CS18" s="13">
        <f t="array" ref="CS18">INDEX(CR:CR,MIN(IF(ISNUMBER(CR18:CR214),ROW(CR18:CR214),"")))</f>
        <v>24.333333333333332</v>
      </c>
      <c r="CT18" s="13">
        <f>IF('Données projet'!$A$140&gt;35,CT17+CS18-DB17,IF(A18&lt;'Données projet'!$A$140,$CQ$205^A18,IF(A18='Données projet'!$A$140,'Données projet'!$B$140,CT17+CS18-DB17)))</f>
        <v>168.00000000000003</v>
      </c>
      <c r="CU18" s="18">
        <f>CT18*VLOOKUP('Données projet'!$B$13,Paramètres!$A$1:$I$89,3,0)*VLOOKUP('Données projet'!$B$13,Paramètres!$A$1:$I$89,5,0)</f>
        <v>91.728000000000009</v>
      </c>
      <c r="CV18" s="14">
        <f t="shared" si="41"/>
        <v>24.981514582386563</v>
      </c>
      <c r="CW18" s="22">
        <f t="shared" si="13"/>
        <v>203.26907123098991</v>
      </c>
      <c r="CX18" s="62">
        <f t="shared" si="14"/>
        <v>496.60240456432325</v>
      </c>
      <c r="CY18" s="62">
        <f ca="1">AVERAGE(OFFSET($CX$3,0,0,'Données projet'!$E$13+1,1))-AVERAGE(OFFSET($H$3,0,0,'Données projet'!$E$13+1,1))</f>
        <v>135.44138026609272</v>
      </c>
      <c r="CZ18" s="62">
        <f t="shared" si="42"/>
        <v>254.77247578425659</v>
      </c>
      <c r="DA18" s="16">
        <f>IF(ISNA(VLOOKUP(A18,'Données projet'!$A$139:$I$159,3,0)),0,VLOOKUP(A18,'Données projet'!$A$139:$I$159,3,0))</f>
        <v>2</v>
      </c>
      <c r="DB18" s="16">
        <f>IF(ISNA(VLOOKUP(A18,'Données projet'!$A$139:$I$159,4,0)),0,VLOOKUP(A18,'Données projet'!$A$139:$I$159,4,0))</f>
        <v>47</v>
      </c>
      <c r="DC18" s="17">
        <f>IF(ISNA(VLOOKUP(A18,'Données projet'!$A$139:$I$159,5,0)),0%,VLOOKUP(A18,'Données projet'!$A$139:$I$159,5,0)*VLOOKUP('Données projet'!$B$13,Paramètres!$A$1:$I$89,7,0))</f>
        <v>0.18</v>
      </c>
      <c r="DD18" s="17">
        <f>IF(ISNA(VLOOKUP(A18,'Données projet'!$A$139:$I$159,6,0)),0%,VLOOKUP(A18,'Données projet'!$A$139:$I$159,6,0)*VLOOKUP('Données projet'!$B$13,Paramètres!$A$1:$I$89,7,0))</f>
        <v>0.252</v>
      </c>
      <c r="DE18" s="17">
        <f>IF(ISNA(VLOOKUP(A18,'Données projet'!$A$139:$I$159,7,0)),0%,VLOOKUP(A18,'Données projet'!$A$139:$I$159,7,0))</f>
        <v>0.28000000000000003</v>
      </c>
      <c r="DF18" s="23">
        <f>EXP(-LN(2)/35)*DF17+(1-EXP(-LN(2)/35))/(LN(2)/35)*DB18*DC18*VLOOKUP('Données projet'!$B$13,Paramètres!$A$1:$I$89,3,0)*0.475*44/12</f>
        <v>6.1276134699881055</v>
      </c>
      <c r="DG18" s="23">
        <f>EXP(-LN(2)/25)*DG17+(1-EXP(-LN(2)/25))/(LN(2)/25)*Calculateur!DB18*Calculateur!DD18*VLOOKUP('Données projet'!$B$13,Paramètres!$A$1:$I$89,3,0)*0.475*44/12</f>
        <v>13.563750142689535</v>
      </c>
      <c r="DH18" s="23">
        <f>EXP(-LN(2)/2)*DH17+(1-EXP(-LN(2)/2))/(LN(2)/2)*DB18*DE18*VLOOKUP('Données projet'!$B$13,Paramètres!$A$1:$I$89,3,0)*0.475*44/12</f>
        <v>9.971453530790237</v>
      </c>
      <c r="DI18" s="24">
        <f t="shared" si="15"/>
        <v>29.662817143467876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5.85</v>
      </c>
      <c r="DO18" s="13">
        <f>IF('Données projet'!$A$166&gt;35,DO17+DN18-DW17,IF(A18&lt;'Données projet'!$A$166,$DL$205^A18,IF(A18='Données projet'!$A$166,'Données projet'!$B$166,DO17+DN18-DW17)))</f>
        <v>35.574548453745123</v>
      </c>
      <c r="DP18" s="18">
        <f>DO18*VLOOKUP('Données projet'!$B$14,Paramètres!$A$1:$I$89,3,0)*VLOOKUP('Données projet'!$B$14,Paramètres!$A$1:$I$89,5,0)</f>
        <v>34.407703264462285</v>
      </c>
      <c r="DQ18" s="14">
        <f t="shared" si="43"/>
        <v>10.503668998370783</v>
      </c>
      <c r="DR18" s="22">
        <f t="shared" si="16"/>
        <v>78.22064002443426</v>
      </c>
      <c r="DS18" s="62">
        <f t="shared" si="17"/>
        <v>371.55397335776757</v>
      </c>
      <c r="DT18" s="62">
        <f ca="1">AVERAGE(OFFSET($DS$3,0,0,'Données projet'!$E$14+1,1))-AVERAGE(OFFSET($H$3,0,0,'Données projet'!$E$14+1,1))</f>
        <v>271.09447278906288</v>
      </c>
      <c r="DU18" s="62">
        <f t="shared" si="44"/>
        <v>325.1094067861851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5.85</v>
      </c>
      <c r="EJ18" s="13">
        <f>IF('Données projet'!$A$192&gt;35,EJ17+EI18-ER17,IF(A18&lt;'Données projet'!$A$192,$EG$205^A18,IF(A18='Données projet'!$A$192,'Données projet'!$B$192,EJ17+EI18-ER17)))</f>
        <v>35.574548453745123</v>
      </c>
      <c r="EK18" s="18">
        <f>EJ18*VLOOKUP('Données projet'!$B$15,Paramètres!$A$1:$I$89,3,0)*VLOOKUP('Données projet'!$B$15,Paramètres!$A$1:$I$89,5,0)</f>
        <v>38.292443955611247</v>
      </c>
      <c r="EL18" s="14">
        <f t="shared" si="45"/>
        <v>11.544916259496933</v>
      </c>
      <c r="EM18" s="22">
        <f t="shared" si="19"/>
        <v>86.800069041313407</v>
      </c>
      <c r="EN18" s="62">
        <f t="shared" si="20"/>
        <v>380.13340237464672</v>
      </c>
      <c r="EO18" s="62">
        <f ca="1">AVERAGE(OFFSET($EN$3,0,0,'Données projet'!$E$15+1,1))-AVERAGE(OFFSET($H$3,0,0,'Données projet'!$E$15+1,1))</f>
        <v>306.50593475734655</v>
      </c>
      <c r="EP18" s="62">
        <f t="shared" si="46"/>
        <v>366.48643801375079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11.731199999999999</v>
      </c>
      <c r="D19" s="12">
        <f t="shared" si="32"/>
        <v>4.0590373158284008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121.88955120990344</v>
      </c>
      <c r="H19" s="70">
        <f t="shared" si="1"/>
        <v>320.83466332506777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3.65</v>
      </c>
      <c r="N19" s="14">
        <f>IF('Données projet'!$A$36&gt;35,N18+M19-V18,IF(A19&lt;'Données projet'!$A$36,$K$205^A19,IF(A19='Données projet'!$A$36,'Données projet'!$B$36,N18+M19-V18)))</f>
        <v>30.949831440200953</v>
      </c>
      <c r="O19" s="14">
        <f>N19*VLOOKUP('Données projet'!$B$9,Paramètres!$A$1:$I$89,3,0)*VLOOKUP('Données projet'!$B$9,Paramètres!$A$1:$I$89,5,0)</f>
        <v>28.003407487093821</v>
      </c>
      <c r="P19" s="14">
        <f t="shared" si="33"/>
        <v>8.7560372090925433</v>
      </c>
      <c r="Q19" s="22">
        <f t="shared" si="2"/>
        <v>64.022699512524582</v>
      </c>
      <c r="R19" s="62">
        <f t="shared" si="0"/>
        <v>357.3560328458579</v>
      </c>
      <c r="S19" s="62">
        <f ca="1">AVERAGE(OFFSET($R$3,0,0,'Données projet'!$E$9+1,1))-AVERAGE(OFFSET($H$3,0,0,'Données projet'!$E$9+1,1))</f>
        <v>312.57314929661908</v>
      </c>
      <c r="T19" s="62">
        <f t="shared" si="34"/>
        <v>190.92100876773804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3.65</v>
      </c>
      <c r="AI19" s="14">
        <f>IF('Données projet'!$A$62&gt;35,AI18+AH19-AQ18,IF(A19&lt;'Données projet'!$A$62,$AF$205^A19,IF(A19='Données projet'!$A$62,'Données projet'!$B$62,AI18+AH19-AQ18)))</f>
        <v>30.949831440200953</v>
      </c>
      <c r="AJ19" s="14">
        <f>AI19*VLOOKUP('Données projet'!$B$10,Paramètres!$A$1:$I$89,3,0)*VLOOKUP('Données projet'!$B$10,Paramètres!$A$1:$I$89,5,0)</f>
        <v>31.383129080363769</v>
      </c>
      <c r="AK19" s="14">
        <f t="shared" si="35"/>
        <v>9.6835113353243223</v>
      </c>
      <c r="AL19" s="22">
        <f t="shared" si="4"/>
        <v>71.524398723990075</v>
      </c>
      <c r="AM19" s="62">
        <f t="shared" si="5"/>
        <v>364.8577320573234</v>
      </c>
      <c r="AN19" s="62">
        <f ca="1">AVERAGE(OFFSET($AM$3,0,0,'Données projet'!$E$10+1,1))-AVERAGE(OFFSET($H$3,0,0,'Données projet'!$E$10+1,1))</f>
        <v>360.56293184044779</v>
      </c>
      <c r="AO19" s="62">
        <f t="shared" si="36"/>
        <v>219.32252911220542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11.488888888888889</v>
      </c>
      <c r="BD19" s="13">
        <f>IF('Données projet'!$A$88&gt;35,BD18+BC19-BL18,IF(A19&lt;'Données projet'!$A$88,$BA$205^A19,IF(A19='Données projet'!$A$88,'Données projet'!$B$88,BD18+BC19-BL18)))</f>
        <v>114.35815543873987</v>
      </c>
      <c r="BE19" s="14">
        <f>BD19*VLOOKUP('Données projet'!$B$11,Paramètres!$A$1:$I$89,3,0)*VLOOKUP('Données projet'!$B$11,Paramètres!$A$1:$I$89,5,0)</f>
        <v>83.847399567684064</v>
      </c>
      <c r="BF19" s="14">
        <f t="shared" si="37"/>
        <v>23.075306253790728</v>
      </c>
      <c r="BG19" s="22">
        <f t="shared" si="7"/>
        <v>186.22371263906859</v>
      </c>
      <c r="BH19" s="62">
        <f t="shared" si="8"/>
        <v>479.55704597240191</v>
      </c>
      <c r="BI19" s="62">
        <f ca="1">AVERAGE(OFFSET($BH$3,0,0,'Données projet'!$E$11+1,1))-AVERAGE(OFFSET($H$3,0,0,'Données projet'!$E$11+1,1))</f>
        <v>182.06733089745194</v>
      </c>
      <c r="BJ19" s="62">
        <f t="shared" si="38"/>
        <v>320.36755413886021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4.75</v>
      </c>
      <c r="BY19" s="13">
        <f>IF('Données projet'!$A$114&gt;35,BY18+BX19-CG18,IF(A19&lt;'Données projet'!$A$114,$BV$205^A19,IF(A19='Données projet'!$A$114,'Données projet'!$B$114,BY18+BX19-CG18)))</f>
        <v>38.21016246244956</v>
      </c>
      <c r="BZ19" s="14">
        <f>BY19*VLOOKUP('Données projet'!$B$12,Paramètres!$A$1:$I$89,3,0)*VLOOKUP('Données projet'!$B$12,Paramètres!$A$1:$I$89,5,0)</f>
        <v>33.380397927195943</v>
      </c>
      <c r="CA19" s="14">
        <f t="shared" si="39"/>
        <v>10.22607945364838</v>
      </c>
      <c r="CB19" s="22">
        <f t="shared" si="10"/>
        <v>75.947948104970536</v>
      </c>
      <c r="CC19" s="62">
        <f t="shared" si="11"/>
        <v>369.28128143830384</v>
      </c>
      <c r="CD19" s="62">
        <f ca="1">AVERAGE(OFFSET($CC$3,0,0,'Données projet'!$E$12+1,1))-AVERAGE(OFFSET($H$3,0,0,'Données projet'!$E$12+1,1))</f>
        <v>248.60758320902863</v>
      </c>
      <c r="CE19" s="62">
        <f t="shared" si="40"/>
        <v>222.23585883330111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21.333333333333332</v>
      </c>
      <c r="CT19" s="13">
        <f>IF('Données projet'!$A$140&gt;35,CT18+CS19-DB18,IF(A19&lt;'Données projet'!$A$140,$CQ$205^A19,IF(A19='Données projet'!$A$140,'Données projet'!$B$140,CT18+CS19-DB18)))</f>
        <v>142.33333333333337</v>
      </c>
      <c r="CU19" s="18">
        <f>CT19*VLOOKUP('Données projet'!$B$13,Paramètres!$A$1:$I$89,3,0)*VLOOKUP('Données projet'!$B$13,Paramètres!$A$1:$I$89,5,0)</f>
        <v>77.714000000000027</v>
      </c>
      <c r="CV19" s="14">
        <f t="shared" si="41"/>
        <v>21.577305655991772</v>
      </c>
      <c r="CW19" s="22">
        <f t="shared" si="13"/>
        <v>172.93235735085239</v>
      </c>
      <c r="CX19" s="62">
        <f t="shared" si="14"/>
        <v>466.2656906841857</v>
      </c>
      <c r="CY19" s="62">
        <f ca="1">AVERAGE(OFFSET($CX$3,0,0,'Données projet'!$E$13+1,1))-AVERAGE(OFFSET($H$3,0,0,'Données projet'!$E$13+1,1))</f>
        <v>135.44138026609272</v>
      </c>
      <c r="CZ19" s="62">
        <f t="shared" si="42"/>
        <v>254.77247578425659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6.0074547073168105</v>
      </c>
      <c r="DG19" s="23">
        <f>EXP(-LN(2)/25)*DG18+(1-EXP(-LN(2)/25))/(LN(2)/25)*Calculateur!DB19*Calculateur!DD19*VLOOKUP('Données projet'!$B$13,Paramètres!$A$1:$I$89,3,0)*0.475*44/12</f>
        <v>13.192848681751071</v>
      </c>
      <c r="DH19" s="23">
        <f>EXP(-LN(2)/2)*DH18+(1-EXP(-LN(2)/2))/(LN(2)/2)*DB19*DE19*VLOOKUP('Données projet'!$B$13,Paramètres!$A$1:$I$89,3,0)*0.475*44/12</f>
        <v>7.0508824099083194</v>
      </c>
      <c r="DI19" s="24">
        <f t="shared" si="15"/>
        <v>26.251185798976202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5.85</v>
      </c>
      <c r="DO19" s="13">
        <f>IF('Données projet'!$A$166&gt;35,DO18+DN19-DW18,IF(A19&lt;'Données projet'!$A$166,$DL$205^A19,IF(A19='Données projet'!$A$166,'Données projet'!$B$166,DO18+DN19-DW18)))</f>
        <v>45.138662812705725</v>
      </c>
      <c r="DP19" s="18">
        <f>DO19*VLOOKUP('Données projet'!$B$14,Paramètres!$A$1:$I$89,3,0)*VLOOKUP('Données projet'!$B$14,Paramètres!$A$1:$I$89,5,0)</f>
        <v>43.658114672448981</v>
      </c>
      <c r="DQ19" s="14">
        <f t="shared" si="43"/>
        <v>12.963237527960672</v>
      </c>
      <c r="DR19" s="22">
        <f t="shared" si="16"/>
        <v>98.61552174904682</v>
      </c>
      <c r="DS19" s="62">
        <f t="shared" si="17"/>
        <v>391.94885508238013</v>
      </c>
      <c r="DT19" s="62">
        <f ca="1">AVERAGE(OFFSET($DS$3,0,0,'Données projet'!$E$14+1,1))-AVERAGE(OFFSET($H$3,0,0,'Données projet'!$E$14+1,1))</f>
        <v>271.09447278906288</v>
      </c>
      <c r="DU19" s="62">
        <f t="shared" si="44"/>
        <v>325.1094067861851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5.85</v>
      </c>
      <c r="EJ19" s="13">
        <f>IF('Données projet'!$A$192&gt;35,EJ18+EI19-ER18,IF(A19&lt;'Données projet'!$A$192,$EG$205^A19,IF(A19='Données projet'!$A$192,'Données projet'!$B$192,EJ18+EI19-ER18)))</f>
        <v>45.138662812705725</v>
      </c>
      <c r="EK19" s="18">
        <f>EJ19*VLOOKUP('Données projet'!$B$15,Paramètres!$A$1:$I$89,3,0)*VLOOKUP('Données projet'!$B$15,Paramètres!$A$1:$I$89,5,0)</f>
        <v>48.587256651596441</v>
      </c>
      <c r="EL19" s="14">
        <f t="shared" si="45"/>
        <v>14.248306161921862</v>
      </c>
      <c r="EM19" s="22">
        <f t="shared" si="19"/>
        <v>109.43860523354437</v>
      </c>
      <c r="EN19" s="62">
        <f t="shared" si="20"/>
        <v>402.77193856687768</v>
      </c>
      <c r="EO19" s="62">
        <f ca="1">AVERAGE(OFFSET($EN$3,0,0,'Données projet'!$E$15+1,1))-AVERAGE(OFFSET($H$3,0,0,'Données projet'!$E$15+1,1))</f>
        <v>306.50593475734655</v>
      </c>
      <c r="EP19" s="62">
        <f t="shared" si="46"/>
        <v>366.48643801375079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12.464399999999999</v>
      </c>
      <c r="D20" s="12">
        <f t="shared" si="32"/>
        <v>4.2824006291256396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129.27354871605758</v>
      </c>
      <c r="H20" s="70">
        <f t="shared" si="1"/>
        <v>322.50067776239382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3.65</v>
      </c>
      <c r="N20" s="14">
        <f>IF('Données projet'!$A$36&gt;35,N19+M20-V19,IF(A20&lt;'Données projet'!$A$36,$K$205^A20,IF(A20='Données projet'!$A$36,'Données projet'!$B$36,N19+M20-V19)))</f>
        <v>38.355215845858055</v>
      </c>
      <c r="O20" s="14">
        <f>N20*VLOOKUP('Données projet'!$B$9,Paramètres!$A$1:$I$89,3,0)*VLOOKUP('Données projet'!$B$9,Paramètres!$A$1:$I$89,5,0)</f>
        <v>34.703799297332367</v>
      </c>
      <c r="P20" s="14">
        <f t="shared" si="33"/>
        <v>10.583497277259243</v>
      </c>
      <c r="Q20" s="22">
        <f t="shared" si="2"/>
        <v>78.875374867413711</v>
      </c>
      <c r="R20" s="62">
        <f t="shared" si="0"/>
        <v>372.20870820074703</v>
      </c>
      <c r="S20" s="62">
        <f ca="1">AVERAGE(OFFSET($R$3,0,0,'Données projet'!$E$9+1,1))-AVERAGE(OFFSET($H$3,0,0,'Données projet'!$E$9+1,1))</f>
        <v>312.57314929661908</v>
      </c>
      <c r="T20" s="62">
        <f t="shared" si="34"/>
        <v>190.92100876773804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3.65</v>
      </c>
      <c r="AI20" s="14">
        <f>IF('Données projet'!$A$62&gt;35,AI19+AH20-AQ19,IF(A20&lt;'Données projet'!$A$62,$AF$205^A20,IF(A20='Données projet'!$A$62,'Données projet'!$B$62,AI19+AH20-AQ19)))</f>
        <v>38.355215845858055</v>
      </c>
      <c r="AJ20" s="14">
        <f>AI20*VLOOKUP('Données projet'!$B$10,Paramètres!$A$1:$I$89,3,0)*VLOOKUP('Données projet'!$B$10,Paramètres!$A$1:$I$89,5,0)</f>
        <v>38.892188867700071</v>
      </c>
      <c r="AK20" s="14">
        <f t="shared" si="35"/>
        <v>11.704543208803392</v>
      </c>
      <c r="AL20" s="22">
        <f t="shared" si="4"/>
        <v>88.122641699910204</v>
      </c>
      <c r="AM20" s="62">
        <f t="shared" si="5"/>
        <v>381.45597503324353</v>
      </c>
      <c r="AN20" s="62">
        <f ca="1">AVERAGE(OFFSET($AM$3,0,0,'Données projet'!$E$10+1,1))-AVERAGE(OFFSET($H$3,0,0,'Données projet'!$E$10+1,1))</f>
        <v>360.56293184044779</v>
      </c>
      <c r="AO20" s="62">
        <f t="shared" si="36"/>
        <v>219.32252911220542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11.488888888888889</v>
      </c>
      <c r="BD20" s="13">
        <f>IF('Données projet'!$A$88&gt;35,BD19+BC20-BL19,IF(A20&lt;'Données projet'!$A$88,$BA$205^A20,IF(A20='Données projet'!$A$88,'Données projet'!$B$88,BD19+BC20-BL19)))</f>
        <v>153.78318030503658</v>
      </c>
      <c r="BE20" s="14">
        <f>BD20*VLOOKUP('Données projet'!$B$11,Paramètres!$A$1:$I$89,3,0)*VLOOKUP('Données projet'!$B$11,Paramètres!$A$1:$I$89,5,0)</f>
        <v>112.75382779965283</v>
      </c>
      <c r="BF20" s="14">
        <f t="shared" si="37"/>
        <v>29.978871221571534</v>
      </c>
      <c r="BG20" s="22">
        <f t="shared" si="7"/>
        <v>248.59278412863242</v>
      </c>
      <c r="BH20" s="62">
        <f t="shared" si="8"/>
        <v>541.92611746196576</v>
      </c>
      <c r="BI20" s="62">
        <f ca="1">AVERAGE(OFFSET($BH$3,0,0,'Données projet'!$E$11+1,1))-AVERAGE(OFFSET($H$3,0,0,'Données projet'!$E$11+1,1))</f>
        <v>182.06733089745194</v>
      </c>
      <c r="BJ20" s="62">
        <f t="shared" si="38"/>
        <v>320.36755413886021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4.75</v>
      </c>
      <c r="BY20" s="13">
        <f>IF('Données projet'!$A$114&gt;35,BY19+BX20-CG19,IF(A20&lt;'Données projet'!$A$114,$BV$205^A20,IF(A20='Données projet'!$A$114,'Données projet'!$B$114,BY19+BX20-CG19)))</f>
        <v>47.980532602494719</v>
      </c>
      <c r="BZ20" s="14">
        <f>BY20*VLOOKUP('Données projet'!$B$12,Paramètres!$A$1:$I$89,3,0)*VLOOKUP('Données projet'!$B$12,Paramètres!$A$1:$I$89,5,0)</f>
        <v>41.915793281539393</v>
      </c>
      <c r="CA20" s="14">
        <f t="shared" si="39"/>
        <v>12.50503730418423</v>
      </c>
      <c r="CB20" s="22">
        <f t="shared" si="10"/>
        <v>94.782946603468645</v>
      </c>
      <c r="CC20" s="62">
        <f t="shared" si="11"/>
        <v>388.11627993680196</v>
      </c>
      <c r="CD20" s="62">
        <f ca="1">AVERAGE(OFFSET($CC$3,0,0,'Données projet'!$E$12+1,1))-AVERAGE(OFFSET($H$3,0,0,'Données projet'!$E$12+1,1))</f>
        <v>248.60758320902863</v>
      </c>
      <c r="CE20" s="62">
        <f t="shared" si="40"/>
        <v>222.23585883330111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21.333333333333332</v>
      </c>
      <c r="CT20" s="13">
        <f>IF('Données projet'!$A$140&gt;35,CT19+CS20-DB19,IF(A20&lt;'Données projet'!$A$140,$CQ$205^A20,IF(A20='Données projet'!$A$140,'Données projet'!$B$140,CT19+CS20-DB19)))</f>
        <v>163.66666666666671</v>
      </c>
      <c r="CU20" s="18">
        <f>CT20*VLOOKUP('Données projet'!$B$13,Paramètres!$A$1:$I$89,3,0)*VLOOKUP('Données projet'!$B$13,Paramètres!$A$1:$I$89,5,0)</f>
        <v>89.362000000000037</v>
      </c>
      <c r="CV20" s="14">
        <f t="shared" si="41"/>
        <v>24.411291106060958</v>
      </c>
      <c r="CW20" s="22">
        <f t="shared" si="13"/>
        <v>198.15514867638956</v>
      </c>
      <c r="CX20" s="62">
        <f t="shared" si="14"/>
        <v>491.48848200972287</v>
      </c>
      <c r="CY20" s="62">
        <f ca="1">AVERAGE(OFFSET($CX$3,0,0,'Données projet'!$E$13+1,1))-AVERAGE(OFFSET($H$3,0,0,'Données projet'!$E$13+1,1))</f>
        <v>135.44138026609272</v>
      </c>
      <c r="CZ20" s="62">
        <f t="shared" si="42"/>
        <v>254.77247578425659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5.889652184691891</v>
      </c>
      <c r="DG20" s="23">
        <f>EXP(-LN(2)/25)*DG19+(1-EXP(-LN(2)/25))/(LN(2)/25)*Calculateur!DB20*Calculateur!DD20*VLOOKUP('Données projet'!$B$13,Paramètres!$A$1:$I$89,3,0)*0.475*44/12</f>
        <v>12.832089540766829</v>
      </c>
      <c r="DH20" s="23">
        <f>EXP(-LN(2)/2)*DH19+(1-EXP(-LN(2)/2))/(LN(2)/2)*DB20*DE20*VLOOKUP('Données projet'!$B$13,Paramètres!$A$1:$I$89,3,0)*0.475*44/12</f>
        <v>4.9857267653951194</v>
      </c>
      <c r="DI20" s="24">
        <f t="shared" si="15"/>
        <v>23.707468490853842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5.85</v>
      </c>
      <c r="DO20" s="13">
        <f>IF('Données projet'!$A$166&gt;35,DO19+DN20-DW19,IF(A20&lt;'Données projet'!$A$166,$DL$205^A20,IF(A20='Données projet'!$A$166,'Données projet'!$B$166,DO19+DN20-DW19)))</f>
        <v>57.274061627749042</v>
      </c>
      <c r="DP20" s="18">
        <f>DO20*VLOOKUP('Données projet'!$B$14,Paramètres!$A$1:$I$89,3,0)*VLOOKUP('Données projet'!$B$14,Paramètres!$A$1:$I$89,5,0)</f>
        <v>55.395472406358877</v>
      </c>
      <c r="DQ20" s="14">
        <f t="shared" si="43"/>
        <v>15.998745508107049</v>
      </c>
      <c r="DR20" s="22">
        <f t="shared" si="16"/>
        <v>124.34492953436147</v>
      </c>
      <c r="DS20" s="62">
        <f t="shared" si="17"/>
        <v>417.6782628676948</v>
      </c>
      <c r="DT20" s="62">
        <f ca="1">AVERAGE(OFFSET($DS$3,0,0,'Données projet'!$E$14+1,1))-AVERAGE(OFFSET($H$3,0,0,'Données projet'!$E$14+1,1))</f>
        <v>271.09447278906288</v>
      </c>
      <c r="DU20" s="62">
        <f t="shared" si="44"/>
        <v>325.1094067861851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5.85</v>
      </c>
      <c r="EJ20" s="13">
        <f>IF('Données projet'!$A$192&gt;35,EJ19+EI20-ER19,IF(A20&lt;'Données projet'!$A$192,$EG$205^A20,IF(A20='Données projet'!$A$192,'Données projet'!$B$192,EJ19+EI20-ER19)))</f>
        <v>57.274061627749042</v>
      </c>
      <c r="EK20" s="18">
        <f>EJ20*VLOOKUP('Données projet'!$B$15,Paramètres!$A$1:$I$89,3,0)*VLOOKUP('Données projet'!$B$15,Paramètres!$A$1:$I$89,5,0)</f>
        <v>61.649799936109062</v>
      </c>
      <c r="EL20" s="14">
        <f t="shared" si="45"/>
        <v>17.584729409956466</v>
      </c>
      <c r="EM20" s="22">
        <f t="shared" si="19"/>
        <v>138.00013861106413</v>
      </c>
      <c r="EN20" s="62">
        <f t="shared" si="20"/>
        <v>431.33347194439744</v>
      </c>
      <c r="EO20" s="62">
        <f ca="1">AVERAGE(OFFSET($EN$3,0,0,'Données projet'!$E$15+1,1))-AVERAGE(OFFSET($H$3,0,0,'Données projet'!$E$15+1,1))</f>
        <v>306.50593475734655</v>
      </c>
      <c r="EP20" s="62">
        <f t="shared" si="46"/>
        <v>366.48643801375079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13.1976</v>
      </c>
      <c r="D21" s="12">
        <f t="shared" si="32"/>
        <v>4.504238856327774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136.64577362779337</v>
      </c>
      <c r="H21" s="70">
        <f t="shared" si="1"/>
        <v>324.16403600810418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3.65</v>
      </c>
      <c r="N21" s="14">
        <f>IF('Données projet'!$A$36&gt;35,N20+M21-V20,IF(A21&lt;'Données projet'!$A$36,$K$205^A21,IF(A21='Données projet'!$A$36,'Données projet'!$B$36,N20+M21-V20)))</f>
        <v>47.532490941824946</v>
      </c>
      <c r="O21" s="14">
        <f>N21*VLOOKUP('Données projet'!$B$9,Paramètres!$A$1:$I$89,3,0)*VLOOKUP('Données projet'!$B$9,Paramètres!$A$1:$I$89,5,0)</f>
        <v>43.007397804163212</v>
      </c>
      <c r="P21" s="14">
        <f t="shared" si="33"/>
        <v>12.792363936215189</v>
      </c>
      <c r="Q21" s="22">
        <f t="shared" si="2"/>
        <v>97.184585031159045</v>
      </c>
      <c r="R21" s="62">
        <f t="shared" si="0"/>
        <v>390.51791836449235</v>
      </c>
      <c r="S21" s="62">
        <f ca="1">AVERAGE(OFFSET($R$3,0,0,'Données projet'!$E$9+1,1))-AVERAGE(OFFSET($H$3,0,0,'Données projet'!$E$9+1,1))</f>
        <v>312.57314929661908</v>
      </c>
      <c r="T21" s="62">
        <f t="shared" si="34"/>
        <v>190.92100876773804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3.65</v>
      </c>
      <c r="AI21" s="14">
        <f>IF('Données projet'!$A$62&gt;35,AI20+AH21-AQ20,IF(A21&lt;'Données projet'!$A$62,$AF$205^A21,IF(A21='Données projet'!$A$62,'Données projet'!$B$62,AI20+AH21-AQ20)))</f>
        <v>47.532490941824946</v>
      </c>
      <c r="AJ21" s="14">
        <f>AI21*VLOOKUP('Données projet'!$B$10,Paramètres!$A$1:$I$89,3,0)*VLOOKUP('Données projet'!$B$10,Paramètres!$A$1:$I$89,5,0)</f>
        <v>48.197945815010499</v>
      </c>
      <c r="AK21" s="14">
        <f t="shared" si="35"/>
        <v>14.147381769152156</v>
      </c>
      <c r="AL21" s="22">
        <f t="shared" si="4"/>
        <v>108.58477887574996</v>
      </c>
      <c r="AM21" s="62">
        <f t="shared" si="5"/>
        <v>401.91811220908329</v>
      </c>
      <c r="AN21" s="62">
        <f ca="1">AVERAGE(OFFSET($AM$3,0,0,'Données projet'!$E$10+1,1))-AVERAGE(OFFSET($H$3,0,0,'Données projet'!$E$10+1,1))</f>
        <v>360.56293184044779</v>
      </c>
      <c r="AO21" s="62">
        <f t="shared" si="36"/>
        <v>219.32252911220542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>
        <f>VLOOKUP(A21,'Données projet'!$A$87:$I$107,2,0)</f>
        <v>206.8</v>
      </c>
      <c r="BB21" s="13">
        <f>VLOOKUP(A21,'Données projet'!$A$87:$I$107,9,0)</f>
        <v>11.488888888888889</v>
      </c>
      <c r="BC21" s="13">
        <f t="array" ref="BC21">INDEX(BB:BB,MIN(IF(ISNUMBER(BB21:BB217),ROW(BB21:BB217),"")))</f>
        <v>11.488888888888889</v>
      </c>
      <c r="BD21" s="13">
        <f>IF('Données projet'!$A$88&gt;35,BD20+BC21-BL20,IF(A21&lt;'Données projet'!$A$88,$BA$205^A21,IF(A21='Données projet'!$A$88,'Données projet'!$B$88,BD20+BC21-BL20)))</f>
        <v>206.8</v>
      </c>
      <c r="BE21" s="14">
        <f>BD21*VLOOKUP('Données projet'!$B$11,Paramètres!$A$1:$I$89,3,0)*VLOOKUP('Données projet'!$B$11,Paramètres!$A$1:$I$89,5,0)</f>
        <v>151.62576000000001</v>
      </c>
      <c r="BF21" s="14">
        <f t="shared" si="37"/>
        <v>38.947813295952635</v>
      </c>
      <c r="BG21" s="22">
        <f t="shared" si="7"/>
        <v>331.91564015711754</v>
      </c>
      <c r="BH21" s="62">
        <f t="shared" si="8"/>
        <v>625.24897349045091</v>
      </c>
      <c r="BI21" s="62">
        <f ca="1">AVERAGE(OFFSET($BH$3,0,0,'Données projet'!$E$11+1,1))-AVERAGE(OFFSET($H$3,0,0,'Données projet'!$E$11+1,1))</f>
        <v>182.06733089745194</v>
      </c>
      <c r="BJ21" s="62">
        <f t="shared" si="38"/>
        <v>320.36755413886021</v>
      </c>
      <c r="BK21" s="16">
        <f>IF(ISNA(VLOOKUP(A21,'Données projet'!$A$87:$I$107,3,0)),0,VLOOKUP(A21,'Données projet'!$A$87:$I$107,3,0))</f>
        <v>1</v>
      </c>
      <c r="BL21" s="16">
        <f>IF(ISNA(VLOOKUP(A21,'Données projet'!$A$87:$I$107,4,0)),0,VLOOKUP(A21,'Données projet'!$A$87:$I$107,4,0))</f>
        <v>20.68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4.75</v>
      </c>
      <c r="BY21" s="13">
        <f>IF('Données projet'!$A$114&gt;35,BY20+BX21-CG20,IF(A21&lt;'Données projet'!$A$114,$BV$205^A21,IF(A21='Données projet'!$A$114,'Données projet'!$B$114,BY20+BX21-CG20)))</f>
        <v>60.249194467085609</v>
      </c>
      <c r="BZ21" s="14">
        <f>BY21*VLOOKUP('Données projet'!$B$12,Paramètres!$A$1:$I$89,3,0)*VLOOKUP('Données projet'!$B$12,Paramètres!$A$1:$I$89,5,0)</f>
        <v>52.633696286445996</v>
      </c>
      <c r="CA21" s="14">
        <f t="shared" si="39"/>
        <v>15.291877858747567</v>
      </c>
      <c r="CB21" s="22">
        <f t="shared" si="10"/>
        <v>118.30370830287877</v>
      </c>
      <c r="CC21" s="62">
        <f t="shared" si="11"/>
        <v>411.63704163621207</v>
      </c>
      <c r="CD21" s="62">
        <f ca="1">AVERAGE(OFFSET($CC$3,0,0,'Données projet'!$E$12+1,1))-AVERAGE(OFFSET($H$3,0,0,'Données projet'!$E$12+1,1))</f>
        <v>248.60758320902863</v>
      </c>
      <c r="CE21" s="62">
        <f t="shared" si="40"/>
        <v>222.23585883330111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>
        <f>VLOOKUP(A21,'Données projet'!$A$139:$I$159,2,0)</f>
        <v>185</v>
      </c>
      <c r="CR21" s="13">
        <f>VLOOKUP(A21,'Données projet'!$A$139:$I$159,9,0)</f>
        <v>21.333333333333332</v>
      </c>
      <c r="CS21" s="13">
        <f t="array" ref="CS21">INDEX(CR:CR,MIN(IF(ISNUMBER(CR21:CR217),ROW(CR21:CR217),"")))</f>
        <v>21.333333333333332</v>
      </c>
      <c r="CT21" s="13">
        <f>IF('Données projet'!$A$140&gt;35,CT20+CS21-DB20,IF(A21&lt;'Données projet'!$A$140,$CQ$205^A21,IF(A21='Données projet'!$A$140,'Données projet'!$B$140,CT20+CS21-DB20)))</f>
        <v>185.00000000000006</v>
      </c>
      <c r="CU21" s="18">
        <f>CT21*VLOOKUP('Données projet'!$B$13,Paramètres!$A$1:$I$89,3,0)*VLOOKUP('Données projet'!$B$13,Paramètres!$A$1:$I$89,5,0)</f>
        <v>101.01000000000002</v>
      </c>
      <c r="CV21" s="14">
        <f t="shared" si="41"/>
        <v>27.202475209169602</v>
      </c>
      <c r="CW21" s="22">
        <f t="shared" si="13"/>
        <v>223.30339432263705</v>
      </c>
      <c r="CX21" s="62">
        <f t="shared" si="14"/>
        <v>516.63672765597039</v>
      </c>
      <c r="CY21" s="62">
        <f ca="1">AVERAGE(OFFSET($CX$3,0,0,'Données projet'!$E$13+1,1))-AVERAGE(OFFSET($H$3,0,0,'Données projet'!$E$13+1,1))</f>
        <v>135.44138026609272</v>
      </c>
      <c r="CZ21" s="62">
        <f t="shared" si="42"/>
        <v>254.77247578425659</v>
      </c>
      <c r="DA21" s="16">
        <f>IF(ISNA(VLOOKUP(A21,'Données projet'!$A$139:$I$159,3,0)),0,VLOOKUP(A21,'Données projet'!$A$139:$I$159,3,0))</f>
        <v>3</v>
      </c>
      <c r="DB21" s="16">
        <f>IF(ISNA(VLOOKUP(A21,'Données projet'!$A$139:$I$159,4,0)),0,VLOOKUP(A21,'Données projet'!$A$139:$I$159,4,0))</f>
        <v>61</v>
      </c>
      <c r="DC21" s="17">
        <f>IF(ISNA(VLOOKUP(A21,'Données projet'!$A$139:$I$159,5,0)),0%,VLOOKUP(A21,'Données projet'!$A$139:$I$159,5,0)*VLOOKUP('Données projet'!$B$13,Paramètres!$A$1:$I$89,7,0))</f>
        <v>0.3</v>
      </c>
      <c r="DD21" s="17">
        <f>IF(ISNA(VLOOKUP(A21,'Données projet'!$A$139:$I$159,6,0)),0%,VLOOKUP(A21,'Données projet'!$A$139:$I$159,6,0)*VLOOKUP('Données projet'!$B$13,Paramètres!$A$1:$I$89,7,0))</f>
        <v>0.18</v>
      </c>
      <c r="DE21" s="17">
        <f>IF(ISNA(VLOOKUP(A21,'Données projet'!$A$139:$I$159,7,0)),0%,VLOOKUP(A21,'Données projet'!$A$139:$I$159,7,0))</f>
        <v>0.2</v>
      </c>
      <c r="DF21" s="23">
        <f>EXP(-LN(2)/35)*DF20+(1-EXP(-LN(2)/35))/(LN(2)/35)*DB21*DC21*VLOOKUP('Données projet'!$B$13,Paramètres!$A$1:$I$89,3,0)*0.475*44/12</f>
        <v>19.028926423544</v>
      </c>
      <c r="DG21" s="23">
        <f>EXP(-LN(2)/25)*DG20+(1-EXP(-LN(2)/25))/(LN(2)/25)*Calculateur!DB21*Calculateur!DD21*VLOOKUP('Données projet'!$B$13,Paramètres!$A$1:$I$89,3,0)*0.475*44/12</f>
        <v>20.402741972743705</v>
      </c>
      <c r="DH21" s="23">
        <f>EXP(-LN(2)/2)*DH20+(1-EXP(-LN(2)/2))/(LN(2)/2)*DB21*DE21*VLOOKUP('Données projet'!$B$13,Paramètres!$A$1:$I$89,3,0)*0.475*44/12</f>
        <v>11.067466985237454</v>
      </c>
      <c r="DI21" s="24">
        <f t="shared" si="15"/>
        <v>50.499135381525157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5.85</v>
      </c>
      <c r="DO21" s="13">
        <f>IF('Données projet'!$A$166&gt;35,DO20+DN21-DW20,IF(A21&lt;'Données projet'!$A$166,$DL$205^A21,IF(A21='Données projet'!$A$166,'Données projet'!$B$166,DO20+DN21-DW20)))</f>
        <v>72.672027280698373</v>
      </c>
      <c r="DP21" s="18">
        <f>DO21*VLOOKUP('Données projet'!$B$14,Paramètres!$A$1:$I$89,3,0)*VLOOKUP('Données projet'!$B$14,Paramètres!$A$1:$I$89,5,0)</f>
        <v>70.288384785891466</v>
      </c>
      <c r="DQ21" s="14">
        <f t="shared" si="43"/>
        <v>19.745056532451155</v>
      </c>
      <c r="DR21" s="22">
        <f t="shared" si="16"/>
        <v>156.80824362944674</v>
      </c>
      <c r="DS21" s="62">
        <f t="shared" si="17"/>
        <v>450.14157696278005</v>
      </c>
      <c r="DT21" s="62">
        <f ca="1">AVERAGE(OFFSET($DS$3,0,0,'Données projet'!$E$14+1,1))-AVERAGE(OFFSET($H$3,0,0,'Données projet'!$E$14+1,1))</f>
        <v>271.09447278906288</v>
      </c>
      <c r="DU21" s="62">
        <f t="shared" si="44"/>
        <v>325.1094067861851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5.85</v>
      </c>
      <c r="EJ21" s="13">
        <f>IF('Données projet'!$A$192&gt;35,EJ20+EI21-ER20,IF(A21&lt;'Données projet'!$A$192,$EG$205^A21,IF(A21='Données projet'!$A$192,'Données projet'!$B$192,EJ20+EI21-ER20)))</f>
        <v>72.672027280698373</v>
      </c>
      <c r="EK21" s="18">
        <f>EJ21*VLOOKUP('Données projet'!$B$15,Paramètres!$A$1:$I$89,3,0)*VLOOKUP('Données projet'!$B$15,Paramètres!$A$1:$I$89,5,0)</f>
        <v>78.224170164943729</v>
      </c>
      <c r="EL21" s="14">
        <f t="shared" si="45"/>
        <v>21.702418863498036</v>
      </c>
      <c r="EM21" s="22">
        <f t="shared" si="19"/>
        <v>174.03880922453607</v>
      </c>
      <c r="EN21" s="62">
        <f t="shared" si="20"/>
        <v>467.37214255786938</v>
      </c>
      <c r="EO21" s="62">
        <f ca="1">AVERAGE(OFFSET($EN$3,0,0,'Données projet'!$E$15+1,1))-AVERAGE(OFFSET($H$3,0,0,'Données projet'!$E$15+1,1))</f>
        <v>306.50593475734655</v>
      </c>
      <c r="EP21" s="62">
        <f t="shared" si="46"/>
        <v>366.48643801375079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13.9308</v>
      </c>
      <c r="D22" s="12">
        <f t="shared" si="32"/>
        <v>4.7246463812124082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144.00695452163964</v>
      </c>
      <c r="H22" s="70">
        <f t="shared" si="1"/>
        <v>325.82490244727825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3.65</v>
      </c>
      <c r="N22" s="14">
        <f>IF('Données projet'!$A$36&gt;35,N21+M22-V21,IF(A22&lt;'Données projet'!$A$36,$K$205^A22,IF(A22='Données projet'!$A$36,'Données projet'!$B$36,N21+M22-V21)))</f>
        <v>58.90561805764559</v>
      </c>
      <c r="O22" s="14">
        <f>N22*VLOOKUP('Données projet'!$B$9,Paramètres!$A$1:$I$89,3,0)*VLOOKUP('Données projet'!$B$9,Paramètres!$A$1:$I$89,5,0)</f>
        <v>53.297803218557732</v>
      </c>
      <c r="P22" s="14">
        <f t="shared" si="33"/>
        <v>15.462240012873817</v>
      </c>
      <c r="Q22" s="22">
        <f t="shared" si="2"/>
        <v>119.75707529474329</v>
      </c>
      <c r="R22" s="62">
        <f t="shared" si="0"/>
        <v>413.0904086280766</v>
      </c>
      <c r="S22" s="62">
        <f ca="1">AVERAGE(OFFSET($R$3,0,0,'Données projet'!$E$9+1,1))-AVERAGE(OFFSET($H$3,0,0,'Données projet'!$E$9+1,1))</f>
        <v>312.57314929661908</v>
      </c>
      <c r="T22" s="62">
        <f t="shared" si="34"/>
        <v>190.92100876773804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3.65</v>
      </c>
      <c r="AI22" s="14">
        <f>IF('Données projet'!$A$62&gt;35,AI21+AH22-AQ21,IF(A22&lt;'Données projet'!$A$62,$AF$205^A22,IF(A22='Données projet'!$A$62,'Données projet'!$B$62,AI21+AH22-AQ21)))</f>
        <v>58.90561805764559</v>
      </c>
      <c r="AJ22" s="14">
        <f>AI22*VLOOKUP('Données projet'!$B$10,Paramètres!$A$1:$I$89,3,0)*VLOOKUP('Données projet'!$B$10,Paramètres!$A$1:$I$89,5,0)</f>
        <v>59.730296710452635</v>
      </c>
      <c r="AK22" s="14">
        <f t="shared" si="35"/>
        <v>17.100061689857345</v>
      </c>
      <c r="AL22" s="22">
        <f t="shared" si="4"/>
        <v>133.81287421387319</v>
      </c>
      <c r="AM22" s="62">
        <f t="shared" si="5"/>
        <v>427.14620754720647</v>
      </c>
      <c r="AN22" s="62">
        <f ca="1">AVERAGE(OFFSET($AM$3,0,0,'Données projet'!$E$10+1,1))-AVERAGE(OFFSET($H$3,0,0,'Données projet'!$E$10+1,1))</f>
        <v>360.56293184044779</v>
      </c>
      <c r="AO22" s="62">
        <f t="shared" si="36"/>
        <v>219.32252911220542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8.5999999999999979</v>
      </c>
      <c r="BD22" s="13">
        <f>IF('Données projet'!$A$88&gt;35,BD21+BC22-BL21,IF(A22&lt;'Données projet'!$A$88,$BA$205^A22,IF(A22='Données projet'!$A$88,'Données projet'!$B$88,BD21+BC22-BL21)))</f>
        <v>194.72</v>
      </c>
      <c r="BE22" s="14">
        <f>BD22*VLOOKUP('Données projet'!$B$11,Paramètres!$A$1:$I$89,3,0)*VLOOKUP('Données projet'!$B$11,Paramètres!$A$1:$I$89,5,0)</f>
        <v>142.76870400000001</v>
      </c>
      <c r="BF22" s="14">
        <f t="shared" si="37"/>
        <v>36.930551979472227</v>
      </c>
      <c r="BG22" s="22">
        <f t="shared" si="7"/>
        <v>312.97620416424746</v>
      </c>
      <c r="BH22" s="62">
        <f t="shared" si="8"/>
        <v>606.30953749758078</v>
      </c>
      <c r="BI22" s="62">
        <f ca="1">AVERAGE(OFFSET($BH$3,0,0,'Données projet'!$E$11+1,1))-AVERAGE(OFFSET($H$3,0,0,'Données projet'!$E$11+1,1))</f>
        <v>182.06733089745194</v>
      </c>
      <c r="BJ22" s="62">
        <f t="shared" si="38"/>
        <v>320.36755413886021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4.75</v>
      </c>
      <c r="BY22" s="13">
        <f>IF('Données projet'!$A$114&gt;35,BY21+BX22-CG21,IF(A22&lt;'Données projet'!$A$114,$BV$205^A22,IF(A22='Données projet'!$A$114,'Données projet'!$B$114,BY21+BX22-CG21)))</f>
        <v>75.65496331618381</v>
      </c>
      <c r="BZ22" s="14">
        <f>BY22*VLOOKUP('Données projet'!$B$12,Paramètres!$A$1:$I$89,3,0)*VLOOKUP('Données projet'!$B$12,Paramètres!$A$1:$I$89,5,0)</f>
        <v>66.092175953018184</v>
      </c>
      <c r="CA22" s="14">
        <f t="shared" si="39"/>
        <v>18.699786554703834</v>
      </c>
      <c r="CB22" s="22">
        <f t="shared" si="10"/>
        <v>147.67933470094917</v>
      </c>
      <c r="CC22" s="62">
        <f t="shared" si="11"/>
        <v>441.01266803428246</v>
      </c>
      <c r="CD22" s="62">
        <f ca="1">AVERAGE(OFFSET($CC$3,0,0,'Données projet'!$E$12+1,1))-AVERAGE(OFFSET($H$3,0,0,'Données projet'!$E$12+1,1))</f>
        <v>248.60758320902863</v>
      </c>
      <c r="CE22" s="62">
        <f t="shared" si="40"/>
        <v>222.23585883330111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19.166666666666668</v>
      </c>
      <c r="CT22" s="13">
        <f>IF('Données projet'!$A$140&gt;35,CT21+CS22-DB21,IF(A22&lt;'Données projet'!$A$140,$CQ$205^A22,IF(A22='Données projet'!$A$140,'Données projet'!$B$140,CT21+CS22-DB21)))</f>
        <v>143.16666666666671</v>
      </c>
      <c r="CU22" s="18">
        <f>CT22*VLOOKUP('Données projet'!$B$13,Paramètres!$A$1:$I$89,3,0)*VLOOKUP('Données projet'!$B$13,Paramètres!$A$1:$I$89,5,0)</f>
        <v>78.169000000000025</v>
      </c>
      <c r="CV22" s="14">
        <f t="shared" si="41"/>
        <v>21.688893622970639</v>
      </c>
      <c r="CW22" s="22">
        <f t="shared" si="13"/>
        <v>173.9191647266739</v>
      </c>
      <c r="CX22" s="62">
        <f t="shared" si="14"/>
        <v>467.25249806000721</v>
      </c>
      <c r="CY22" s="62">
        <f ca="1">AVERAGE(OFFSET($CX$3,0,0,'Données projet'!$E$13+1,1))-AVERAGE(OFFSET($H$3,0,0,'Données projet'!$E$13+1,1))</f>
        <v>135.44138026609272</v>
      </c>
      <c r="CZ22" s="62">
        <f t="shared" si="42"/>
        <v>254.77247578425659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18.655780782877375</v>
      </c>
      <c r="DG22" s="23">
        <f>EXP(-LN(2)/25)*DG21+(1-EXP(-LN(2)/25))/(LN(2)/25)*Calculateur!DB22*Calculateur!DD22*VLOOKUP('Données projet'!$B$13,Paramètres!$A$1:$I$89,3,0)*0.475*44/12</f>
        <v>19.844827920565461</v>
      </c>
      <c r="DH22" s="23">
        <f>EXP(-LN(2)/2)*DH21+(1-EXP(-LN(2)/2))/(LN(2)/2)*DB22*DE22*VLOOKUP('Données projet'!$B$13,Paramètres!$A$1:$I$89,3,0)*0.475*44/12</f>
        <v>7.8258809558196401</v>
      </c>
      <c r="DI22" s="24">
        <f t="shared" si="15"/>
        <v>46.326489659262478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5.85</v>
      </c>
      <c r="DO22" s="13">
        <f>IF('Données projet'!$A$166&gt;35,DO21+DN22-DW21,IF(A22&lt;'Données projet'!$A$166,$DL$205^A22,IF(A22='Données projet'!$A$166,'Données projet'!$B$166,DO21+DN22-DW21)))</f>
        <v>92.209691420380025</v>
      </c>
      <c r="DP22" s="18">
        <f>DO22*VLOOKUP('Données projet'!$B$14,Paramètres!$A$1:$I$89,3,0)*VLOOKUP('Données projet'!$B$14,Paramètres!$A$1:$I$89,5,0)</f>
        <v>89.185213541791569</v>
      </c>
      <c r="DQ22" s="14">
        <f t="shared" si="43"/>
        <v>24.368614231167935</v>
      </c>
      <c r="DR22" s="22">
        <f t="shared" si="16"/>
        <v>197.77291670457112</v>
      </c>
      <c r="DS22" s="62">
        <f t="shared" si="17"/>
        <v>491.10625003790443</v>
      </c>
      <c r="DT22" s="62">
        <f ca="1">AVERAGE(OFFSET($DS$3,0,0,'Données projet'!$E$14+1,1))-AVERAGE(OFFSET($H$3,0,0,'Données projet'!$E$14+1,1))</f>
        <v>271.09447278906288</v>
      </c>
      <c r="DU22" s="62">
        <f t="shared" si="44"/>
        <v>325.1094067861851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5.85</v>
      </c>
      <c r="EJ22" s="13">
        <f>IF('Données projet'!$A$192&gt;35,EJ21+EI22-ER21,IF(A22&lt;'Données projet'!$A$192,$EG$205^A22,IF(A22='Données projet'!$A$192,'Données projet'!$B$192,EJ21+EI22-ER21)))</f>
        <v>92.209691420380025</v>
      </c>
      <c r="EK22" s="18">
        <f>EJ22*VLOOKUP('Données projet'!$B$15,Paramètres!$A$1:$I$89,3,0)*VLOOKUP('Données projet'!$B$15,Paramètres!$A$1:$I$89,5,0)</f>
        <v>99.254511844897053</v>
      </c>
      <c r="EL22" s="14">
        <f t="shared" si="45"/>
        <v>26.784318003781028</v>
      </c>
      <c r="EM22" s="22">
        <f t="shared" si="19"/>
        <v>219.51762865311431</v>
      </c>
      <c r="EN22" s="62">
        <f t="shared" si="20"/>
        <v>512.8509619864476</v>
      </c>
      <c r="EO22" s="62">
        <f ca="1">AVERAGE(OFFSET($EN$3,0,0,'Données projet'!$E$15+1,1))-AVERAGE(OFFSET($H$3,0,0,'Données projet'!$E$15+1,1))</f>
        <v>306.50593475734655</v>
      </c>
      <c r="EP22" s="62">
        <f t="shared" si="46"/>
        <v>366.48643801375079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14.664</v>
      </c>
      <c r="D23" s="12">
        <f t="shared" si="32"/>
        <v>4.9437070912888705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151.35773895030005</v>
      </c>
      <c r="H23" s="70">
        <f t="shared" si="1"/>
        <v>327.48342318399477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>
        <f>VLOOKUP(A23,'Données projet'!$A$35:$I$55,2,0)</f>
        <v>73</v>
      </c>
      <c r="L23" s="13">
        <f>VLOOKUP(A23,'Données projet'!$A$35:$I$55,9,0)</f>
        <v>3.65</v>
      </c>
      <c r="M23" s="13">
        <f t="array" ref="M23">INDEX(L:L,MIN(IF(ISNUMBER(L23:L219),ROW(L23:L219),"")))</f>
        <v>3.65</v>
      </c>
      <c r="N23" s="14">
        <f>IF('Données projet'!$A$36&gt;35,N22+M23-V22,IF(A23&lt;'Données projet'!$A$36,$K$205^A23,IF(A23='Données projet'!$A$36,'Données projet'!$B$36,N22+M23-V22)))</f>
        <v>73</v>
      </c>
      <c r="O23" s="14">
        <f>N23*VLOOKUP('Données projet'!$B$9,Paramètres!$A$1:$I$89,3,0)*VLOOKUP('Données projet'!$B$9,Paramètres!$A$1:$I$89,5,0)</f>
        <v>66.050399999999996</v>
      </c>
      <c r="P23" s="14">
        <f t="shared" si="33"/>
        <v>18.689342126897891</v>
      </c>
      <c r="Q23" s="22">
        <f t="shared" si="2"/>
        <v>147.58838420434714</v>
      </c>
      <c r="R23" s="62">
        <f t="shared" si="0"/>
        <v>440.92171753768048</v>
      </c>
      <c r="S23" s="62">
        <f ca="1">AVERAGE(OFFSET($R$3,0,0,'Données projet'!$E$9+1,1))-AVERAGE(OFFSET($H$3,0,0,'Données projet'!$E$9+1,1))</f>
        <v>312.57314929661908</v>
      </c>
      <c r="T23" s="62">
        <f t="shared" si="34"/>
        <v>190.92100876773804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6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>
        <f>VLOOKUP(A23,'Données projet'!$A$61:$I$81,2,0)</f>
        <v>73</v>
      </c>
      <c r="AG23" s="13">
        <f>VLOOKUP(A23,'Données projet'!$A$61:$I$81,9,0)</f>
        <v>3.65</v>
      </c>
      <c r="AH23" s="13">
        <f t="array" ref="AH23">INDEX(AG:AG,MIN(IF(ISNUMBER(AG23:AG219),ROW(AG23:AG219),"")))</f>
        <v>3.65</v>
      </c>
      <c r="AI23" s="14">
        <f>IF('Données projet'!$A$62&gt;35,AI22+AH23-AQ22,IF(A23&lt;'Données projet'!$A$62,$AF$205^A23,IF(A23='Données projet'!$A$62,'Données projet'!$B$62,AI22+AH23-AQ22)))</f>
        <v>73</v>
      </c>
      <c r="AJ23" s="14">
        <f>AI23*VLOOKUP('Données projet'!$B$10,Paramètres!$A$1:$I$89,3,0)*VLOOKUP('Données projet'!$B$10,Paramètres!$A$1:$I$89,5,0)</f>
        <v>74.022000000000006</v>
      </c>
      <c r="AK23" s="14">
        <f t="shared" si="35"/>
        <v>20.668991235856851</v>
      </c>
      <c r="AL23" s="22">
        <f t="shared" si="4"/>
        <v>164.92014306911736</v>
      </c>
      <c r="AM23" s="62">
        <f t="shared" si="5"/>
        <v>458.2534764024507</v>
      </c>
      <c r="AN23" s="62">
        <f ca="1">AVERAGE(OFFSET($AM$3,0,0,'Données projet'!$E$10+1,1))-AVERAGE(OFFSET($H$3,0,0,'Données projet'!$E$10+1,1))</f>
        <v>360.56293184044779</v>
      </c>
      <c r="AO23" s="62">
        <f t="shared" si="36"/>
        <v>219.32252911220542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6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8.5999999999999979</v>
      </c>
      <c r="BD23" s="13">
        <f>IF('Données projet'!$A$88&gt;35,BD22+BC23-BL22,IF(A23&lt;'Données projet'!$A$88,$BA$205^A23,IF(A23='Données projet'!$A$88,'Données projet'!$B$88,BD22+BC23-BL22)))</f>
        <v>203.32</v>
      </c>
      <c r="BE23" s="14">
        <f>BD23*VLOOKUP('Données projet'!$B$11,Paramètres!$A$1:$I$89,3,0)*VLOOKUP('Données projet'!$B$11,Paramètres!$A$1:$I$89,5,0)</f>
        <v>149.07422399999999</v>
      </c>
      <c r="BF23" s="14">
        <f t="shared" si="37"/>
        <v>38.368123957845704</v>
      </c>
      <c r="BG23" s="22">
        <f t="shared" si="7"/>
        <v>326.46208935991461</v>
      </c>
      <c r="BH23" s="62">
        <f t="shared" si="8"/>
        <v>619.79542269324793</v>
      </c>
      <c r="BI23" s="62">
        <f ca="1">AVERAGE(OFFSET($BH$3,0,0,'Données projet'!$E$11+1,1))-AVERAGE(OFFSET($H$3,0,0,'Données projet'!$E$11+1,1))</f>
        <v>182.06733089745194</v>
      </c>
      <c r="BJ23" s="62">
        <f t="shared" si="38"/>
        <v>320.36755413886021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>
        <f>VLOOKUP(A23,'Données projet'!$A$113:$I$133,2,0)</f>
        <v>95</v>
      </c>
      <c r="BW23" s="13">
        <f>VLOOKUP(A23,'Données projet'!$A$113:$I$133,9,0)</f>
        <v>4.75</v>
      </c>
      <c r="BX23" s="13">
        <f t="array" ref="BX23">INDEX(BW:BW,MIN(IF(ISNUMBER(BW23:BW219),ROW(BW23:BW219),"")))</f>
        <v>4.75</v>
      </c>
      <c r="BY23" s="13">
        <f>IF('Données projet'!$A$114&gt;35,BY22+BX23-CG22,IF(A23&lt;'Données projet'!$A$114,$BV$205^A23,IF(A23='Données projet'!$A$114,'Données projet'!$B$114,BY22+BX23-CG22)))</f>
        <v>95</v>
      </c>
      <c r="BZ23" s="14">
        <f>BY23*VLOOKUP('Données projet'!$B$12,Paramètres!$A$1:$I$89,3,0)*VLOOKUP('Données projet'!$B$12,Paramètres!$A$1:$I$89,5,0)</f>
        <v>82.992000000000004</v>
      </c>
      <c r="CA23" s="14">
        <f t="shared" si="39"/>
        <v>22.867173045817324</v>
      </c>
      <c r="CB23" s="22">
        <f t="shared" si="10"/>
        <v>184.37139305479852</v>
      </c>
      <c r="CC23" s="62">
        <f t="shared" si="11"/>
        <v>477.7047263881318</v>
      </c>
      <c r="CD23" s="62">
        <f ca="1">AVERAGE(OFFSET($CC$3,0,0,'Données projet'!$E$12+1,1))-AVERAGE(OFFSET($H$3,0,0,'Données projet'!$E$12+1,1))</f>
        <v>248.60758320902863</v>
      </c>
      <c r="CE23" s="62">
        <f t="shared" si="40"/>
        <v>222.23585883330111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33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19.166666666666668</v>
      </c>
      <c r="CT23" s="13">
        <f>IF('Données projet'!$A$140&gt;35,CT22+CS23-DB22,IF(A23&lt;'Données projet'!$A$140,$CQ$205^A23,IF(A23='Données projet'!$A$140,'Données projet'!$B$140,CT22+CS23-DB22)))</f>
        <v>162.33333333333337</v>
      </c>
      <c r="CU23" s="18">
        <f>CT23*VLOOKUP('Données projet'!$B$13,Paramètres!$A$1:$I$89,3,0)*VLOOKUP('Données projet'!$B$13,Paramètres!$A$1:$I$89,5,0)</f>
        <v>88.634000000000015</v>
      </c>
      <c r="CV23" s="14">
        <f t="shared" si="41"/>
        <v>24.235486014796273</v>
      </c>
      <c r="CW23" s="22">
        <f t="shared" si="13"/>
        <v>196.58102147577017</v>
      </c>
      <c r="CX23" s="62">
        <f t="shared" si="14"/>
        <v>489.91435480910349</v>
      </c>
      <c r="CY23" s="62">
        <f ca="1">AVERAGE(OFFSET($CX$3,0,0,'Données projet'!$E$13+1,1))-AVERAGE(OFFSET($H$3,0,0,'Données projet'!$E$13+1,1))</f>
        <v>135.44138026609272</v>
      </c>
      <c r="CZ23" s="62">
        <f t="shared" si="42"/>
        <v>254.77247578425659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18.289952300627853</v>
      </c>
      <c r="DG23" s="23">
        <f>EXP(-LN(2)/25)*DG22+(1-EXP(-LN(2)/25))/(LN(2)/25)*Calculateur!DB23*Calculateur!DD23*VLOOKUP('Données projet'!$B$13,Paramètres!$A$1:$I$89,3,0)*0.475*44/12</f>
        <v>19.302170057483455</v>
      </c>
      <c r="DH23" s="23">
        <f>EXP(-LN(2)/2)*DH22+(1-EXP(-LN(2)/2))/(LN(2)/2)*DB23*DE23*VLOOKUP('Données projet'!$B$13,Paramètres!$A$1:$I$89,3,0)*0.475*44/12</f>
        <v>5.5337334926187278</v>
      </c>
      <c r="DI23" s="24">
        <f t="shared" si="15"/>
        <v>43.125855850730041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>
        <f>VLOOKUP(A23,'Données projet'!$A$165:$I$185,2,0)</f>
        <v>117</v>
      </c>
      <c r="DM23" s="13">
        <f>VLOOKUP(A23,'Données projet'!$A$165:$I$185,9,0)</f>
        <v>5.85</v>
      </c>
      <c r="DN23" s="13">
        <f t="array" ref="DN23">INDEX(DM:DM,MIN(IF(ISNUMBER(DM23:DM219),ROW(DM23:DM219),"")))</f>
        <v>5.85</v>
      </c>
      <c r="DO23" s="13">
        <f>IF('Données projet'!$A$166&gt;35,DO22+DN23-DW22,IF(A23&lt;'Données projet'!$A$166,$DL$205^A23,IF(A23='Données projet'!$A$166,'Données projet'!$B$166,DO22+DN23-DW22)))</f>
        <v>117</v>
      </c>
      <c r="DP23" s="18">
        <f>DO23*VLOOKUP('Données projet'!$B$14,Paramètres!$A$1:$I$89,3,0)*VLOOKUP('Données projet'!$B$14,Paramètres!$A$1:$I$89,5,0)</f>
        <v>113.16240000000002</v>
      </c>
      <c r="DQ23" s="14">
        <f t="shared" si="43"/>
        <v>30.074837140704965</v>
      </c>
      <c r="DR23" s="22">
        <f t="shared" si="16"/>
        <v>249.47152135339448</v>
      </c>
      <c r="DS23" s="62">
        <f t="shared" si="17"/>
        <v>542.80485468672782</v>
      </c>
      <c r="DT23" s="62">
        <f ca="1">AVERAGE(OFFSET($DS$3,0,0,'Données projet'!$E$14+1,1))-AVERAGE(OFFSET($H$3,0,0,'Données projet'!$E$14+1,1))</f>
        <v>271.09447278906288</v>
      </c>
      <c r="DU23" s="62">
        <f t="shared" si="44"/>
        <v>325.1094067861851</v>
      </c>
      <c r="DV23" s="16">
        <f>IF(ISNA(VLOOKUP(A23,'Données projet'!$A$165:$I$185,3,0)),0,VLOOKUP(A23,'Données projet'!$A$165:$I$185,3,0))</f>
        <v>1</v>
      </c>
      <c r="DW23" s="16">
        <f>IF(ISNA(VLOOKUP(A23,'Données projet'!$A$165:$I$185,4,0)),0,VLOOKUP(A23,'Données projet'!$A$165:$I$185,4,0))</f>
        <v>27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>
        <f>VLOOKUP(A23,'Données projet'!$A$191:$I$211,2,0)</f>
        <v>117</v>
      </c>
      <c r="EH23" s="13">
        <f>VLOOKUP(A23,'Données projet'!$A$191:$I$211,9,0)</f>
        <v>5.85</v>
      </c>
      <c r="EI23" s="13">
        <f t="array" ref="EI23">INDEX(EH:EH,MIN(IF(ISNUMBER(EH23:EH219),ROW(EH23:EH219),"")))</f>
        <v>5.85</v>
      </c>
      <c r="EJ23" s="13">
        <f>IF('Données projet'!$A$192&gt;35,EJ22+EI23-ER22,IF(A23&lt;'Données projet'!$A$192,$EG$205^A23,IF(A23='Données projet'!$A$192,'Données projet'!$B$192,EJ22+EI23-ER22)))</f>
        <v>117</v>
      </c>
      <c r="EK23" s="18">
        <f>EJ23*VLOOKUP('Données projet'!$B$15,Paramètres!$A$1:$I$89,3,0)*VLOOKUP('Données projet'!$B$15,Paramètres!$A$1:$I$89,5,0)</f>
        <v>125.93879999999999</v>
      </c>
      <c r="EL23" s="14">
        <f t="shared" si="45"/>
        <v>33.056208869615254</v>
      </c>
      <c r="EM23" s="22">
        <f t="shared" si="19"/>
        <v>276.91630711457987</v>
      </c>
      <c r="EN23" s="62">
        <f t="shared" si="20"/>
        <v>570.24964044791318</v>
      </c>
      <c r="EO23" s="62">
        <f ca="1">AVERAGE(OFFSET($EN$3,0,0,'Données projet'!$E$15+1,1))-AVERAGE(OFFSET($H$3,0,0,'Données projet'!$E$15+1,1))</f>
        <v>306.50593475734655</v>
      </c>
      <c r="EP23" s="62">
        <f t="shared" si="46"/>
        <v>366.48643801375079</v>
      </c>
      <c r="EQ23" s="16">
        <f>IF(ISNA(VLOOKUP(A23,'Données projet'!$A$191:$I$211,3,0)),0,VLOOKUP(A23,'Données projet'!$A$191:$I$211,3,0))</f>
        <v>1</v>
      </c>
      <c r="ER23" s="16">
        <f>IF(ISNA(VLOOKUP(A23,'Données projet'!$A$191:$I$211,4,0)),0,VLOOKUP(A23,'Données projet'!$A$191:$I$211,4,0))</f>
        <v>27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15.3972</v>
      </c>
      <c r="D24" s="12">
        <f t="shared" si="32"/>
        <v>5.1614960114392687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158.6987060532154</v>
      </c>
      <c r="H24" s="70">
        <f t="shared" si="1"/>
        <v>329.13972888659004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7.2</v>
      </c>
      <c r="N24" s="14">
        <f>IF('Données projet'!$A$36&gt;35,N23+M24-V23,IF(A24&lt;'Données projet'!$A$36,$K$205^A24,IF(A24='Données projet'!$A$36,'Données projet'!$B$36,N23+M24-V23)))</f>
        <v>74.2</v>
      </c>
      <c r="O24" s="14">
        <f>N24*VLOOKUP('Données projet'!$B$9,Paramètres!$A$1:$I$89,3,0)*VLOOKUP('Données projet'!$B$9,Paramètres!$A$1:$I$89,5,0)</f>
        <v>67.136160000000004</v>
      </c>
      <c r="P24" s="14">
        <f t="shared" si="33"/>
        <v>18.960545405756019</v>
      </c>
      <c r="Q24" s="22">
        <f t="shared" si="2"/>
        <v>149.95176191502506</v>
      </c>
      <c r="R24" s="62">
        <f t="shared" si="0"/>
        <v>443.2850952483584</v>
      </c>
      <c r="S24" s="62">
        <f ca="1">AVERAGE(OFFSET($R$3,0,0,'Données projet'!$E$9+1,1))-AVERAGE(OFFSET($H$3,0,0,'Données projet'!$E$9+1,1))</f>
        <v>312.57314929661908</v>
      </c>
      <c r="T24" s="62">
        <f t="shared" si="34"/>
        <v>190.92100876773804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7.2</v>
      </c>
      <c r="AI24" s="14">
        <f>IF('Données projet'!$A$62&gt;35,AI23+AH24-AQ23,IF(A24&lt;'Données projet'!$A$62,$AF$205^A24,IF(A24='Données projet'!$A$62,'Données projet'!$B$62,AI23+AH24-AQ23)))</f>
        <v>74.2</v>
      </c>
      <c r="AJ24" s="14">
        <f>AI24*VLOOKUP('Données projet'!$B$10,Paramètres!$A$1:$I$89,3,0)*VLOOKUP('Données projet'!$B$10,Paramètres!$A$1:$I$89,5,0)</f>
        <v>75.238800000000012</v>
      </c>
      <c r="AK24" s="14">
        <f t="shared" si="35"/>
        <v>20.96892143970209</v>
      </c>
      <c r="AL24" s="22">
        <f t="shared" si="4"/>
        <v>167.56178150748116</v>
      </c>
      <c r="AM24" s="62">
        <f t="shared" si="5"/>
        <v>460.89511484081447</v>
      </c>
      <c r="AN24" s="62">
        <f ca="1">AVERAGE(OFFSET($AM$3,0,0,'Données projet'!$E$10+1,1))-AVERAGE(OFFSET($H$3,0,0,'Données projet'!$E$10+1,1))</f>
        <v>360.56293184044779</v>
      </c>
      <c r="AO24" s="62">
        <f t="shared" si="36"/>
        <v>219.32252911220542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8.5999999999999979</v>
      </c>
      <c r="BD24" s="13">
        <f>IF('Données projet'!$A$88&gt;35,BD23+BC24-BL23,IF(A24&lt;'Données projet'!$A$88,$BA$205^A24,IF(A24='Données projet'!$A$88,'Données projet'!$B$88,BD23+BC24-BL23)))</f>
        <v>211.92</v>
      </c>
      <c r="BE24" s="14">
        <f>BD24*VLOOKUP('Données projet'!$B$11,Paramètres!$A$1:$I$89,3,0)*VLOOKUP('Données projet'!$B$11,Paramètres!$A$1:$I$89,5,0)</f>
        <v>155.37974399999999</v>
      </c>
      <c r="BF24" s="14">
        <f t="shared" si="37"/>
        <v>39.798633264330938</v>
      </c>
      <c r="BG24" s="22">
        <f t="shared" si="7"/>
        <v>339.93567373537633</v>
      </c>
      <c r="BH24" s="62">
        <f t="shared" si="8"/>
        <v>633.2690070687097</v>
      </c>
      <c r="BI24" s="62">
        <f ca="1">AVERAGE(OFFSET($BH$3,0,0,'Données projet'!$E$11+1,1))-AVERAGE(OFFSET($H$3,0,0,'Données projet'!$E$11+1,1))</f>
        <v>182.06733089745194</v>
      </c>
      <c r="BJ24" s="62">
        <f t="shared" si="38"/>
        <v>320.36755413886021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11.6</v>
      </c>
      <c r="BY24" s="13">
        <f>IF('Données projet'!$A$114&gt;35,BY23+BX24-CG23,IF(A24&lt;'Données projet'!$A$114,$BV$205^A24,IF(A24='Données projet'!$A$114,'Données projet'!$B$114,BY23+BX24-CG23)))</f>
        <v>73.599999999999994</v>
      </c>
      <c r="BZ24" s="14">
        <f>BY24*VLOOKUP('Données projet'!$B$12,Paramètres!$A$1:$I$89,3,0)*VLOOKUP('Données projet'!$B$12,Paramètres!$A$1:$I$89,5,0)</f>
        <v>64.296959999999999</v>
      </c>
      <c r="CA24" s="14">
        <f t="shared" si="39"/>
        <v>18.250263421888452</v>
      </c>
      <c r="CB24" s="22">
        <f t="shared" si="10"/>
        <v>143.76974745978904</v>
      </c>
      <c r="CC24" s="62">
        <f t="shared" si="11"/>
        <v>437.10308079312233</v>
      </c>
      <c r="CD24" s="62">
        <f ca="1">AVERAGE(OFFSET($CC$3,0,0,'Données projet'!$E$12+1,1))-AVERAGE(OFFSET($H$3,0,0,'Données projet'!$E$12+1,1))</f>
        <v>248.60758320902863</v>
      </c>
      <c r="CE24" s="62">
        <f t="shared" si="40"/>
        <v>222.23585883330111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19.166666666666668</v>
      </c>
      <c r="CT24" s="13">
        <f>IF('Données projet'!$A$140&gt;35,CT23+CS24-DB23,IF(A24&lt;'Données projet'!$A$140,$CQ$205^A24,IF(A24='Données projet'!$A$140,'Données projet'!$B$140,CT23+CS24-DB23)))</f>
        <v>181.50000000000003</v>
      </c>
      <c r="CU24" s="18">
        <f>CT24*VLOOKUP('Données projet'!$B$13,Paramètres!$A$1:$I$89,3,0)*VLOOKUP('Données projet'!$B$13,Paramètres!$A$1:$I$89,5,0)</f>
        <v>99.099000000000004</v>
      </c>
      <c r="CV24" s="14">
        <f t="shared" si="41"/>
        <v>26.747233784597075</v>
      </c>
      <c r="CW24" s="22">
        <f t="shared" si="13"/>
        <v>219.18219050817322</v>
      </c>
      <c r="CX24" s="62">
        <f t="shared" si="14"/>
        <v>512.51552384150659</v>
      </c>
      <c r="CY24" s="62">
        <f ca="1">AVERAGE(OFFSET($CX$3,0,0,'Données projet'!$E$13+1,1))-AVERAGE(OFFSET($H$3,0,0,'Données projet'!$E$13+1,1))</f>
        <v>135.44138026609272</v>
      </c>
      <c r="CZ24" s="62">
        <f t="shared" si="42"/>
        <v>254.77247578425659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17.931297491781905</v>
      </c>
      <c r="DG24" s="23">
        <f>EXP(-LN(2)/25)*DG23+(1-EXP(-LN(2)/25))/(LN(2)/25)*Calculateur!DB24*Calculateur!DD24*VLOOKUP('Données projet'!$B$13,Paramètres!$A$1:$I$89,3,0)*0.475*44/12</f>
        <v>18.774351202204564</v>
      </c>
      <c r="DH24" s="23">
        <f>EXP(-LN(2)/2)*DH23+(1-EXP(-LN(2)/2))/(LN(2)/2)*DB24*DE24*VLOOKUP('Données projet'!$B$13,Paramètres!$A$1:$I$89,3,0)*0.475*44/12</f>
        <v>3.9129404779098205</v>
      </c>
      <c r="DI24" s="24">
        <f t="shared" si="15"/>
        <v>40.618589171896289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</v>
      </c>
      <c r="DO24" s="13">
        <f>IF('Données projet'!$A$166&gt;35,DO23+DN24-DW23,IF(A24&lt;'Données projet'!$A$166,$DL$205^A24,IF(A24='Données projet'!$A$166,'Données projet'!$B$166,DO23+DN24-DW23)))</f>
        <v>100</v>
      </c>
      <c r="DP24" s="18">
        <f>DO24*VLOOKUP('Données projet'!$B$14,Paramètres!$A$1:$I$89,3,0)*VLOOKUP('Données projet'!$B$14,Paramètres!$A$1:$I$89,5,0)</f>
        <v>96.72</v>
      </c>
      <c r="DQ24" s="14">
        <f t="shared" si="43"/>
        <v>26.179072558792139</v>
      </c>
      <c r="DR24" s="22">
        <f t="shared" si="16"/>
        <v>214.04921803989632</v>
      </c>
      <c r="DS24" s="62">
        <f t="shared" si="17"/>
        <v>507.3825513732296</v>
      </c>
      <c r="DT24" s="62">
        <f ca="1">AVERAGE(OFFSET($DS$3,0,0,'Données projet'!$E$14+1,1))-AVERAGE(OFFSET($H$3,0,0,'Données projet'!$E$14+1,1))</f>
        <v>271.09447278906288</v>
      </c>
      <c r="DU24" s="62">
        <f t="shared" si="44"/>
        <v>325.1094067861851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</v>
      </c>
      <c r="EJ24" s="13">
        <f>IF('Données projet'!$A$192&gt;35,EJ23+EI24-ER23,IF(A24&lt;'Données projet'!$A$192,$EG$205^A24,IF(A24='Données projet'!$A$192,'Données projet'!$B$192,EJ23+EI24-ER23)))</f>
        <v>100</v>
      </c>
      <c r="EK24" s="18">
        <f>EJ24*VLOOKUP('Données projet'!$B$15,Paramètres!$A$1:$I$89,3,0)*VLOOKUP('Données projet'!$B$15,Paramètres!$A$1:$I$89,5,0)</f>
        <v>107.64</v>
      </c>
      <c r="EL24" s="14">
        <f t="shared" si="45"/>
        <v>28.774250263353583</v>
      </c>
      <c r="EM24" s="22">
        <f t="shared" si="19"/>
        <v>237.58815254200749</v>
      </c>
      <c r="EN24" s="62">
        <f t="shared" si="20"/>
        <v>530.92148587534075</v>
      </c>
      <c r="EO24" s="62">
        <f ca="1">AVERAGE(OFFSET($EN$3,0,0,'Données projet'!$E$15+1,1))-AVERAGE(OFFSET($H$3,0,0,'Données projet'!$E$15+1,1))</f>
        <v>306.50593475734655</v>
      </c>
      <c r="EP24" s="62">
        <f t="shared" si="46"/>
        <v>366.48643801375079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16.130399999999998</v>
      </c>
      <c r="D25" s="12">
        <f t="shared" si="32"/>
        <v>5.3780806175732732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166.03037669705682</v>
      </c>
      <c r="H25" s="70">
        <f t="shared" si="1"/>
        <v>330.79393707560678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7.2</v>
      </c>
      <c r="N25" s="14">
        <f>IF('Données projet'!$A$36&gt;35,N24+M25-V24,IF(A25&lt;'Données projet'!$A$36,$K$205^A25,IF(A25='Données projet'!$A$36,'Données projet'!$B$36,N24+M25-V24)))</f>
        <v>81.400000000000006</v>
      </c>
      <c r="O25" s="14">
        <f>N25*VLOOKUP('Données projet'!$B$9,Paramètres!$A$1:$I$89,3,0)*VLOOKUP('Données projet'!$B$9,Paramètres!$A$1:$I$89,5,0)</f>
        <v>73.650720000000007</v>
      </c>
      <c r="P25" s="14">
        <f t="shared" si="33"/>
        <v>20.577360172493922</v>
      </c>
      <c r="Q25" s="22">
        <f t="shared" si="2"/>
        <v>164.11390630042692</v>
      </c>
      <c r="R25" s="62">
        <f t="shared" si="0"/>
        <v>457.4472396337602</v>
      </c>
      <c r="S25" s="62">
        <f ca="1">AVERAGE(OFFSET($R$3,0,0,'Données projet'!$E$9+1,1))-AVERAGE(OFFSET($H$3,0,0,'Données projet'!$E$9+1,1))</f>
        <v>312.57314929661908</v>
      </c>
      <c r="T25" s="62">
        <f t="shared" si="34"/>
        <v>190.92100876773804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7.2</v>
      </c>
      <c r="AI25" s="14">
        <f>IF('Données projet'!$A$62&gt;35,AI24+AH25-AQ24,IF(A25&lt;'Données projet'!$A$62,$AF$205^A25,IF(A25='Données projet'!$A$62,'Données projet'!$B$62,AI24+AH25-AQ24)))</f>
        <v>81.400000000000006</v>
      </c>
      <c r="AJ25" s="14">
        <f>AI25*VLOOKUP('Données projet'!$B$10,Paramètres!$A$1:$I$89,3,0)*VLOOKUP('Données projet'!$B$10,Paramètres!$A$1:$I$89,5,0)</f>
        <v>82.539600000000007</v>
      </c>
      <c r="AK25" s="14">
        <f t="shared" si="35"/>
        <v>22.756995627482848</v>
      </c>
      <c r="AL25" s="22">
        <f t="shared" si="4"/>
        <v>183.39157071786599</v>
      </c>
      <c r="AM25" s="62">
        <f t="shared" si="5"/>
        <v>476.7249040511993</v>
      </c>
      <c r="AN25" s="62">
        <f ca="1">AVERAGE(OFFSET($AM$3,0,0,'Données projet'!$E$10+1,1))-AVERAGE(OFFSET($H$3,0,0,'Données projet'!$E$10+1,1))</f>
        <v>360.56293184044779</v>
      </c>
      <c r="AO25" s="62">
        <f t="shared" si="36"/>
        <v>219.32252911220542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8.5999999999999979</v>
      </c>
      <c r="BD25" s="13">
        <f>IF('Données projet'!$A$88&gt;35,BD24+BC25-BL24,IF(A25&lt;'Données projet'!$A$88,$BA$205^A25,IF(A25='Données projet'!$A$88,'Données projet'!$B$88,BD24+BC25-BL24)))</f>
        <v>220.51999999999998</v>
      </c>
      <c r="BE25" s="14">
        <f>BD25*VLOOKUP('Données projet'!$B$11,Paramètres!$A$1:$I$89,3,0)*VLOOKUP('Données projet'!$B$11,Paramètres!$A$1:$I$89,5,0)</f>
        <v>161.68526399999999</v>
      </c>
      <c r="BF25" s="14">
        <f t="shared" si="37"/>
        <v>41.222399297589511</v>
      </c>
      <c r="BG25" s="22">
        <f t="shared" si="7"/>
        <v>353.39751357663499</v>
      </c>
      <c r="BH25" s="62">
        <f t="shared" si="8"/>
        <v>646.73084690996825</v>
      </c>
      <c r="BI25" s="62">
        <f ca="1">AVERAGE(OFFSET($BH$3,0,0,'Données projet'!$E$11+1,1))-AVERAGE(OFFSET($H$3,0,0,'Données projet'!$E$11+1,1))</f>
        <v>182.06733089745194</v>
      </c>
      <c r="BJ25" s="62">
        <f t="shared" si="38"/>
        <v>320.36755413886021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11.6</v>
      </c>
      <c r="BY25" s="13">
        <f>IF('Données projet'!$A$114&gt;35,BY24+BX25-CG24,IF(A25&lt;'Données projet'!$A$114,$BV$205^A25,IF(A25='Données projet'!$A$114,'Données projet'!$B$114,BY24+BX25-CG24)))</f>
        <v>85.199999999999989</v>
      </c>
      <c r="BZ25" s="14">
        <f>BY25*VLOOKUP('Données projet'!$B$12,Paramètres!$A$1:$I$89,3,0)*VLOOKUP('Données projet'!$B$12,Paramètres!$A$1:$I$89,5,0)</f>
        <v>74.430719999999994</v>
      </c>
      <c r="CA25" s="14">
        <f t="shared" si="39"/>
        <v>20.76980057385482</v>
      </c>
      <c r="CB25" s="22">
        <f t="shared" si="10"/>
        <v>165.80757333279712</v>
      </c>
      <c r="CC25" s="62">
        <f t="shared" si="11"/>
        <v>459.14090666613043</v>
      </c>
      <c r="CD25" s="62">
        <f ca="1">AVERAGE(OFFSET($CC$3,0,0,'Données projet'!$E$12+1,1))-AVERAGE(OFFSET($H$3,0,0,'Données projet'!$E$12+1,1))</f>
        <v>248.60758320902863</v>
      </c>
      <c r="CE25" s="62">
        <f t="shared" si="40"/>
        <v>222.23585883330111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19.166666666666668</v>
      </c>
      <c r="CT25" s="13">
        <f>IF('Données projet'!$A$140&gt;35,CT24+CS25-DB24,IF(A25&lt;'Données projet'!$A$140,$CQ$205^A25,IF(A25='Données projet'!$A$140,'Données projet'!$B$140,CT24+CS25-DB24)))</f>
        <v>200.66666666666669</v>
      </c>
      <c r="CU25" s="18">
        <f>CT25*VLOOKUP('Données projet'!$B$13,Paramètres!$A$1:$I$89,3,0)*VLOOKUP('Données projet'!$B$13,Paramètres!$A$1:$I$89,5,0)</f>
        <v>109.56400000000001</v>
      </c>
      <c r="CV25" s="14">
        <f t="shared" si="41"/>
        <v>29.228235839881371</v>
      </c>
      <c r="CW25" s="22">
        <f t="shared" si="13"/>
        <v>241.72981075446003</v>
      </c>
      <c r="CX25" s="62">
        <f t="shared" si="14"/>
        <v>535.06314408779338</v>
      </c>
      <c r="CY25" s="62">
        <f ca="1">AVERAGE(OFFSET($CX$3,0,0,'Données projet'!$E$13+1,1))-AVERAGE(OFFSET($H$3,0,0,'Données projet'!$E$13+1,1))</f>
        <v>135.44138026609272</v>
      </c>
      <c r="CZ25" s="62">
        <f t="shared" si="42"/>
        <v>254.77247578425659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17.579675684979591</v>
      </c>
      <c r="DG25" s="23">
        <f>EXP(-LN(2)/25)*DG24+(1-EXP(-LN(2)/25))/(LN(2)/25)*Calculateur!DB25*Calculateur!DD25*VLOOKUP('Données projet'!$B$13,Paramètres!$A$1:$I$89,3,0)*0.475*44/12</f>
        <v>18.260965581280061</v>
      </c>
      <c r="DH25" s="23">
        <f>EXP(-LN(2)/2)*DH24+(1-EXP(-LN(2)/2))/(LN(2)/2)*DB25*DE25*VLOOKUP('Données projet'!$B$13,Paramètres!$A$1:$I$89,3,0)*0.475*44/12</f>
        <v>2.7668667463093644</v>
      </c>
      <c r="DI25" s="24">
        <f t="shared" si="15"/>
        <v>38.607508012569014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</v>
      </c>
      <c r="DO25" s="13">
        <f>IF('Données projet'!$A$166&gt;35,DO24+DN25-DW24,IF(A25&lt;'Données projet'!$A$166,$DL$205^A25,IF(A25='Données projet'!$A$166,'Données projet'!$B$166,DO24+DN25-DW24)))</f>
        <v>110</v>
      </c>
      <c r="DP25" s="18">
        <f>DO25*VLOOKUP('Données projet'!$B$14,Paramètres!$A$1:$I$89,3,0)*VLOOKUP('Données projet'!$B$14,Paramètres!$A$1:$I$89,5,0)</f>
        <v>106.39200000000001</v>
      </c>
      <c r="DQ25" s="14">
        <f t="shared" si="43"/>
        <v>28.479268717714096</v>
      </c>
      <c r="DR25" s="22">
        <f t="shared" si="16"/>
        <v>234.90079301668541</v>
      </c>
      <c r="DS25" s="62">
        <f t="shared" si="17"/>
        <v>528.23412635001876</v>
      </c>
      <c r="DT25" s="62">
        <f ca="1">AVERAGE(OFFSET($DS$3,0,0,'Données projet'!$E$14+1,1))-AVERAGE(OFFSET($H$3,0,0,'Données projet'!$E$14+1,1))</f>
        <v>271.09447278906288</v>
      </c>
      <c r="DU25" s="62">
        <f t="shared" si="44"/>
        <v>325.1094067861851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</v>
      </c>
      <c r="EJ25" s="13">
        <f>IF('Données projet'!$A$192&gt;35,EJ24+EI25-ER24,IF(A25&lt;'Données projet'!$A$192,$EG$205^A25,IF(A25='Données projet'!$A$192,'Données projet'!$B$192,EJ24+EI25-ER24)))</f>
        <v>110</v>
      </c>
      <c r="EK25" s="18">
        <f>EJ25*VLOOKUP('Données projet'!$B$15,Paramètres!$A$1:$I$89,3,0)*VLOOKUP('Données projet'!$B$15,Paramètres!$A$1:$I$89,5,0)</f>
        <v>118.404</v>
      </c>
      <c r="EL25" s="14">
        <f t="shared" si="45"/>
        <v>31.302468930496392</v>
      </c>
      <c r="EM25" s="22">
        <f t="shared" si="19"/>
        <v>260.73876672061448</v>
      </c>
      <c r="EN25" s="62">
        <f t="shared" si="20"/>
        <v>554.07210005394779</v>
      </c>
      <c r="EO25" s="62">
        <f ca="1">AVERAGE(OFFSET($EN$3,0,0,'Données projet'!$E$15+1,1))-AVERAGE(OFFSET($H$3,0,0,'Données projet'!$E$15+1,1))</f>
        <v>306.50593475734655</v>
      </c>
      <c r="EP25" s="62">
        <f t="shared" si="46"/>
        <v>366.48643801375079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16.863599999999998</v>
      </c>
      <c r="D26" s="12">
        <f t="shared" si="32"/>
        <v>5.5935219046849918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173.35322172037536</v>
      </c>
      <c r="H26" s="70">
        <f t="shared" si="1"/>
        <v>332.44615398399299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7.2</v>
      </c>
      <c r="N26" s="14">
        <f>IF('Données projet'!$A$36&gt;35,N25+M26-V25,IF(A26&lt;'Données projet'!$A$36,$K$205^A26,IF(A26='Données projet'!$A$36,'Données projet'!$B$36,N25+M26-V25)))</f>
        <v>88.600000000000009</v>
      </c>
      <c r="O26" s="14">
        <f>N26*VLOOKUP('Données projet'!$B$9,Paramètres!$A$1:$I$89,3,0)*VLOOKUP('Données projet'!$B$9,Paramètres!$A$1:$I$89,5,0)</f>
        <v>80.165279999999996</v>
      </c>
      <c r="P26" s="14">
        <f t="shared" si="33"/>
        <v>22.177591092468788</v>
      </c>
      <c r="Q26" s="22">
        <f t="shared" si="2"/>
        <v>178.24716715271646</v>
      </c>
      <c r="R26" s="62">
        <f t="shared" si="0"/>
        <v>471.5805004860498</v>
      </c>
      <c r="S26" s="62">
        <f ca="1">AVERAGE(OFFSET($R$3,0,0,'Données projet'!$E$9+1,1))-AVERAGE(OFFSET($H$3,0,0,'Données projet'!$E$9+1,1))</f>
        <v>312.57314929661908</v>
      </c>
      <c r="T26" s="62">
        <f t="shared" si="34"/>
        <v>190.92100876773804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7.2</v>
      </c>
      <c r="AI26" s="14">
        <f>IF('Données projet'!$A$62&gt;35,AI25+AH26-AQ25,IF(A26&lt;'Données projet'!$A$62,$AF$205^A26,IF(A26='Données projet'!$A$62,'Données projet'!$B$62,AI25+AH26-AQ25)))</f>
        <v>88.600000000000009</v>
      </c>
      <c r="AJ26" s="14">
        <f>AI26*VLOOKUP('Données projet'!$B$10,Paramètres!$A$1:$I$89,3,0)*VLOOKUP('Données projet'!$B$10,Paramètres!$A$1:$I$89,5,0)</f>
        <v>89.840400000000017</v>
      </c>
      <c r="AK26" s="14">
        <f t="shared" si="35"/>
        <v>24.526729341796202</v>
      </c>
      <c r="AL26" s="22">
        <f t="shared" si="4"/>
        <v>199.18941693696172</v>
      </c>
      <c r="AM26" s="62">
        <f t="shared" si="5"/>
        <v>492.52275027029503</v>
      </c>
      <c r="AN26" s="62">
        <f ca="1">AVERAGE(OFFSET($AM$3,0,0,'Données projet'!$E$10+1,1))-AVERAGE(OFFSET($H$3,0,0,'Données projet'!$E$10+1,1))</f>
        <v>360.56293184044779</v>
      </c>
      <c r="AO26" s="62">
        <f t="shared" si="36"/>
        <v>219.32252911220542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8.5999999999999979</v>
      </c>
      <c r="BD26" s="13">
        <f>IF('Données projet'!$A$88&gt;35,BD25+BC26-BL25,IF(A26&lt;'Données projet'!$A$88,$BA$205^A26,IF(A26='Données projet'!$A$88,'Données projet'!$B$88,BD25+BC26-BL25)))</f>
        <v>229.11999999999998</v>
      </c>
      <c r="BE26" s="14">
        <f>BD26*VLOOKUP('Données projet'!$B$11,Paramètres!$A$1:$I$89,3,0)*VLOOKUP('Données projet'!$B$11,Paramètres!$A$1:$I$89,5,0)</f>
        <v>167.99078399999996</v>
      </c>
      <c r="BF26" s="14">
        <f t="shared" si="37"/>
        <v>42.639715133436518</v>
      </c>
      <c r="BG26" s="22">
        <f t="shared" si="7"/>
        <v>366.84811932406848</v>
      </c>
      <c r="BH26" s="62">
        <f t="shared" si="8"/>
        <v>660.18145265740179</v>
      </c>
      <c r="BI26" s="62">
        <f ca="1">AVERAGE(OFFSET($BH$3,0,0,'Données projet'!$E$11+1,1))-AVERAGE(OFFSET($H$3,0,0,'Données projet'!$E$11+1,1))</f>
        <v>182.06733089745194</v>
      </c>
      <c r="BJ26" s="62">
        <f t="shared" si="38"/>
        <v>320.36755413886021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11.6</v>
      </c>
      <c r="BY26" s="13">
        <f>IF('Données projet'!$A$114&gt;35,BY25+BX26-CG25,IF(A26&lt;'Données projet'!$A$114,$BV$205^A26,IF(A26='Données projet'!$A$114,'Données projet'!$B$114,BY25+BX26-CG25)))</f>
        <v>96.799999999999983</v>
      </c>
      <c r="BZ26" s="14">
        <f>BY26*VLOOKUP('Données projet'!$B$12,Paramètres!$A$1:$I$89,3,0)*VLOOKUP('Données projet'!$B$12,Paramètres!$A$1:$I$89,5,0)</f>
        <v>84.564480000000003</v>
      </c>
      <c r="CA26" s="14">
        <f t="shared" si="39"/>
        <v>23.249593625538633</v>
      </c>
      <c r="CB26" s="22">
        <f t="shared" si="10"/>
        <v>187.77617823114647</v>
      </c>
      <c r="CC26" s="62">
        <f t="shared" si="11"/>
        <v>481.10951156447982</v>
      </c>
      <c r="CD26" s="62">
        <f ca="1">AVERAGE(OFFSET($CC$3,0,0,'Données projet'!$E$12+1,1))-AVERAGE(OFFSET($H$3,0,0,'Données projet'!$E$12+1,1))</f>
        <v>248.60758320902863</v>
      </c>
      <c r="CE26" s="62">
        <f t="shared" si="40"/>
        <v>222.23585883330111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19.166666666666668</v>
      </c>
      <c r="CT26" s="13">
        <f>IF('Données projet'!$A$140&gt;35,CT25+CS26-DB25,IF(A26&lt;'Données projet'!$A$140,$CQ$205^A26,IF(A26='Données projet'!$A$140,'Données projet'!$B$140,CT25+CS26-DB25)))</f>
        <v>219.83333333333334</v>
      </c>
      <c r="CU26" s="18">
        <f>CT26*VLOOKUP('Données projet'!$B$13,Paramètres!$A$1:$I$89,3,0)*VLOOKUP('Données projet'!$B$13,Paramètres!$A$1:$I$89,5,0)</f>
        <v>120.029</v>
      </c>
      <c r="CV26" s="14">
        <f t="shared" si="41"/>
        <v>31.68176297276506</v>
      </c>
      <c r="CW26" s="22">
        <f t="shared" si="13"/>
        <v>264.22957884423249</v>
      </c>
      <c r="CX26" s="62">
        <f t="shared" si="14"/>
        <v>557.56291217756575</v>
      </c>
      <c r="CY26" s="62">
        <f ca="1">AVERAGE(OFFSET($CX$3,0,0,'Données projet'!$E$13+1,1))-AVERAGE(OFFSET($H$3,0,0,'Données projet'!$E$13+1,1))</f>
        <v>135.44138026609272</v>
      </c>
      <c r="CZ26" s="62">
        <f t="shared" si="42"/>
        <v>254.77247578425659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17.234948967340546</v>
      </c>
      <c r="DG26" s="23">
        <f>EXP(-LN(2)/25)*DG25+(1-EXP(-LN(2)/25))/(LN(2)/25)*Calculateur!DB26*Calculateur!DD26*VLOOKUP('Données projet'!$B$13,Paramètres!$A$1:$I$89,3,0)*0.475*44/12</f>
        <v>17.761618517157515</v>
      </c>
      <c r="DH26" s="23">
        <f>EXP(-LN(2)/2)*DH25+(1-EXP(-LN(2)/2))/(LN(2)/2)*DB26*DE26*VLOOKUP('Données projet'!$B$13,Paramètres!$A$1:$I$89,3,0)*0.475*44/12</f>
        <v>1.9564702389549105</v>
      </c>
      <c r="DI26" s="24">
        <f t="shared" si="15"/>
        <v>36.953037723452965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</v>
      </c>
      <c r="DO26" s="13">
        <f>IF('Données projet'!$A$166&gt;35,DO25+DN26-DW25,IF(A26&lt;'Données projet'!$A$166,$DL$205^A26,IF(A26='Données projet'!$A$166,'Données projet'!$B$166,DO25+DN26-DW25)))</f>
        <v>120</v>
      </c>
      <c r="DP26" s="18">
        <f>DO26*VLOOKUP('Données projet'!$B$14,Paramètres!$A$1:$I$89,3,0)*VLOOKUP('Données projet'!$B$14,Paramètres!$A$1:$I$89,5,0)</f>
        <v>116.06400000000001</v>
      </c>
      <c r="DQ26" s="14">
        <f t="shared" si="43"/>
        <v>30.755217722036068</v>
      </c>
      <c r="DR26" s="22">
        <f t="shared" si="16"/>
        <v>255.71013753254616</v>
      </c>
      <c r="DS26" s="62">
        <f t="shared" si="17"/>
        <v>549.0434708658795</v>
      </c>
      <c r="DT26" s="62">
        <f ca="1">AVERAGE(OFFSET($DS$3,0,0,'Données projet'!$E$14+1,1))-AVERAGE(OFFSET($H$3,0,0,'Données projet'!$E$14+1,1))</f>
        <v>271.09447278906288</v>
      </c>
      <c r="DU26" s="62">
        <f t="shared" si="44"/>
        <v>325.1094067861851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</v>
      </c>
      <c r="EJ26" s="13">
        <f>IF('Données projet'!$A$192&gt;35,EJ25+EI26-ER25,IF(A26&lt;'Données projet'!$A$192,$EG$205^A26,IF(A26='Données projet'!$A$192,'Données projet'!$B$192,EJ25+EI26-ER25)))</f>
        <v>120</v>
      </c>
      <c r="EK26" s="18">
        <f>EJ26*VLOOKUP('Données projet'!$B$15,Paramètres!$A$1:$I$89,3,0)*VLOOKUP('Données projet'!$B$15,Paramètres!$A$1:$I$89,5,0)</f>
        <v>129.16800000000001</v>
      </c>
      <c r="EL26" s="14">
        <f t="shared" si="45"/>
        <v>33.804036779774435</v>
      </c>
      <c r="EM26" s="22">
        <f t="shared" si="19"/>
        <v>283.84296405810716</v>
      </c>
      <c r="EN26" s="62">
        <f t="shared" si="20"/>
        <v>577.17629739144047</v>
      </c>
      <c r="EO26" s="62">
        <f ca="1">AVERAGE(OFFSET($EN$3,0,0,'Données projet'!$E$15+1,1))-AVERAGE(OFFSET($H$3,0,0,'Données projet'!$E$15+1,1))</f>
        <v>306.50593475734655</v>
      </c>
      <c r="EP26" s="62">
        <f t="shared" si="46"/>
        <v>366.48643801375079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17.596799999999998</v>
      </c>
      <c r="D27" s="12">
        <f t="shared" si="32"/>
        <v>5.8078752639195086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180.66766870394005</v>
      </c>
      <c r="H27" s="70">
        <f t="shared" si="1"/>
        <v>334.0964760846598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7.2</v>
      </c>
      <c r="N27" s="14">
        <f>IF('Données projet'!$A$36&gt;35,N26+M27-V26,IF(A27&lt;'Données projet'!$A$36,$K$205^A27,IF(A27='Données projet'!$A$36,'Données projet'!$B$36,N26+M27-V26)))</f>
        <v>95.800000000000011</v>
      </c>
      <c r="O27" s="14">
        <f>N27*VLOOKUP('Données projet'!$B$9,Paramètres!$A$1:$I$89,3,0)*VLOOKUP('Données projet'!$B$9,Paramètres!$A$1:$I$89,5,0)</f>
        <v>86.679839999999999</v>
      </c>
      <c r="P27" s="14">
        <f t="shared" si="33"/>
        <v>23.762739053789723</v>
      </c>
      <c r="Q27" s="22">
        <f t="shared" si="2"/>
        <v>192.35415851868379</v>
      </c>
      <c r="R27" s="62">
        <f t="shared" si="0"/>
        <v>485.6874918520171</v>
      </c>
      <c r="S27" s="62">
        <f ca="1">AVERAGE(OFFSET($R$3,0,0,'Données projet'!$E$9+1,1))-AVERAGE(OFFSET($H$3,0,0,'Données projet'!$E$9+1,1))</f>
        <v>312.57314929661908</v>
      </c>
      <c r="T27" s="62">
        <f t="shared" si="34"/>
        <v>190.92100876773804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7.2</v>
      </c>
      <c r="AI27" s="14">
        <f>IF('Données projet'!$A$62&gt;35,AI26+AH27-AQ26,IF(A27&lt;'Données projet'!$A$62,$AF$205^A27,IF(A27='Données projet'!$A$62,'Données projet'!$B$62,AI26+AH27-AQ26)))</f>
        <v>95.800000000000011</v>
      </c>
      <c r="AJ27" s="14">
        <f>AI27*VLOOKUP('Données projet'!$B$10,Paramètres!$A$1:$I$89,3,0)*VLOOKUP('Données projet'!$B$10,Paramètres!$A$1:$I$89,5,0)</f>
        <v>97.141200000000026</v>
      </c>
      <c r="AK27" s="14">
        <f t="shared" si="35"/>
        <v>26.279782450761708</v>
      </c>
      <c r="AL27" s="22">
        <f t="shared" si="4"/>
        <v>214.95821110174333</v>
      </c>
      <c r="AM27" s="62">
        <f t="shared" si="5"/>
        <v>508.29154443507662</v>
      </c>
      <c r="AN27" s="62">
        <f ca="1">AVERAGE(OFFSET($AM$3,0,0,'Données projet'!$E$10+1,1))-AVERAGE(OFFSET($H$3,0,0,'Données projet'!$E$10+1,1))</f>
        <v>360.56293184044779</v>
      </c>
      <c r="AO27" s="62">
        <f t="shared" si="36"/>
        <v>219.32252911220542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8.5999999999999979</v>
      </c>
      <c r="BD27" s="13">
        <f>IF('Données projet'!$A$88&gt;35,BD26+BC27-BL26,IF(A27&lt;'Données projet'!$A$88,$BA$205^A27,IF(A27='Données projet'!$A$88,'Données projet'!$B$88,BD26+BC27-BL26)))</f>
        <v>237.71999999999997</v>
      </c>
      <c r="BE27" s="14">
        <f>BD27*VLOOKUP('Données projet'!$B$11,Paramètres!$A$1:$I$89,3,0)*VLOOKUP('Données projet'!$B$11,Paramètres!$A$1:$I$89,5,0)</f>
        <v>174.29630399999996</v>
      </c>
      <c r="BF27" s="14">
        <f t="shared" si="37"/>
        <v>44.05085060017997</v>
      </c>
      <c r="BG27" s="22">
        <f t="shared" si="7"/>
        <v>380.28796092864667</v>
      </c>
      <c r="BH27" s="62">
        <f t="shared" si="8"/>
        <v>673.62129426197998</v>
      </c>
      <c r="BI27" s="62">
        <f ca="1">AVERAGE(OFFSET($BH$3,0,0,'Données projet'!$E$11+1,1))-AVERAGE(OFFSET($H$3,0,0,'Données projet'!$E$11+1,1))</f>
        <v>182.06733089745194</v>
      </c>
      <c r="BJ27" s="62">
        <f t="shared" si="38"/>
        <v>320.36755413886021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11.6</v>
      </c>
      <c r="BY27" s="13">
        <f>IF('Données projet'!$A$114&gt;35,BY26+BX27-CG26,IF(A27&lt;'Données projet'!$A$114,$BV$205^A27,IF(A27='Données projet'!$A$114,'Données projet'!$B$114,BY26+BX27-CG26)))</f>
        <v>108.39999999999998</v>
      </c>
      <c r="BZ27" s="14">
        <f>BY27*VLOOKUP('Données projet'!$B$12,Paramètres!$A$1:$I$89,3,0)*VLOOKUP('Données projet'!$B$12,Paramètres!$A$1:$I$89,5,0)</f>
        <v>94.698239999999998</v>
      </c>
      <c r="CA27" s="14">
        <f t="shared" si="39"/>
        <v>25.69494985014671</v>
      </c>
      <c r="CB27" s="22">
        <f t="shared" si="10"/>
        <v>209.68480565567219</v>
      </c>
      <c r="CC27" s="62">
        <f t="shared" si="11"/>
        <v>503.01813898900548</v>
      </c>
      <c r="CD27" s="62">
        <f ca="1">AVERAGE(OFFSET($CC$3,0,0,'Données projet'!$E$12+1,1))-AVERAGE(OFFSET($H$3,0,0,'Données projet'!$E$12+1,1))</f>
        <v>248.60758320902863</v>
      </c>
      <c r="CE27" s="62">
        <f t="shared" si="40"/>
        <v>222.23585883330111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>
        <f>VLOOKUP(A27,'Données projet'!$A$139:$I$159,2,0)</f>
        <v>239</v>
      </c>
      <c r="CR27" s="13">
        <f>VLOOKUP(A27,'Données projet'!$A$139:$I$159,9,0)</f>
        <v>19.166666666666668</v>
      </c>
      <c r="CS27" s="13">
        <f t="array" ref="CS27">INDEX(CR:CR,MIN(IF(ISNUMBER(CR27:CR223),ROW(CR27:CR223),"")))</f>
        <v>19.166666666666668</v>
      </c>
      <c r="CT27" s="13">
        <f>IF('Données projet'!$A$140&gt;35,CT26+CS27-DB26,IF(A27&lt;'Données projet'!$A$140,$CQ$205^A27,IF(A27='Données projet'!$A$140,'Données projet'!$B$140,CT26+CS27-DB26)))</f>
        <v>239</v>
      </c>
      <c r="CU27" s="18">
        <f>CT27*VLOOKUP('Données projet'!$B$13,Paramètres!$A$1:$I$89,3,0)*VLOOKUP('Données projet'!$B$13,Paramètres!$A$1:$I$89,5,0)</f>
        <v>130.494</v>
      </c>
      <c r="CV27" s="14">
        <f t="shared" si="41"/>
        <v>34.110483018610772</v>
      </c>
      <c r="CW27" s="22">
        <f t="shared" si="13"/>
        <v>286.68614125741374</v>
      </c>
      <c r="CX27" s="62">
        <f t="shared" si="14"/>
        <v>580.019474590747</v>
      </c>
      <c r="CY27" s="62">
        <f ca="1">AVERAGE(OFFSET($CX$3,0,0,'Données projet'!$E$13+1,1))-AVERAGE(OFFSET($H$3,0,0,'Données projet'!$E$13+1,1))</f>
        <v>135.44138026609272</v>
      </c>
      <c r="CZ27" s="62">
        <f t="shared" si="42"/>
        <v>254.77247578425659</v>
      </c>
      <c r="DA27" s="16">
        <f>IF(ISNA(VLOOKUP(A27,'Données projet'!$A$139:$I$159,3,0)),0,VLOOKUP(A27,'Données projet'!$A$139:$I$159,3,0))</f>
        <v>4</v>
      </c>
      <c r="DB27" s="16">
        <f>IF(ISNA(VLOOKUP(A27,'Données projet'!$A$139:$I$159,4,0)),0,VLOOKUP(A27,'Données projet'!$A$139:$I$159,4,0))</f>
        <v>84</v>
      </c>
      <c r="DC27" s="17">
        <f>IF(ISNA(VLOOKUP(A27,'Données projet'!$A$139:$I$159,5,0)),0%,VLOOKUP(A27,'Données projet'!$A$139:$I$159,5,0)*VLOOKUP('Données projet'!$B$13,Paramètres!$A$1:$I$89,7,0))</f>
        <v>0.3</v>
      </c>
      <c r="DD27" s="17">
        <f>IF(ISNA(VLOOKUP(A27,'Données projet'!$A$139:$I$159,6,0)),0%,VLOOKUP(A27,'Données projet'!$A$139:$I$159,6,0)*VLOOKUP('Données projet'!$B$13,Paramètres!$A$1:$I$89,7,0))</f>
        <v>0.18</v>
      </c>
      <c r="DE27" s="17">
        <f>IF(ISNA(VLOOKUP(A27,'Données projet'!$A$139:$I$159,7,0)),0%,VLOOKUP(A27,'Données projet'!$A$139:$I$159,7,0))</f>
        <v>0.2</v>
      </c>
      <c r="DF27" s="23">
        <f>EXP(-LN(2)/35)*DF26+(1-EXP(-LN(2)/35))/(LN(2)/35)*DB27*DC27*VLOOKUP('Données projet'!$B$13,Paramètres!$A$1:$I$89,3,0)*0.475*44/12</f>
        <v>35.149447785655596</v>
      </c>
      <c r="DG27" s="23">
        <f>EXP(-LN(2)/25)*DG26+(1-EXP(-LN(2)/25))/(LN(2)/25)*Calculateur!DB27*Calculateur!DD27*VLOOKUP('Données projet'!$B$13,Paramètres!$A$1:$I$89,3,0)*0.475*44/12</f>
        <v>28.184285370721447</v>
      </c>
      <c r="DH27" s="23">
        <f>EXP(-LN(2)/2)*DH26+(1-EXP(-LN(2)/2))/(LN(2)/2)*DB27*DE27*VLOOKUP('Données projet'!$B$13,Paramètres!$A$1:$I$89,3,0)*0.475*44/12</f>
        <v>11.769173791905448</v>
      </c>
      <c r="DI27" s="24">
        <f t="shared" si="15"/>
        <v>75.102906948282495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</v>
      </c>
      <c r="DO27" s="13">
        <f>IF('Données projet'!$A$166&gt;35,DO26+DN27-DW26,IF(A27&lt;'Données projet'!$A$166,$DL$205^A27,IF(A27='Données projet'!$A$166,'Données projet'!$B$166,DO26+DN27-DW26)))</f>
        <v>130</v>
      </c>
      <c r="DP27" s="18">
        <f>DO27*VLOOKUP('Données projet'!$B$14,Paramètres!$A$1:$I$89,3,0)*VLOOKUP('Données projet'!$B$14,Paramètres!$A$1:$I$89,5,0)</f>
        <v>125.73599999999999</v>
      </c>
      <c r="DQ27" s="14">
        <f t="shared" si="43"/>
        <v>33.0091698918201</v>
      </c>
      <c r="DR27" s="22">
        <f t="shared" si="16"/>
        <v>276.48117089492001</v>
      </c>
      <c r="DS27" s="62">
        <f t="shared" si="17"/>
        <v>569.81450422825333</v>
      </c>
      <c r="DT27" s="62">
        <f ca="1">AVERAGE(OFFSET($DS$3,0,0,'Données projet'!$E$14+1,1))-AVERAGE(OFFSET($H$3,0,0,'Données projet'!$E$14+1,1))</f>
        <v>271.09447278906288</v>
      </c>
      <c r="DU27" s="62">
        <f t="shared" si="44"/>
        <v>325.1094067861851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</v>
      </c>
      <c r="EJ27" s="13">
        <f>IF('Données projet'!$A$192&gt;35,EJ26+EI27-ER26,IF(A27&lt;'Données projet'!$A$192,$EG$205^A27,IF(A27='Données projet'!$A$192,'Données projet'!$B$192,EJ26+EI27-ER26)))</f>
        <v>130</v>
      </c>
      <c r="EK27" s="18">
        <f>EJ27*VLOOKUP('Données projet'!$B$15,Paramètres!$A$1:$I$89,3,0)*VLOOKUP('Données projet'!$B$15,Paramètres!$A$1:$I$89,5,0)</f>
        <v>139.93199999999999</v>
      </c>
      <c r="EL27" s="14">
        <f t="shared" si="45"/>
        <v>36.281427209452353</v>
      </c>
      <c r="EM27" s="22">
        <f t="shared" si="19"/>
        <v>306.90505238979614</v>
      </c>
      <c r="EN27" s="62">
        <f t="shared" si="20"/>
        <v>600.23838572312945</v>
      </c>
      <c r="EO27" s="62">
        <f ca="1">AVERAGE(OFFSET($EN$3,0,0,'Données projet'!$E$15+1,1))-AVERAGE(OFFSET($H$3,0,0,'Données projet'!$E$15+1,1))</f>
        <v>306.50593475734655</v>
      </c>
      <c r="EP27" s="62">
        <f t="shared" si="46"/>
        <v>366.48643801375079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18.329999999999998</v>
      </c>
      <c r="D28" s="12">
        <f t="shared" si="32"/>
        <v>6.0211912093426747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187.97410758089083</v>
      </c>
      <c r="H28" s="70">
        <f t="shared" si="1"/>
        <v>335.74499135627178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>
        <f>VLOOKUP(A28,'Données projet'!$A$35:$I$55,2,0)</f>
        <v>103</v>
      </c>
      <c r="L28" s="13">
        <f>VLOOKUP(A28,'Données projet'!$A$35:$I$55,9,0)</f>
        <v>7.2</v>
      </c>
      <c r="M28" s="13">
        <f t="array" ref="M28">INDEX(L:L,MIN(IF(ISNUMBER(L28:L224),ROW(L28:L224),"")))</f>
        <v>7.2</v>
      </c>
      <c r="N28" s="14">
        <f>IF('Données projet'!$A$36&gt;35,N27+M28-V27,IF(A28&lt;'Données projet'!$A$36,$K$205^A28,IF(A28='Données projet'!$A$36,'Données projet'!$B$36,N27+M28-V27)))</f>
        <v>103.00000000000001</v>
      </c>
      <c r="O28" s="14">
        <f>N28*VLOOKUP('Données projet'!$B$9,Paramètres!$A$1:$I$89,3,0)*VLOOKUP('Données projet'!$B$9,Paramètres!$A$1:$I$89,5,0)</f>
        <v>93.194400000000002</v>
      </c>
      <c r="P28" s="14">
        <f t="shared" si="33"/>
        <v>25.33406653691528</v>
      </c>
      <c r="Q28" s="22">
        <f t="shared" si="2"/>
        <v>206.43707921846078</v>
      </c>
      <c r="R28" s="62">
        <f t="shared" si="0"/>
        <v>499.7704125517941</v>
      </c>
      <c r="S28" s="62">
        <f ca="1">AVERAGE(OFFSET($R$3,0,0,'Données projet'!$E$9+1,1))-AVERAGE(OFFSET($H$3,0,0,'Données projet'!$E$9+1,1))</f>
        <v>312.57314929661908</v>
      </c>
      <c r="T28" s="62">
        <f t="shared" si="34"/>
        <v>190.92100876773804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28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>
        <f>VLOOKUP(A28,'Données projet'!$A$61:$I$81,2,0)</f>
        <v>103</v>
      </c>
      <c r="AG28" s="13">
        <f>VLOOKUP(A28,'Données projet'!$A$61:$I$81,9,0)</f>
        <v>7.2</v>
      </c>
      <c r="AH28" s="13">
        <f t="array" ref="AH28">INDEX(AG:AG,MIN(IF(ISNUMBER(AG28:AG224),ROW(AG28:AG224),"")))</f>
        <v>7.2</v>
      </c>
      <c r="AI28" s="14">
        <f>IF('Données projet'!$A$62&gt;35,AI27+AH28-AQ27,IF(A28&lt;'Données projet'!$A$62,$AF$205^A28,IF(A28='Données projet'!$A$62,'Données projet'!$B$62,AI27+AH28-AQ27)))</f>
        <v>103.00000000000001</v>
      </c>
      <c r="AJ28" s="14">
        <f>AI28*VLOOKUP('Données projet'!$B$10,Paramètres!$A$1:$I$89,3,0)*VLOOKUP('Données projet'!$B$10,Paramètres!$A$1:$I$89,5,0)</f>
        <v>104.44200000000004</v>
      </c>
      <c r="AK28" s="14">
        <f t="shared" si="35"/>
        <v>28.01755116176631</v>
      </c>
      <c r="AL28" s="22">
        <f t="shared" si="4"/>
        <v>230.70038494007636</v>
      </c>
      <c r="AM28" s="62">
        <f t="shared" si="5"/>
        <v>524.0337182734097</v>
      </c>
      <c r="AN28" s="62">
        <f ca="1">AVERAGE(OFFSET($AM$3,0,0,'Données projet'!$E$10+1,1))-AVERAGE(OFFSET($H$3,0,0,'Données projet'!$E$10+1,1))</f>
        <v>360.56293184044779</v>
      </c>
      <c r="AO28" s="62">
        <f t="shared" si="36"/>
        <v>219.32252911220542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28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>
        <f>VLOOKUP(A28,'Données projet'!$A$87:$I$107,2,0)</f>
        <v>246.32</v>
      </c>
      <c r="BB28" s="13">
        <f>VLOOKUP(A28,'Données projet'!$A$87:$I$107,9,0)</f>
        <v>8.5999999999999979</v>
      </c>
      <c r="BC28" s="13">
        <f t="array" ref="BC28">INDEX(BB:BB,MIN(IF(ISNUMBER(BB28:BB224),ROW(BB28:BB224),"")))</f>
        <v>8.5999999999999979</v>
      </c>
      <c r="BD28" s="13">
        <f>IF('Données projet'!$A$88&gt;35,BD27+BC28-BL27,IF(A28&lt;'Données projet'!$A$88,$BA$205^A28,IF(A28='Données projet'!$A$88,'Données projet'!$B$88,BD27+BC28-BL27)))</f>
        <v>246.31999999999996</v>
      </c>
      <c r="BE28" s="14">
        <f>BD28*VLOOKUP('Données projet'!$B$11,Paramètres!$A$1:$I$89,3,0)*VLOOKUP('Données projet'!$B$11,Paramètres!$A$1:$I$89,5,0)</f>
        <v>180.60182399999997</v>
      </c>
      <c r="BF28" s="14">
        <f t="shared" si="37"/>
        <v>45.456054896427297</v>
      </c>
      <c r="BG28" s="22">
        <f t="shared" si="7"/>
        <v>393.71747241127747</v>
      </c>
      <c r="BH28" s="62">
        <f t="shared" si="8"/>
        <v>687.05080574461078</v>
      </c>
      <c r="BI28" s="62">
        <f ca="1">AVERAGE(OFFSET($BH$3,0,0,'Données projet'!$E$11+1,1))-AVERAGE(OFFSET($H$3,0,0,'Données projet'!$E$11+1,1))</f>
        <v>182.06733089745194</v>
      </c>
      <c r="BJ28" s="62">
        <f t="shared" si="38"/>
        <v>320.36755413886021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49.26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>
        <f>VLOOKUP(A28,'Données projet'!$A$113:$I$133,2,0)</f>
        <v>120</v>
      </c>
      <c r="BW28" s="13">
        <f>VLOOKUP(A28,'Données projet'!$A$113:$I$133,9,0)</f>
        <v>11.6</v>
      </c>
      <c r="BX28" s="13">
        <f t="array" ref="BX28">INDEX(BW:BW,MIN(IF(ISNUMBER(BW28:BW224),ROW(BW28:BW224),"")))</f>
        <v>11.6</v>
      </c>
      <c r="BY28" s="13">
        <f>IF('Données projet'!$A$114&gt;35,BY27+BX28-CG27,IF(A28&lt;'Données projet'!$A$114,$BV$205^A28,IF(A28='Données projet'!$A$114,'Données projet'!$B$114,BY27+BX28-CG27)))</f>
        <v>119.99999999999997</v>
      </c>
      <c r="BZ28" s="14">
        <f>BY28*VLOOKUP('Données projet'!$B$12,Paramètres!$A$1:$I$89,3,0)*VLOOKUP('Données projet'!$B$12,Paramètres!$A$1:$I$89,5,0)</f>
        <v>104.83199999999998</v>
      </c>
      <c r="CA28" s="14">
        <f t="shared" si="39"/>
        <v>28.109974371137692</v>
      </c>
      <c r="CB28" s="22">
        <f t="shared" si="10"/>
        <v>231.54060536306474</v>
      </c>
      <c r="CC28" s="62">
        <f t="shared" si="11"/>
        <v>524.873938696398</v>
      </c>
      <c r="CD28" s="62">
        <f ca="1">AVERAGE(OFFSET($CC$3,0,0,'Données projet'!$E$12+1,1))-AVERAGE(OFFSET($H$3,0,0,'Données projet'!$E$12+1,1))</f>
        <v>248.60758320902863</v>
      </c>
      <c r="CE28" s="62">
        <f t="shared" si="40"/>
        <v>222.23585883330111</v>
      </c>
      <c r="CF28" s="16">
        <f>IF(ISNA(VLOOKUP(A28,'Données projet'!$A$113:$I$133,3,0)),0,VLOOKUP(A28,'Données projet'!$A$113:$I$133,3,0))</f>
        <v>2</v>
      </c>
      <c r="CG28" s="16">
        <f>IF(ISNA(VLOOKUP(A28,'Données projet'!$A$113:$I$133,4,0)),0,VLOOKUP(A28,'Données projet'!$A$113:$I$133,4,0))</f>
        <v>34</v>
      </c>
      <c r="CH28" s="17">
        <f>IF(ISNA(VLOOKUP(A28,'Données projet'!$A$113:$I$133,5,0)),0%,VLOOKUP(A28,'Données projet'!$A$113:$I$133,5,0)*VLOOKUP('Données projet'!$B$12,Paramètres!$A$1:$I$89,7,0))</f>
        <v>8.6000000000000007E-2</v>
      </c>
      <c r="CI28" s="17">
        <f>IF(ISNA(VLOOKUP(A28,'Données projet'!$A$113:$I$133,6,0)),0%,VLOOKUP(A28,'Données projet'!$A$113:$I$133,6,0)*VLOOKUP('Données projet'!$B$12,Paramètres!$A$1:$I$89,7,0))</f>
        <v>8.6000000000000007E-2</v>
      </c>
      <c r="CJ28" s="17">
        <f>IF(ISNA(VLOOKUP(A28,'Données projet'!$A$113:$I$133,7,0)),0%,VLOOKUP(A28,'Données projet'!$A$113:$I$133,7,0))</f>
        <v>0.3</v>
      </c>
      <c r="CK28" s="23">
        <f>EXP(-LN(2)/35)*CK27+(1-EXP(-LN(2)/35))/(LN(2)/35)*CG28*CH28*VLOOKUP('Données projet'!$B$12,Paramètres!$A$1:$I$89,3,0)*0.475*44/12</f>
        <v>2.823820612489397</v>
      </c>
      <c r="CL28" s="23">
        <f>EXP(-LN(2)/25)*CL27+(1-EXP(-LN(2)/25))/(LN(2)/25)*Calculateur!CG28*Calculateur!CI28*VLOOKUP('Données projet'!$B$12,Paramètres!$A$1:$I$89,3,0)*0.475*44/12</f>
        <v>2.8127021547780195</v>
      </c>
      <c r="CM28" s="23">
        <f>EXP(-LN(2)/2)*CM27+(1-EXP(-LN(2)/2))/(LN(2)/2)*CG28*CJ28*VLOOKUP('Données projet'!$B$12,Paramètres!$A$1:$I$89,3,0)*0.475*44/12</f>
        <v>8.4075041485125244</v>
      </c>
      <c r="CN28" s="24">
        <f t="shared" si="12"/>
        <v>14.044026915779941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16.666666666666668</v>
      </c>
      <c r="CT28" s="13">
        <f>IF('Données projet'!$A$140&gt;35,CT27+CS28-DB27,IF(A28&lt;'Données projet'!$A$140,$CQ$205^A28,IF(A28='Données projet'!$A$140,'Données projet'!$B$140,CT27+CS28-DB27)))</f>
        <v>171.66666666666666</v>
      </c>
      <c r="CU28" s="18">
        <f>CT28*VLOOKUP('Données projet'!$B$13,Paramètres!$A$1:$I$89,3,0)*VLOOKUP('Données projet'!$B$13,Paramètres!$A$1:$I$89,5,0)</f>
        <v>93.72999999999999</v>
      </c>
      <c r="CV28" s="14">
        <f t="shared" si="41"/>
        <v>25.462674063925309</v>
      </c>
      <c r="CW28" s="22">
        <f t="shared" si="13"/>
        <v>207.59390732800321</v>
      </c>
      <c r="CX28" s="62">
        <f t="shared" si="14"/>
        <v>500.92724066133655</v>
      </c>
      <c r="CY28" s="62">
        <f ca="1">AVERAGE(OFFSET($CX$3,0,0,'Données projet'!$E$13+1,1))-AVERAGE(OFFSET($H$3,0,0,'Données projet'!$E$13+1,1))</f>
        <v>135.44138026609272</v>
      </c>
      <c r="CZ28" s="62">
        <f t="shared" si="42"/>
        <v>254.77247578425659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34.460188553625109</v>
      </c>
      <c r="DG28" s="23">
        <f>EXP(-LN(2)/25)*DG27+(1-EXP(-LN(2)/25))/(LN(2)/25)*Calculateur!DB28*Calculateur!DD28*VLOOKUP('Données projet'!$B$13,Paramètres!$A$1:$I$89,3,0)*0.475*44/12</f>
        <v>27.413584605111918</v>
      </c>
      <c r="DH28" s="23">
        <f>EXP(-LN(2)/2)*DH27+(1-EXP(-LN(2)/2))/(LN(2)/2)*DB28*DE28*VLOOKUP('Données projet'!$B$13,Paramètres!$A$1:$I$89,3,0)*0.475*44/12</f>
        <v>8.3220625972193361</v>
      </c>
      <c r="DI28" s="24">
        <f t="shared" si="15"/>
        <v>70.195835755956352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>
        <f>VLOOKUP(A28,'Données projet'!$A$165:$I$185,2,0)</f>
        <v>140</v>
      </c>
      <c r="DM28" s="13">
        <f>VLOOKUP(A28,'Données projet'!$A$165:$I$185,9,0)</f>
        <v>10</v>
      </c>
      <c r="DN28" s="13">
        <f t="array" ref="DN28">INDEX(DM:DM,MIN(IF(ISNUMBER(DM28:DM224),ROW(DM28:DM224),"")))</f>
        <v>10</v>
      </c>
      <c r="DO28" s="13">
        <f>IF('Données projet'!$A$166&gt;35,DO27+DN28-DW27,IF(A28&lt;'Données projet'!$A$166,$DL$205^A28,IF(A28='Données projet'!$A$166,'Données projet'!$B$166,DO27+DN28-DW27)))</f>
        <v>140</v>
      </c>
      <c r="DP28" s="18">
        <f>DO28*VLOOKUP('Données projet'!$B$14,Paramètres!$A$1:$I$89,3,0)*VLOOKUP('Données projet'!$B$14,Paramètres!$A$1:$I$89,5,0)</f>
        <v>135.40799999999999</v>
      </c>
      <c r="DQ28" s="14">
        <f t="shared" si="43"/>
        <v>35.243009677478732</v>
      </c>
      <c r="DR28" s="22">
        <f t="shared" si="16"/>
        <v>297.21717518827546</v>
      </c>
      <c r="DS28" s="62">
        <f t="shared" si="17"/>
        <v>590.55050852160878</v>
      </c>
      <c r="DT28" s="62">
        <f ca="1">AVERAGE(OFFSET($DS$3,0,0,'Données projet'!$E$14+1,1))-AVERAGE(OFFSET($H$3,0,0,'Données projet'!$E$14+1,1))</f>
        <v>271.09447278906288</v>
      </c>
      <c r="DU28" s="62">
        <f t="shared" si="44"/>
        <v>325.1094067861851</v>
      </c>
      <c r="DV28" s="16">
        <f>IF(ISNA(VLOOKUP(A28,'Données projet'!$A$165:$I$185,3,0)),0,VLOOKUP(A28,'Données projet'!$A$165:$I$185,3,0))</f>
        <v>2</v>
      </c>
      <c r="DW28" s="16">
        <f>IF(ISNA(VLOOKUP(A28,'Données projet'!$A$165:$I$185,4,0)),0,VLOOKUP(A28,'Données projet'!$A$165:$I$185,4,0))</f>
        <v>16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>
        <f>VLOOKUP(A28,'Données projet'!$A$191:$I$211,2,0)</f>
        <v>140</v>
      </c>
      <c r="EH28" s="13">
        <f>VLOOKUP(A28,'Données projet'!$A$191:$I$211,9,0)</f>
        <v>10</v>
      </c>
      <c r="EI28" s="13">
        <f t="array" ref="EI28">INDEX(EH:EH,MIN(IF(ISNUMBER(EH28:EH224),ROW(EH28:EH224),"")))</f>
        <v>10</v>
      </c>
      <c r="EJ28" s="13">
        <f>IF('Données projet'!$A$192&gt;35,EJ27+EI28-ER27,IF(A28&lt;'Données projet'!$A$192,$EG$205^A28,IF(A28='Données projet'!$A$192,'Données projet'!$B$192,EJ27+EI28-ER27)))</f>
        <v>140</v>
      </c>
      <c r="EK28" s="18">
        <f>EJ28*VLOOKUP('Données projet'!$B$15,Paramètres!$A$1:$I$89,3,0)*VLOOKUP('Données projet'!$B$15,Paramètres!$A$1:$I$89,5,0)</f>
        <v>150.696</v>
      </c>
      <c r="EL28" s="14">
        <f t="shared" si="45"/>
        <v>38.736711478840633</v>
      </c>
      <c r="EM28" s="22">
        <f t="shared" si="19"/>
        <v>329.92863915898073</v>
      </c>
      <c r="EN28" s="62">
        <f t="shared" si="20"/>
        <v>623.26197249231404</v>
      </c>
      <c r="EO28" s="62">
        <f ca="1">AVERAGE(OFFSET($EN$3,0,0,'Données projet'!$E$15+1,1))-AVERAGE(OFFSET($H$3,0,0,'Données projet'!$E$15+1,1))</f>
        <v>306.50593475734655</v>
      </c>
      <c r="EP28" s="62">
        <f t="shared" si="46"/>
        <v>366.48643801375079</v>
      </c>
      <c r="EQ28" s="16">
        <f>IF(ISNA(VLOOKUP(A28,'Données projet'!$A$191:$I$211,3,0)),0,VLOOKUP(A28,'Données projet'!$A$191:$I$211,3,0))</f>
        <v>2</v>
      </c>
      <c r="ER28" s="16">
        <f>IF(ISNA(VLOOKUP(A28,'Données projet'!$A$191:$I$211,4,0)),0,VLOOKUP(A28,'Données projet'!$A$191:$I$211,4,0))</f>
        <v>16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19.063199999999998</v>
      </c>
      <c r="D29" s="12">
        <f t="shared" si="32"/>
        <v>6.2335159851544919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195.27289532399959</v>
      </c>
      <c r="H29" s="70">
        <f t="shared" si="1"/>
        <v>337.39178034081073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84.200000000000017</v>
      </c>
      <c r="O29" s="14">
        <f>N29*VLOOKUP('Données projet'!$B$9,Paramètres!$A$1:$I$89,3,0)*VLOOKUP('Données projet'!$B$9,Paramètres!$A$1:$I$89,5,0)</f>
        <v>76.184160000000006</v>
      </c>
      <c r="P29" s="14">
        <f t="shared" si="33"/>
        <v>21.201554232857223</v>
      </c>
      <c r="Q29" s="22">
        <f t="shared" si="2"/>
        <v>169.613452288893</v>
      </c>
      <c r="R29" s="62">
        <f t="shared" si="0"/>
        <v>462.94678562222634</v>
      </c>
      <c r="S29" s="62">
        <f ca="1">AVERAGE(OFFSET($R$3,0,0,'Données projet'!$E$9+1,1))-AVERAGE(OFFSET($H$3,0,0,'Données projet'!$E$9+1,1))</f>
        <v>312.57314929661908</v>
      </c>
      <c r="T29" s="62">
        <f t="shared" si="34"/>
        <v>190.92100876773804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9.1999999999999993</v>
      </c>
      <c r="AI29" s="14">
        <f>IF('Données projet'!$A$62&gt;35,AI28+AH29-AQ28,IF(A29&lt;'Données projet'!$A$62,$AF$205^A29,IF(A29='Données projet'!$A$62,'Données projet'!$B$62,AI28+AH29-AQ28)))</f>
        <v>84.200000000000017</v>
      </c>
      <c r="AJ29" s="14">
        <f>AI29*VLOOKUP('Données projet'!$B$10,Paramètres!$A$1:$I$89,3,0)*VLOOKUP('Données projet'!$B$10,Paramètres!$A$1:$I$89,5,0)</f>
        <v>85.378800000000027</v>
      </c>
      <c r="AK29" s="14">
        <f t="shared" si="35"/>
        <v>23.447306793896516</v>
      </c>
      <c r="AL29" s="22">
        <f t="shared" si="4"/>
        <v>189.53880266603645</v>
      </c>
      <c r="AM29" s="62">
        <f t="shared" si="5"/>
        <v>482.87213599936979</v>
      </c>
      <c r="AN29" s="62">
        <f ca="1">AVERAGE(OFFSET($AM$3,0,0,'Données projet'!$E$10+1,1))-AVERAGE(OFFSET($H$3,0,0,'Données projet'!$E$10+1,1))</f>
        <v>360.56293184044779</v>
      </c>
      <c r="AO29" s="62">
        <f t="shared" si="36"/>
        <v>219.32252911220542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6.9428571428571422</v>
      </c>
      <c r="BD29" s="13">
        <f>IF('Données projet'!$A$88&gt;35,BD28+BC29-BL28,IF(A29&lt;'Données projet'!$A$88,$BA$205^A29,IF(A29='Données projet'!$A$88,'Données projet'!$B$88,BD28+BC29-BL28)))</f>
        <v>204.00285714285712</v>
      </c>
      <c r="BE29" s="14">
        <f>BD29*VLOOKUP('Données projet'!$B$11,Paramètres!$A$1:$I$89,3,0)*VLOOKUP('Données projet'!$B$11,Paramètres!$A$1:$I$89,5,0)</f>
        <v>149.57489485714282</v>
      </c>
      <c r="BF29" s="14">
        <f t="shared" si="37"/>
        <v>38.481963000496314</v>
      </c>
      <c r="BG29" s="22">
        <f t="shared" si="7"/>
        <v>327.53236076872145</v>
      </c>
      <c r="BH29" s="62">
        <f t="shared" si="8"/>
        <v>620.8656941020547</v>
      </c>
      <c r="BI29" s="62">
        <f ca="1">AVERAGE(OFFSET($BH$3,0,0,'Données projet'!$E$11+1,1))-AVERAGE(OFFSET($H$3,0,0,'Données projet'!$E$11+1,1))</f>
        <v>182.06733089745194</v>
      </c>
      <c r="BJ29" s="62">
        <f t="shared" si="38"/>
        <v>320.36755413886021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11.2</v>
      </c>
      <c r="BY29" s="13">
        <f>IF('Données projet'!$A$114&gt;35,BY28+BX29-CG28,IF(A29&lt;'Données projet'!$A$114,$BV$205^A29,IF(A29='Données projet'!$A$114,'Données projet'!$B$114,BY28+BX29-CG28)))</f>
        <v>97.19999999999996</v>
      </c>
      <c r="BZ29" s="14">
        <f>BY29*VLOOKUP('Données projet'!$B$12,Paramètres!$A$1:$I$89,3,0)*VLOOKUP('Données projet'!$B$12,Paramètres!$A$1:$I$89,5,0)</f>
        <v>84.913919999999976</v>
      </c>
      <c r="CA29" s="14">
        <f t="shared" si="39"/>
        <v>23.334463079752254</v>
      </c>
      <c r="CB29" s="22">
        <f t="shared" si="10"/>
        <v>188.53260053056849</v>
      </c>
      <c r="CC29" s="62">
        <f t="shared" si="11"/>
        <v>481.86593386390177</v>
      </c>
      <c r="CD29" s="62">
        <f ca="1">AVERAGE(OFFSET($CC$3,0,0,'Données projet'!$E$12+1,1))-AVERAGE(OFFSET($H$3,0,0,'Données projet'!$E$12+1,1))</f>
        <v>248.60758320902863</v>
      </c>
      <c r="CE29" s="62">
        <f t="shared" si="40"/>
        <v>222.23585883330111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2.7684472126389847</v>
      </c>
      <c r="CL29" s="23">
        <f>EXP(-LN(2)/25)*CL28+(1-EXP(-LN(2)/25))/(LN(2)/25)*Calculateur!CG29*Calculateur!CI29*VLOOKUP('Données projet'!$B$12,Paramètres!$A$1:$I$89,3,0)*0.475*44/12</f>
        <v>2.735788666442037</v>
      </c>
      <c r="CM29" s="23">
        <f>EXP(-LN(2)/2)*CM28+(1-EXP(-LN(2)/2))/(LN(2)/2)*CG29*CJ29*VLOOKUP('Données projet'!$B$12,Paramètres!$A$1:$I$89,3,0)*0.475*44/12</f>
        <v>5.9450031962672369</v>
      </c>
      <c r="CN29" s="24">
        <f t="shared" si="12"/>
        <v>11.44923907534826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16.666666666666668</v>
      </c>
      <c r="CT29" s="13">
        <f>IF('Données projet'!$A$140&gt;35,CT28+CS29-DB28,IF(A29&lt;'Données projet'!$A$140,$CQ$205^A29,IF(A29='Données projet'!$A$140,'Données projet'!$B$140,CT28+CS29-DB28)))</f>
        <v>188.33333333333331</v>
      </c>
      <c r="CU29" s="18">
        <f>CT29*VLOOKUP('Données projet'!$B$13,Paramètres!$A$1:$I$89,3,0)*VLOOKUP('Données projet'!$B$13,Paramètres!$A$1:$I$89,5,0)</f>
        <v>102.83</v>
      </c>
      <c r="CV29" s="14">
        <f t="shared" si="41"/>
        <v>27.635107084401234</v>
      </c>
      <c r="CW29" s="22">
        <f t="shared" si="13"/>
        <v>227.22672817199881</v>
      </c>
      <c r="CX29" s="62">
        <f t="shared" si="14"/>
        <v>520.5600615053321</v>
      </c>
      <c r="CY29" s="62">
        <f ca="1">AVERAGE(OFFSET($CX$3,0,0,'Données projet'!$E$13+1,1))-AVERAGE(OFFSET($H$3,0,0,'Données projet'!$E$13+1,1))</f>
        <v>135.44138026609272</v>
      </c>
      <c r="CZ29" s="62">
        <f t="shared" si="42"/>
        <v>254.77247578425659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33.784445274728121</v>
      </c>
      <c r="DG29" s="23">
        <f>EXP(-LN(2)/25)*DG28+(1-EXP(-LN(2)/25))/(LN(2)/25)*Calculateur!DB29*Calculateur!DD29*VLOOKUP('Données projet'!$B$13,Paramètres!$A$1:$I$89,3,0)*0.475*44/12</f>
        <v>26.663958692467371</v>
      </c>
      <c r="DH29" s="23">
        <f>EXP(-LN(2)/2)*DH28+(1-EXP(-LN(2)/2))/(LN(2)/2)*DB29*DE29*VLOOKUP('Données projet'!$B$13,Paramètres!$A$1:$I$89,3,0)*0.475*44/12</f>
        <v>5.884586895952725</v>
      </c>
      <c r="DI29" s="24">
        <f t="shared" si="15"/>
        <v>66.332990863148211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10.8</v>
      </c>
      <c r="DO29" s="13">
        <f>IF('Données projet'!$A$166&gt;35,DO28+DN29-DW28,IF(A29&lt;'Données projet'!$A$166,$DL$205^A29,IF(A29='Données projet'!$A$166,'Données projet'!$B$166,DO28+DN29-DW28)))</f>
        <v>134.80000000000001</v>
      </c>
      <c r="DP29" s="18">
        <f>DO29*VLOOKUP('Données projet'!$B$14,Paramètres!$A$1:$I$89,3,0)*VLOOKUP('Données projet'!$B$14,Paramètres!$A$1:$I$89,5,0)</f>
        <v>130.37856000000002</v>
      </c>
      <c r="DQ29" s="14">
        <f t="shared" si="43"/>
        <v>34.083818624624314</v>
      </c>
      <c r="DR29" s="22">
        <f t="shared" si="16"/>
        <v>286.43864277122071</v>
      </c>
      <c r="DS29" s="62">
        <f t="shared" si="17"/>
        <v>579.77197610455403</v>
      </c>
      <c r="DT29" s="62">
        <f ca="1">AVERAGE(OFFSET($DS$3,0,0,'Données projet'!$E$14+1,1))-AVERAGE(OFFSET($H$3,0,0,'Données projet'!$E$14+1,1))</f>
        <v>271.09447278906288</v>
      </c>
      <c r="DU29" s="62">
        <f t="shared" si="44"/>
        <v>325.1094067861851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10.8</v>
      </c>
      <c r="EJ29" s="13">
        <f>IF('Données projet'!$A$192&gt;35,EJ28+EI29-ER28,IF(A29&lt;'Données projet'!$A$192,$EG$205^A29,IF(A29='Données projet'!$A$192,'Données projet'!$B$192,EJ28+EI29-ER28)))</f>
        <v>134.80000000000001</v>
      </c>
      <c r="EK29" s="18">
        <f>EJ29*VLOOKUP('Données projet'!$B$15,Paramètres!$A$1:$I$89,3,0)*VLOOKUP('Données projet'!$B$15,Paramètres!$A$1:$I$89,5,0)</f>
        <v>145.09872000000001</v>
      </c>
      <c r="EL29" s="14">
        <f t="shared" si="45"/>
        <v>37.462607769361803</v>
      </c>
      <c r="EM29" s="22">
        <f t="shared" si="19"/>
        <v>317.96097919830515</v>
      </c>
      <c r="EN29" s="62">
        <f t="shared" si="20"/>
        <v>611.29431253163852</v>
      </c>
      <c r="EO29" s="62">
        <f ca="1">AVERAGE(OFFSET($EN$3,0,0,'Données projet'!$E$15+1,1))-AVERAGE(OFFSET($H$3,0,0,'Données projet'!$E$15+1,1))</f>
        <v>306.50593475734655</v>
      </c>
      <c r="EP29" s="62">
        <f t="shared" si="46"/>
        <v>366.48643801375079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19.796399999999998</v>
      </c>
      <c r="D30" s="12">
        <f t="shared" si="32"/>
        <v>6.4448920768574434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202.56435989153115</v>
      </c>
      <c r="H30" s="70">
        <f t="shared" si="1"/>
        <v>339.03691703386005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93.40000000000002</v>
      </c>
      <c r="O30" s="14">
        <f>N30*VLOOKUP('Données projet'!$B$9,Paramètres!$A$1:$I$89,3,0)*VLOOKUP('Données projet'!$B$9,Paramètres!$A$1:$I$89,5,0)</f>
        <v>84.508320000000026</v>
      </c>
      <c r="P30" s="14">
        <f t="shared" si="33"/>
        <v>23.235950088324714</v>
      </c>
      <c r="Q30" s="22">
        <f t="shared" si="2"/>
        <v>187.65460373716556</v>
      </c>
      <c r="R30" s="62">
        <f t="shared" si="0"/>
        <v>480.9879370704989</v>
      </c>
      <c r="S30" s="62">
        <f ca="1">AVERAGE(OFFSET($R$3,0,0,'Données projet'!$E$9+1,1))-AVERAGE(OFFSET($H$3,0,0,'Données projet'!$E$9+1,1))</f>
        <v>312.57314929661908</v>
      </c>
      <c r="T30" s="62">
        <f t="shared" si="34"/>
        <v>190.92100876773804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9.1999999999999993</v>
      </c>
      <c r="AI30" s="14">
        <f>IF('Données projet'!$A$62&gt;35,AI29+AH30-AQ29,IF(A30&lt;'Données projet'!$A$62,$AF$205^A30,IF(A30='Données projet'!$A$62,'Données projet'!$B$62,AI29+AH30-AQ29)))</f>
        <v>93.40000000000002</v>
      </c>
      <c r="AJ30" s="14">
        <f>AI30*VLOOKUP('Données projet'!$B$10,Paramètres!$A$1:$I$89,3,0)*VLOOKUP('Données projet'!$B$10,Paramètres!$A$1:$I$89,5,0)</f>
        <v>94.707600000000028</v>
      </c>
      <c r="AK30" s="14">
        <f t="shared" si="35"/>
        <v>25.697193912523566</v>
      </c>
      <c r="AL30" s="22">
        <f t="shared" si="4"/>
        <v>209.70501606431188</v>
      </c>
      <c r="AM30" s="62">
        <f t="shared" si="5"/>
        <v>503.03834939764522</v>
      </c>
      <c r="AN30" s="62">
        <f ca="1">AVERAGE(OFFSET($AM$3,0,0,'Données projet'!$E$10+1,1))-AVERAGE(OFFSET($H$3,0,0,'Données projet'!$E$10+1,1))</f>
        <v>360.56293184044779</v>
      </c>
      <c r="AO30" s="62">
        <f t="shared" si="36"/>
        <v>219.32252911220542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6.9428571428571422</v>
      </c>
      <c r="BD30" s="13">
        <f>IF('Données projet'!$A$88&gt;35,BD29+BC30-BL29,IF(A30&lt;'Données projet'!$A$88,$BA$205^A30,IF(A30='Données projet'!$A$88,'Données projet'!$B$88,BD29+BC30-BL29)))</f>
        <v>210.94571428571427</v>
      </c>
      <c r="BE30" s="14">
        <f>BD30*VLOOKUP('Données projet'!$B$11,Paramètres!$A$1:$I$89,3,0)*VLOOKUP('Données projet'!$B$11,Paramètres!$A$1:$I$89,5,0)</f>
        <v>154.66539771428572</v>
      </c>
      <c r="BF30" s="14">
        <f t="shared" si="37"/>
        <v>39.636916649229782</v>
      </c>
      <c r="BG30" s="22">
        <f t="shared" si="7"/>
        <v>338.40986418312281</v>
      </c>
      <c r="BH30" s="62">
        <f t="shared" si="8"/>
        <v>631.74319751645612</v>
      </c>
      <c r="BI30" s="62">
        <f ca="1">AVERAGE(OFFSET($BH$3,0,0,'Données projet'!$E$11+1,1))-AVERAGE(OFFSET($H$3,0,0,'Données projet'!$E$11+1,1))</f>
        <v>182.06733089745194</v>
      </c>
      <c r="BJ30" s="62">
        <f t="shared" si="38"/>
        <v>320.36755413886021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11.2</v>
      </c>
      <c r="BY30" s="13">
        <f>IF('Données projet'!$A$114&gt;35,BY29+BX30-CG29,IF(A30&lt;'Données projet'!$A$114,$BV$205^A30,IF(A30='Données projet'!$A$114,'Données projet'!$B$114,BY29+BX30-CG29)))</f>
        <v>108.39999999999996</v>
      </c>
      <c r="BZ30" s="14">
        <f>BY30*VLOOKUP('Données projet'!$B$12,Paramètres!$A$1:$I$89,3,0)*VLOOKUP('Données projet'!$B$12,Paramètres!$A$1:$I$89,5,0)</f>
        <v>94.698239999999984</v>
      </c>
      <c r="CA30" s="14">
        <f t="shared" si="39"/>
        <v>25.69494985014671</v>
      </c>
      <c r="CB30" s="22">
        <f t="shared" si="10"/>
        <v>209.68480565567214</v>
      </c>
      <c r="CC30" s="62">
        <f t="shared" si="11"/>
        <v>503.01813898900548</v>
      </c>
      <c r="CD30" s="62">
        <f ca="1">AVERAGE(OFFSET($CC$3,0,0,'Données projet'!$E$12+1,1))-AVERAGE(OFFSET($H$3,0,0,'Données projet'!$E$12+1,1))</f>
        <v>248.60758320902863</v>
      </c>
      <c r="CE30" s="62">
        <f t="shared" si="40"/>
        <v>222.23585883330111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2.7141596513852</v>
      </c>
      <c r="CL30" s="23">
        <f>EXP(-LN(2)/25)*CL29+(1-EXP(-LN(2)/25))/(LN(2)/25)*Calculateur!CG30*Calculateur!CI30*VLOOKUP('Données projet'!$B$12,Paramètres!$A$1:$I$89,3,0)*0.475*44/12</f>
        <v>2.6609783814893064</v>
      </c>
      <c r="CM30" s="23">
        <f>EXP(-LN(2)/2)*CM29+(1-EXP(-LN(2)/2))/(LN(2)/2)*CG30*CJ30*VLOOKUP('Données projet'!$B$12,Paramètres!$A$1:$I$89,3,0)*0.475*44/12</f>
        <v>4.2037520742562631</v>
      </c>
      <c r="CN30" s="24">
        <f t="shared" si="12"/>
        <v>9.5788901071307695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16.666666666666668</v>
      </c>
      <c r="CT30" s="13">
        <f>IF('Données projet'!$A$140&gt;35,CT29+CS30-DB29,IF(A30&lt;'Données projet'!$A$140,$CQ$205^A30,IF(A30='Données projet'!$A$140,'Données projet'!$B$140,CT29+CS30-DB29)))</f>
        <v>204.99999999999997</v>
      </c>
      <c r="CU30" s="18">
        <f>CT30*VLOOKUP('Données projet'!$B$13,Paramètres!$A$1:$I$89,3,0)*VLOOKUP('Données projet'!$B$13,Paramètres!$A$1:$I$89,5,0)</f>
        <v>111.92999999999998</v>
      </c>
      <c r="CV30" s="14">
        <f t="shared" si="41"/>
        <v>29.785246291563833</v>
      </c>
      <c r="CW30" s="22">
        <f t="shared" si="13"/>
        <v>246.82072062447358</v>
      </c>
      <c r="CX30" s="62">
        <f t="shared" si="14"/>
        <v>540.15405395780692</v>
      </c>
      <c r="CY30" s="62">
        <f ca="1">AVERAGE(OFFSET($CX$3,0,0,'Données projet'!$E$13+1,1))-AVERAGE(OFFSET($H$3,0,0,'Données projet'!$E$13+1,1))</f>
        <v>135.44138026609272</v>
      </c>
      <c r="CZ30" s="62">
        <f t="shared" si="42"/>
        <v>254.77247578425659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33.1219529093676</v>
      </c>
      <c r="DG30" s="23">
        <f>EXP(-LN(2)/25)*DG29+(1-EXP(-LN(2)/25))/(LN(2)/25)*Calculateur!DB30*Calculateur!DD30*VLOOKUP('Données projet'!$B$13,Paramètres!$A$1:$I$89,3,0)*0.475*44/12</f>
        <v>25.934831339825205</v>
      </c>
      <c r="DH30" s="23">
        <f>EXP(-LN(2)/2)*DH29+(1-EXP(-LN(2)/2))/(LN(2)/2)*DB30*DE30*VLOOKUP('Données projet'!$B$13,Paramètres!$A$1:$I$89,3,0)*0.475*44/12</f>
        <v>4.1610312986096689</v>
      </c>
      <c r="DI30" s="24">
        <f t="shared" si="15"/>
        <v>63.217815547802473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10.8</v>
      </c>
      <c r="DO30" s="13">
        <f>IF('Données projet'!$A$166&gt;35,DO29+DN30-DW29,IF(A30&lt;'Données projet'!$A$166,$DL$205^A30,IF(A30='Données projet'!$A$166,'Données projet'!$B$166,DO29+DN30-DW29)))</f>
        <v>145.60000000000002</v>
      </c>
      <c r="DP30" s="18">
        <f>DO30*VLOOKUP('Données projet'!$B$14,Paramètres!$A$1:$I$89,3,0)*VLOOKUP('Données projet'!$B$14,Paramètres!$A$1:$I$89,5,0)</f>
        <v>140.82432000000003</v>
      </c>
      <c r="DQ30" s="14">
        <f t="shared" si="43"/>
        <v>36.485781060837802</v>
      </c>
      <c r="DR30" s="22">
        <f t="shared" si="16"/>
        <v>308.81509268095925</v>
      </c>
      <c r="DS30" s="62">
        <f t="shared" si="17"/>
        <v>602.14842601429257</v>
      </c>
      <c r="DT30" s="62">
        <f ca="1">AVERAGE(OFFSET($DS$3,0,0,'Données projet'!$E$14+1,1))-AVERAGE(OFFSET($H$3,0,0,'Données projet'!$E$14+1,1))</f>
        <v>271.09447278906288</v>
      </c>
      <c r="DU30" s="62">
        <f t="shared" si="44"/>
        <v>325.1094067861851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10.8</v>
      </c>
      <c r="EJ30" s="13">
        <f>IF('Données projet'!$A$192&gt;35,EJ29+EI30-ER29,IF(A30&lt;'Données projet'!$A$192,$EG$205^A30,IF(A30='Données projet'!$A$192,'Données projet'!$B$192,EJ29+EI30-ER29)))</f>
        <v>145.60000000000002</v>
      </c>
      <c r="EK30" s="18">
        <f>EJ30*VLOOKUP('Données projet'!$B$15,Paramètres!$A$1:$I$89,3,0)*VLOOKUP('Données projet'!$B$15,Paramètres!$A$1:$I$89,5,0)</f>
        <v>156.72384000000002</v>
      </c>
      <c r="EL30" s="14">
        <f t="shared" si="45"/>
        <v>40.102680984620484</v>
      </c>
      <c r="EM30" s="22">
        <f t="shared" si="19"/>
        <v>342.80619071488064</v>
      </c>
      <c r="EN30" s="62">
        <f t="shared" si="20"/>
        <v>636.13952404821396</v>
      </c>
      <c r="EO30" s="62">
        <f ca="1">AVERAGE(OFFSET($EN$3,0,0,'Données projet'!$E$15+1,1))-AVERAGE(OFFSET($H$3,0,0,'Données projet'!$E$15+1,1))</f>
        <v>306.50593475734655</v>
      </c>
      <c r="EP30" s="62">
        <f t="shared" si="46"/>
        <v>366.48643801375079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20.529599999999999</v>
      </c>
      <c r="D31" s="12">
        <f t="shared" si="32"/>
        <v>6.6553586445673751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209.84880357209906</v>
      </c>
      <c r="H31" s="70">
        <f t="shared" si="1"/>
        <v>340.68046963928816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102.60000000000002</v>
      </c>
      <c r="O31" s="14">
        <f>N31*VLOOKUP('Données projet'!$B$9,Paramètres!$A$1:$I$89,3,0)*VLOOKUP('Données projet'!$B$9,Paramètres!$A$1:$I$89,5,0)</f>
        <v>92.832480000000018</v>
      </c>
      <c r="P31" s="14">
        <f t="shared" si="33"/>
        <v>25.247114117480137</v>
      </c>
      <c r="Q31" s="22">
        <f t="shared" si="2"/>
        <v>205.65529308794461</v>
      </c>
      <c r="R31" s="62">
        <f t="shared" si="0"/>
        <v>498.9886264212779</v>
      </c>
      <c r="S31" s="62">
        <f ca="1">AVERAGE(OFFSET($R$3,0,0,'Données projet'!$E$9+1,1))-AVERAGE(OFFSET($H$3,0,0,'Données projet'!$E$9+1,1))</f>
        <v>312.57314929661908</v>
      </c>
      <c r="T31" s="62">
        <f t="shared" si="34"/>
        <v>190.92100876773804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9.1999999999999993</v>
      </c>
      <c r="AI31" s="14">
        <f>IF('Données projet'!$A$62&gt;35,AI30+AH31-AQ30,IF(A31&lt;'Données projet'!$A$62,$AF$205^A31,IF(A31='Données projet'!$A$62,'Données projet'!$B$62,AI30+AH31-AQ30)))</f>
        <v>102.60000000000002</v>
      </c>
      <c r="AJ31" s="14">
        <f>AI31*VLOOKUP('Données projet'!$B$10,Paramètres!$A$1:$I$89,3,0)*VLOOKUP('Données projet'!$B$10,Paramètres!$A$1:$I$89,5,0)</f>
        <v>104.03640000000003</v>
      </c>
      <c r="AK31" s="14">
        <f t="shared" si="35"/>
        <v>27.921388397820998</v>
      </c>
      <c r="AL31" s="22">
        <f t="shared" si="4"/>
        <v>229.82648145953826</v>
      </c>
      <c r="AM31" s="62">
        <f t="shared" si="5"/>
        <v>523.15981479287154</v>
      </c>
      <c r="AN31" s="62">
        <f ca="1">AVERAGE(OFFSET($AM$3,0,0,'Données projet'!$E$10+1,1))-AVERAGE(OFFSET($H$3,0,0,'Données projet'!$E$10+1,1))</f>
        <v>360.56293184044779</v>
      </c>
      <c r="AO31" s="62">
        <f t="shared" si="36"/>
        <v>219.32252911220542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6.9428571428571422</v>
      </c>
      <c r="BD31" s="13">
        <f>IF('Données projet'!$A$88&gt;35,BD30+BC31-BL30,IF(A31&lt;'Données projet'!$A$88,$BA$205^A31,IF(A31='Données projet'!$A$88,'Données projet'!$B$88,BD30+BC31-BL30)))</f>
        <v>217.88857142857142</v>
      </c>
      <c r="BE31" s="14">
        <f>BD31*VLOOKUP('Données projet'!$B$11,Paramètres!$A$1:$I$89,3,0)*VLOOKUP('Données projet'!$B$11,Paramètres!$A$1:$I$89,5,0)</f>
        <v>159.75590057142855</v>
      </c>
      <c r="BF31" s="14">
        <f t="shared" si="37"/>
        <v>40.787453207838354</v>
      </c>
      <c r="BG31" s="22">
        <f t="shared" si="7"/>
        <v>349.27967449888985</v>
      </c>
      <c r="BH31" s="62">
        <f t="shared" si="8"/>
        <v>642.61300783222316</v>
      </c>
      <c r="BI31" s="62">
        <f ca="1">AVERAGE(OFFSET($BH$3,0,0,'Données projet'!$E$11+1,1))-AVERAGE(OFFSET($H$3,0,0,'Données projet'!$E$11+1,1))</f>
        <v>182.06733089745194</v>
      </c>
      <c r="BJ31" s="62">
        <f t="shared" si="38"/>
        <v>320.36755413886021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11.2</v>
      </c>
      <c r="BY31" s="13">
        <f>IF('Données projet'!$A$114&gt;35,BY30+BX31-CG30,IF(A31&lt;'Données projet'!$A$114,$BV$205^A31,IF(A31='Données projet'!$A$114,'Données projet'!$B$114,BY30+BX31-CG30)))</f>
        <v>119.59999999999997</v>
      </c>
      <c r="BZ31" s="14">
        <f>BY31*VLOOKUP('Données projet'!$B$12,Paramètres!$A$1:$I$89,3,0)*VLOOKUP('Données projet'!$B$12,Paramètres!$A$1:$I$89,5,0)</f>
        <v>104.48255999999998</v>
      </c>
      <c r="CA31" s="14">
        <f t="shared" si="39"/>
        <v>28.02716504477474</v>
      </c>
      <c r="CB31" s="22">
        <f t="shared" si="10"/>
        <v>230.78777111964928</v>
      </c>
      <c r="CC31" s="62">
        <f t="shared" si="11"/>
        <v>524.12110445298254</v>
      </c>
      <c r="CD31" s="62">
        <f ca="1">AVERAGE(OFFSET($CC$3,0,0,'Données projet'!$E$12+1,1))-AVERAGE(OFFSET($H$3,0,0,'Données projet'!$E$12+1,1))</f>
        <v>248.60758320902863</v>
      </c>
      <c r="CE31" s="62">
        <f t="shared" si="40"/>
        <v>222.23585883330111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2.6609366360954589</v>
      </c>
      <c r="CL31" s="23">
        <f>EXP(-LN(2)/25)*CL30+(1-EXP(-LN(2)/25))/(LN(2)/25)*Calculateur!CG31*Calculateur!CI31*VLOOKUP('Données projet'!$B$12,Paramètres!$A$1:$I$89,3,0)*0.475*44/12</f>
        <v>2.5882137877127098</v>
      </c>
      <c r="CM31" s="23">
        <f>EXP(-LN(2)/2)*CM30+(1-EXP(-LN(2)/2))/(LN(2)/2)*CG31*CJ31*VLOOKUP('Données projet'!$B$12,Paramètres!$A$1:$I$89,3,0)*0.475*44/12</f>
        <v>2.9725015981336189</v>
      </c>
      <c r="CN31" s="24">
        <f t="shared" si="12"/>
        <v>8.2216520219417877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16.666666666666668</v>
      </c>
      <c r="CT31" s="13">
        <f>IF('Données projet'!$A$140&gt;35,CT30+CS31-DB30,IF(A31&lt;'Données projet'!$A$140,$CQ$205^A31,IF(A31='Données projet'!$A$140,'Données projet'!$B$140,CT30+CS31-DB30)))</f>
        <v>221.66666666666663</v>
      </c>
      <c r="CU31" s="18">
        <f>CT31*VLOOKUP('Données projet'!$B$13,Paramètres!$A$1:$I$89,3,0)*VLOOKUP('Données projet'!$B$13,Paramètres!$A$1:$I$89,5,0)</f>
        <v>121.02999999999997</v>
      </c>
      <c r="CV31" s="14">
        <f t="shared" si="41"/>
        <v>31.915110254002617</v>
      </c>
      <c r="CW31" s="22">
        <f t="shared" si="13"/>
        <v>266.3794003590545</v>
      </c>
      <c r="CX31" s="62">
        <f t="shared" si="14"/>
        <v>559.71273369238781</v>
      </c>
      <c r="CY31" s="62">
        <f ca="1">AVERAGE(OFFSET($CX$3,0,0,'Données projet'!$E$13+1,1))-AVERAGE(OFFSET($H$3,0,0,'Données projet'!$E$13+1,1))</f>
        <v>135.44138026609272</v>
      </c>
      <c r="CZ31" s="62">
        <f t="shared" si="42"/>
        <v>254.77247578425659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32.472451615211355</v>
      </c>
      <c r="DG31" s="23">
        <f>EXP(-LN(2)/25)*DG30+(1-EXP(-LN(2)/25))/(LN(2)/25)*Calculateur!DB31*Calculateur!DD31*VLOOKUP('Données projet'!$B$13,Paramètres!$A$1:$I$89,3,0)*0.475*44/12</f>
        <v>25.225642012984181</v>
      </c>
      <c r="DH31" s="23">
        <f>EXP(-LN(2)/2)*DH30+(1-EXP(-LN(2)/2))/(LN(2)/2)*DB31*DE31*VLOOKUP('Données projet'!$B$13,Paramètres!$A$1:$I$89,3,0)*0.475*44/12</f>
        <v>2.9422934479763629</v>
      </c>
      <c r="DI31" s="24">
        <f t="shared" si="15"/>
        <v>60.640387076171898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10.8</v>
      </c>
      <c r="DO31" s="13">
        <f>IF('Données projet'!$A$166&gt;35,DO30+DN31-DW30,IF(A31&lt;'Données projet'!$A$166,$DL$205^A31,IF(A31='Données projet'!$A$166,'Données projet'!$B$166,DO30+DN31-DW30)))</f>
        <v>156.40000000000003</v>
      </c>
      <c r="DP31" s="18">
        <f>DO31*VLOOKUP('Données projet'!$B$14,Paramètres!$A$1:$I$89,3,0)*VLOOKUP('Données projet'!$B$14,Paramètres!$A$1:$I$89,5,0)</f>
        <v>151.27008000000004</v>
      </c>
      <c r="DQ31" s="14">
        <f t="shared" si="43"/>
        <v>38.867074070140994</v>
      </c>
      <c r="DR31" s="22">
        <f t="shared" si="16"/>
        <v>331.15554333882898</v>
      </c>
      <c r="DS31" s="62">
        <f t="shared" si="17"/>
        <v>624.48887667216229</v>
      </c>
      <c r="DT31" s="62">
        <f ca="1">AVERAGE(OFFSET($DS$3,0,0,'Données projet'!$E$14+1,1))-AVERAGE(OFFSET($H$3,0,0,'Données projet'!$E$14+1,1))</f>
        <v>271.09447278906288</v>
      </c>
      <c r="DU31" s="62">
        <f t="shared" si="44"/>
        <v>325.1094067861851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10.8</v>
      </c>
      <c r="EJ31" s="13">
        <f>IF('Données projet'!$A$192&gt;35,EJ30+EI31-ER30,IF(A31&lt;'Données projet'!$A$192,$EG$205^A31,IF(A31='Données projet'!$A$192,'Données projet'!$B$192,EJ30+EI31-ER30)))</f>
        <v>156.40000000000003</v>
      </c>
      <c r="EK31" s="18">
        <f>EJ31*VLOOKUP('Données projet'!$B$15,Paramètres!$A$1:$I$89,3,0)*VLOOKUP('Données projet'!$B$15,Paramètres!$A$1:$I$89,5,0)</f>
        <v>168.34896000000003</v>
      </c>
      <c r="EL31" s="14">
        <f t="shared" si="45"/>
        <v>42.72003577616951</v>
      </c>
      <c r="EM31" s="22">
        <f t="shared" si="19"/>
        <v>367.6118343101619</v>
      </c>
      <c r="EN31" s="62">
        <f t="shared" si="20"/>
        <v>660.94516764349521</v>
      </c>
      <c r="EO31" s="62">
        <f ca="1">AVERAGE(OFFSET($EN$3,0,0,'Données projet'!$E$15+1,1))-AVERAGE(OFFSET($H$3,0,0,'Données projet'!$E$15+1,1))</f>
        <v>306.50593475734655</v>
      </c>
      <c r="EP31" s="62">
        <f t="shared" si="46"/>
        <v>366.48643801375079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21.262799999999999</v>
      </c>
      <c r="D32" s="12">
        <f t="shared" si="32"/>
        <v>6.864951892683286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217.12650583825697</v>
      </c>
      <c r="H32" s="70">
        <f t="shared" si="1"/>
        <v>342.32250121309005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111.80000000000003</v>
      </c>
      <c r="O32" s="14">
        <f>N32*VLOOKUP('Données projet'!$B$9,Paramètres!$A$1:$I$89,3,0)*VLOOKUP('Données projet'!$B$9,Paramètres!$A$1:$I$89,5,0)</f>
        <v>101.15664000000001</v>
      </c>
      <c r="P32" s="14">
        <f t="shared" si="33"/>
        <v>27.237366379381644</v>
      </c>
      <c r="Q32" s="22">
        <f t="shared" si="2"/>
        <v>223.61956111075639</v>
      </c>
      <c r="R32" s="62">
        <f t="shared" si="0"/>
        <v>516.95289444408968</v>
      </c>
      <c r="S32" s="62">
        <f ca="1">AVERAGE(OFFSET($R$3,0,0,'Données projet'!$E$9+1,1))-AVERAGE(OFFSET($H$3,0,0,'Données projet'!$E$9+1,1))</f>
        <v>312.57314929661908</v>
      </c>
      <c r="T32" s="62">
        <f t="shared" si="34"/>
        <v>190.92100876773804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9.1999999999999993</v>
      </c>
      <c r="AI32" s="14">
        <f>IF('Données projet'!$A$62&gt;35,AI31+AH32-AQ31,IF(A32&lt;'Données projet'!$A$62,$AF$205^A32,IF(A32='Données projet'!$A$62,'Données projet'!$B$62,AI31+AH32-AQ31)))</f>
        <v>111.80000000000003</v>
      </c>
      <c r="AJ32" s="14">
        <f>AI32*VLOOKUP('Données projet'!$B$10,Paramètres!$A$1:$I$89,3,0)*VLOOKUP('Données projet'!$B$10,Paramètres!$A$1:$I$89,5,0)</f>
        <v>113.36520000000003</v>
      </c>
      <c r="AK32" s="14">
        <f t="shared" si="35"/>
        <v>30.122456058687614</v>
      </c>
      <c r="AL32" s="22">
        <f t="shared" si="4"/>
        <v>249.9076676355476</v>
      </c>
      <c r="AM32" s="62">
        <f t="shared" si="5"/>
        <v>543.24100096888094</v>
      </c>
      <c r="AN32" s="62">
        <f ca="1">AVERAGE(OFFSET($AM$3,0,0,'Données projet'!$E$10+1,1))-AVERAGE(OFFSET($H$3,0,0,'Données projet'!$E$10+1,1))</f>
        <v>360.56293184044779</v>
      </c>
      <c r="AO32" s="62">
        <f t="shared" si="36"/>
        <v>219.32252911220542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6.9428571428571422</v>
      </c>
      <c r="BD32" s="13">
        <f>IF('Données projet'!$A$88&gt;35,BD31+BC32-BL31,IF(A32&lt;'Données projet'!$A$88,$BA$205^A32,IF(A32='Données projet'!$A$88,'Données projet'!$B$88,BD31+BC32-BL31)))</f>
        <v>224.83142857142857</v>
      </c>
      <c r="BE32" s="14">
        <f>BD32*VLOOKUP('Données projet'!$B$11,Paramètres!$A$1:$I$89,3,0)*VLOOKUP('Données projet'!$B$11,Paramètres!$A$1:$I$89,5,0)</f>
        <v>164.84640342857142</v>
      </c>
      <c r="BF32" s="14">
        <f t="shared" si="37"/>
        <v>41.933729569445589</v>
      </c>
      <c r="BG32" s="22">
        <f t="shared" si="7"/>
        <v>360.14206497154623</v>
      </c>
      <c r="BH32" s="62">
        <f t="shared" si="8"/>
        <v>653.47539830487949</v>
      </c>
      <c r="BI32" s="62">
        <f ca="1">AVERAGE(OFFSET($BH$3,0,0,'Données projet'!$E$11+1,1))-AVERAGE(OFFSET($H$3,0,0,'Données projet'!$E$11+1,1))</f>
        <v>182.06733089745194</v>
      </c>
      <c r="BJ32" s="62">
        <f t="shared" si="38"/>
        <v>320.36755413886021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11.2</v>
      </c>
      <c r="BY32" s="13">
        <f>IF('Données projet'!$A$114&gt;35,BY31+BX32-CG31,IF(A32&lt;'Données projet'!$A$114,$BV$205^A32,IF(A32='Données projet'!$A$114,'Données projet'!$B$114,BY31+BX32-CG31)))</f>
        <v>130.79999999999995</v>
      </c>
      <c r="BZ32" s="14">
        <f>BY32*VLOOKUP('Données projet'!$B$12,Paramètres!$A$1:$I$89,3,0)*VLOOKUP('Données projet'!$B$12,Paramètres!$A$1:$I$89,5,0)</f>
        <v>114.26687999999997</v>
      </c>
      <c r="CA32" s="14">
        <f t="shared" si="39"/>
        <v>30.334057329879929</v>
      </c>
      <c r="CB32" s="22">
        <f t="shared" si="10"/>
        <v>251.84663251620748</v>
      </c>
      <c r="CC32" s="62">
        <f t="shared" si="11"/>
        <v>545.17996584954085</v>
      </c>
      <c r="CD32" s="62">
        <f ca="1">AVERAGE(OFFSET($CC$3,0,0,'Données projet'!$E$12+1,1))-AVERAGE(OFFSET($H$3,0,0,'Données projet'!$E$12+1,1))</f>
        <v>248.60758320902863</v>
      </c>
      <c r="CE32" s="62">
        <f t="shared" si="40"/>
        <v>222.23585883330111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2.608757291672716</v>
      </c>
      <c r="CL32" s="23">
        <f>EXP(-LN(2)/25)*CL31+(1-EXP(-LN(2)/25))/(LN(2)/25)*Calculateur!CG32*Calculateur!CI32*VLOOKUP('Données projet'!$B$12,Paramètres!$A$1:$I$89,3,0)*0.475*44/12</f>
        <v>2.5174389455794581</v>
      </c>
      <c r="CM32" s="23">
        <f>EXP(-LN(2)/2)*CM31+(1-EXP(-LN(2)/2))/(LN(2)/2)*CG32*CJ32*VLOOKUP('Données projet'!$B$12,Paramètres!$A$1:$I$89,3,0)*0.475*44/12</f>
        <v>2.101876037128132</v>
      </c>
      <c r="CN32" s="24">
        <f t="shared" si="12"/>
        <v>7.2280722743803061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16.666666666666668</v>
      </c>
      <c r="CT32" s="13">
        <f>IF('Données projet'!$A$140&gt;35,CT31+CS32-DB31,IF(A32&lt;'Données projet'!$A$140,$CQ$205^A32,IF(A32='Données projet'!$A$140,'Données projet'!$B$140,CT31+CS32-DB31)))</f>
        <v>238.33333333333329</v>
      </c>
      <c r="CU32" s="18">
        <f>CT32*VLOOKUP('Données projet'!$B$13,Paramètres!$A$1:$I$89,3,0)*VLOOKUP('Données projet'!$B$13,Paramètres!$A$1:$I$89,5,0)</f>
        <v>130.12999999999997</v>
      </c>
      <c r="CV32" s="14">
        <f t="shared" si="41"/>
        <v>34.026396767825609</v>
      </c>
      <c r="CW32" s="22">
        <f t="shared" si="13"/>
        <v>285.90572437062957</v>
      </c>
      <c r="CX32" s="62">
        <f t="shared" si="14"/>
        <v>579.23905770396289</v>
      </c>
      <c r="CY32" s="62">
        <f ca="1">AVERAGE(OFFSET($CX$3,0,0,'Données projet'!$E$13+1,1))-AVERAGE(OFFSET($H$3,0,0,'Données projet'!$E$13+1,1))</f>
        <v>135.44138026609272</v>
      </c>
      <c r="CZ32" s="62">
        <f t="shared" si="42"/>
        <v>254.77247578425659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31.835686645276841</v>
      </c>
      <c r="DG32" s="23">
        <f>EXP(-LN(2)/25)*DG31+(1-EXP(-LN(2)/25))/(LN(2)/25)*Calculateur!DB32*Calculateur!DD32*VLOOKUP('Données projet'!$B$13,Paramètres!$A$1:$I$89,3,0)*0.475*44/12</f>
        <v>24.535845505580269</v>
      </c>
      <c r="DH32" s="23">
        <f>EXP(-LN(2)/2)*DH31+(1-EXP(-LN(2)/2))/(LN(2)/2)*DB32*DE32*VLOOKUP('Données projet'!$B$13,Paramètres!$A$1:$I$89,3,0)*0.475*44/12</f>
        <v>2.0805156493048345</v>
      </c>
      <c r="DI32" s="24">
        <f t="shared" si="15"/>
        <v>58.452047800161942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10.8</v>
      </c>
      <c r="DO32" s="13">
        <f>IF('Données projet'!$A$166&gt;35,DO31+DN32-DW31,IF(A32&lt;'Données projet'!$A$166,$DL$205^A32,IF(A32='Données projet'!$A$166,'Données projet'!$B$166,DO31+DN32-DW31)))</f>
        <v>167.20000000000005</v>
      </c>
      <c r="DP32" s="18">
        <f>DO32*VLOOKUP('Données projet'!$B$14,Paramètres!$A$1:$I$89,3,0)*VLOOKUP('Données projet'!$B$14,Paramètres!$A$1:$I$89,5,0)</f>
        <v>161.71584000000004</v>
      </c>
      <c r="DQ32" s="14">
        <f t="shared" si="43"/>
        <v>41.229287317962488</v>
      </c>
      <c r="DR32" s="22">
        <f t="shared" si="16"/>
        <v>353.46276341211814</v>
      </c>
      <c r="DS32" s="62">
        <f t="shared" si="17"/>
        <v>646.79609674545145</v>
      </c>
      <c r="DT32" s="62">
        <f ca="1">AVERAGE(OFFSET($DS$3,0,0,'Données projet'!$E$14+1,1))-AVERAGE(OFFSET($H$3,0,0,'Données projet'!$E$14+1,1))</f>
        <v>271.09447278906288</v>
      </c>
      <c r="DU32" s="62">
        <f t="shared" si="44"/>
        <v>325.1094067861851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10.8</v>
      </c>
      <c r="EJ32" s="13">
        <f>IF('Données projet'!$A$192&gt;35,EJ31+EI32-ER31,IF(A32&lt;'Données projet'!$A$192,$EG$205^A32,IF(A32='Données projet'!$A$192,'Données projet'!$B$192,EJ31+EI32-ER31)))</f>
        <v>167.20000000000005</v>
      </c>
      <c r="EK32" s="18">
        <f>EJ32*VLOOKUP('Données projet'!$B$15,Paramètres!$A$1:$I$89,3,0)*VLOOKUP('Données projet'!$B$15,Paramètres!$A$1:$I$89,5,0)</f>
        <v>179.97408000000004</v>
      </c>
      <c r="EL32" s="14">
        <f t="shared" si="45"/>
        <v>45.316419395779377</v>
      </c>
      <c r="EM32" s="22">
        <f t="shared" si="19"/>
        <v>392.38095311431579</v>
      </c>
      <c r="EN32" s="62">
        <f t="shared" si="20"/>
        <v>685.7142864476491</v>
      </c>
      <c r="EO32" s="62">
        <f ca="1">AVERAGE(OFFSET($EN$3,0,0,'Données projet'!$E$15+1,1))-AVERAGE(OFFSET($H$3,0,0,'Données projet'!$E$15+1,1))</f>
        <v>306.50593475734655</v>
      </c>
      <c r="EP32" s="62">
        <f t="shared" si="46"/>
        <v>366.48643801375079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21.995999999999999</v>
      </c>
      <c r="D33" s="12">
        <f t="shared" si="32"/>
        <v>7.0737053871356732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224.39772579543327</v>
      </c>
      <c r="H33" s="70">
        <f t="shared" si="1"/>
        <v>343.96307021592793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121.00000000000003</v>
      </c>
      <c r="O33" s="14">
        <f>N33*VLOOKUP('Données projet'!$B$9,Paramètres!$A$1:$I$89,3,0)*VLOOKUP('Données projet'!$B$9,Paramètres!$A$1:$I$89,5,0)</f>
        <v>109.48080000000002</v>
      </c>
      <c r="P33" s="14">
        <f t="shared" si="33"/>
        <v>29.208623339903898</v>
      </c>
      <c r="Q33" s="22">
        <f t="shared" si="2"/>
        <v>241.55074565033269</v>
      </c>
      <c r="R33" s="62">
        <f t="shared" si="0"/>
        <v>534.88407898366597</v>
      </c>
      <c r="S33" s="62">
        <f ca="1">AVERAGE(OFFSET($R$3,0,0,'Données projet'!$E$9+1,1))-AVERAGE(OFFSET($H$3,0,0,'Données projet'!$E$9+1,1))</f>
        <v>312.57314929661908</v>
      </c>
      <c r="T33" s="62">
        <f t="shared" si="34"/>
        <v>190.92100876773804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28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121</v>
      </c>
      <c r="AG33" s="13">
        <f>VLOOKUP(A33,'Données projet'!$A$61:$I$81,9,0)</f>
        <v>9.1999999999999993</v>
      </c>
      <c r="AH33" s="13">
        <f t="array" ref="AH33">INDEX(AG:AG,MIN(IF(ISNUMBER(AG33:AG229),ROW(AG33:AG229),"")))</f>
        <v>9.1999999999999993</v>
      </c>
      <c r="AI33" s="14">
        <f>IF('Données projet'!$A$62&gt;35,AI32+AH33-AQ32,IF(A33&lt;'Données projet'!$A$62,$AF$205^A33,IF(A33='Données projet'!$A$62,'Données projet'!$B$62,AI32+AH33-AQ32)))</f>
        <v>121.00000000000003</v>
      </c>
      <c r="AJ33" s="14">
        <f>AI33*VLOOKUP('Données projet'!$B$10,Paramètres!$A$1:$I$89,3,0)*VLOOKUP('Données projet'!$B$10,Paramètres!$A$1:$I$89,5,0)</f>
        <v>122.69400000000003</v>
      </c>
      <c r="AK33" s="14">
        <f t="shared" si="35"/>
        <v>32.302516360650685</v>
      </c>
      <c r="AL33" s="22">
        <f t="shared" si="4"/>
        <v>269.95226599480003</v>
      </c>
      <c r="AM33" s="62">
        <f t="shared" si="5"/>
        <v>563.28559932813334</v>
      </c>
      <c r="AN33" s="62">
        <f ca="1">AVERAGE(OFFSET($AM$3,0,0,'Données projet'!$E$10+1,1))-AVERAGE(OFFSET($H$3,0,0,'Données projet'!$E$10+1,1))</f>
        <v>360.56293184044779</v>
      </c>
      <c r="AO33" s="62">
        <f t="shared" si="36"/>
        <v>219.32252911220542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6.9428571428571422</v>
      </c>
      <c r="BD33" s="13">
        <f>IF('Données projet'!$A$88&gt;35,BD32+BC33-BL32,IF(A33&lt;'Données projet'!$A$88,$BA$205^A33,IF(A33='Données projet'!$A$88,'Données projet'!$B$88,BD32+BC33-BL32)))</f>
        <v>231.77428571428572</v>
      </c>
      <c r="BE33" s="14">
        <f>BD33*VLOOKUP('Données projet'!$B$11,Paramètres!$A$1:$I$89,3,0)*VLOOKUP('Données projet'!$B$11,Paramètres!$A$1:$I$89,5,0)</f>
        <v>169.93690628571429</v>
      </c>
      <c r="BF33" s="14">
        <f t="shared" si="37"/>
        <v>43.075892386891411</v>
      </c>
      <c r="BG33" s="22">
        <f t="shared" si="7"/>
        <v>370.99729102145488</v>
      </c>
      <c r="BH33" s="62">
        <f t="shared" si="8"/>
        <v>664.33062435478814</v>
      </c>
      <c r="BI33" s="62">
        <f ca="1">AVERAGE(OFFSET($BH$3,0,0,'Données projet'!$E$11+1,1))-AVERAGE(OFFSET($H$3,0,0,'Données projet'!$E$11+1,1))</f>
        <v>182.06733089745194</v>
      </c>
      <c r="BJ33" s="62">
        <f t="shared" si="38"/>
        <v>320.36755413886021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142</v>
      </c>
      <c r="BW33" s="13">
        <f>VLOOKUP(A33,'Données projet'!$A$113:$I$133,9,0)</f>
        <v>11.2</v>
      </c>
      <c r="BX33" s="13">
        <f t="array" ref="BX33">INDEX(BW:BW,MIN(IF(ISNUMBER(BW33:BW229),ROW(BW33:BW229),"")))</f>
        <v>11.2</v>
      </c>
      <c r="BY33" s="13">
        <f>IF('Données projet'!$A$114&gt;35,BY32+BX33-CG32,IF(A33&lt;'Données projet'!$A$114,$BV$205^A33,IF(A33='Données projet'!$A$114,'Données projet'!$B$114,BY32+BX33-CG32)))</f>
        <v>141.99999999999994</v>
      </c>
      <c r="BZ33" s="14">
        <f>BY33*VLOOKUP('Données projet'!$B$12,Paramètres!$A$1:$I$89,3,0)*VLOOKUP('Données projet'!$B$12,Paramètres!$A$1:$I$89,5,0)</f>
        <v>124.05119999999998</v>
      </c>
      <c r="CA33" s="14">
        <f t="shared" si="39"/>
        <v>32.618041559365977</v>
      </c>
      <c r="CB33" s="22">
        <f t="shared" si="10"/>
        <v>272.86559571589572</v>
      </c>
      <c r="CC33" s="62">
        <f t="shared" si="11"/>
        <v>566.19892904922904</v>
      </c>
      <c r="CD33" s="62">
        <f ca="1">AVERAGE(OFFSET($CC$3,0,0,'Données projet'!$E$12+1,1))-AVERAGE(OFFSET($H$3,0,0,'Données projet'!$E$12+1,1))</f>
        <v>248.60758320902863</v>
      </c>
      <c r="CE33" s="62">
        <f t="shared" si="40"/>
        <v>222.23585883330111</v>
      </c>
      <c r="CF33" s="16">
        <f>IF(ISNA(VLOOKUP(A33,'Données projet'!$A$113:$I$133,3,0)),0,VLOOKUP(A33,'Données projet'!$A$113:$I$133,3,0))</f>
        <v>3</v>
      </c>
      <c r="CG33" s="16">
        <f>IF(ISNA(VLOOKUP(A33,'Données projet'!$A$113:$I$133,4,0)),0,VLOOKUP(A33,'Données projet'!$A$113:$I$133,4,0))</f>
        <v>33</v>
      </c>
      <c r="CH33" s="17">
        <f>IF(ISNA(VLOOKUP(A33,'Données projet'!$A$113:$I$133,5,0)),0%,VLOOKUP(A33,'Données projet'!$A$113:$I$133,5,0)*VLOOKUP('Données projet'!$B$12,Paramètres!$A$1:$I$89,7,0))</f>
        <v>8.6000000000000007E-2</v>
      </c>
      <c r="CI33" s="17">
        <f>IF(ISNA(VLOOKUP(A33,'Données projet'!$A$113:$I$133,6,0)),0%,VLOOKUP(A33,'Données projet'!$A$113:$I$133,6,0)*VLOOKUP('Données projet'!$B$12,Paramètres!$A$1:$I$89,7,0))</f>
        <v>8.6000000000000007E-2</v>
      </c>
      <c r="CJ33" s="17">
        <f>IF(ISNA(VLOOKUP(A33,'Données projet'!$A$113:$I$133,7,0)),0%,VLOOKUP(A33,'Données projet'!$A$113:$I$133,7,0))</f>
        <v>0.3</v>
      </c>
      <c r="CK33" s="23">
        <f>EXP(-LN(2)/35)*CK32+(1-EXP(-LN(2)/35))/(LN(2)/35)*CG33*CH33*VLOOKUP('Données projet'!$B$12,Paramètres!$A$1:$I$89,3,0)*0.475*44/12</f>
        <v>5.2983682174310838</v>
      </c>
      <c r="CL33" s="23">
        <f>EXP(-LN(2)/25)*CL32+(1-EXP(-LN(2)/25))/(LN(2)/25)*Calculateur!CG33*Calculateur!CI33*VLOOKUP('Données projet'!$B$12,Paramètres!$A$1:$I$89,3,0)*0.475*44/12</f>
        <v>5.178575066040187</v>
      </c>
      <c r="CM33" s="23">
        <f>EXP(-LN(2)/2)*CM32+(1-EXP(-LN(2)/2))/(LN(2)/2)*CG33*CJ33*VLOOKUP('Données projet'!$B$12,Paramètres!$A$1:$I$89,3,0)*0.475*44/12</f>
        <v>9.6464754137995552</v>
      </c>
      <c r="CN33" s="24">
        <f t="shared" si="12"/>
        <v>20.123418697270829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255</v>
      </c>
      <c r="CR33" s="13">
        <f>VLOOKUP(A33,'Données projet'!$A$139:$I$159,9,0)</f>
        <v>16.666666666666668</v>
      </c>
      <c r="CS33" s="13">
        <f t="array" ref="CS33">INDEX(CR:CR,MIN(IF(ISNUMBER(CR33:CR229),ROW(CR33:CR229),"")))</f>
        <v>16.666666666666668</v>
      </c>
      <c r="CT33" s="13">
        <f>IF('Données projet'!$A$140&gt;35,CT32+CS33-DB32,IF(A33&lt;'Données projet'!$A$140,$CQ$205^A33,IF(A33='Données projet'!$A$140,'Données projet'!$B$140,CT32+CS33-DB32)))</f>
        <v>254.99999999999994</v>
      </c>
      <c r="CU33" s="18">
        <f>CT33*VLOOKUP('Données projet'!$B$13,Paramètres!$A$1:$I$89,3,0)*VLOOKUP('Données projet'!$B$13,Paramètres!$A$1:$I$89,5,0)</f>
        <v>139.22999999999996</v>
      </c>
      <c r="CV33" s="14">
        <f t="shared" si="41"/>
        <v>36.120552727378737</v>
      </c>
      <c r="CW33" s="22">
        <f t="shared" si="13"/>
        <v>305.4022126668512</v>
      </c>
      <c r="CX33" s="62">
        <f t="shared" si="14"/>
        <v>598.73554600018451</v>
      </c>
      <c r="CY33" s="62">
        <f ca="1">AVERAGE(OFFSET($CX$3,0,0,'Données projet'!$E$13+1,1))-AVERAGE(OFFSET($H$3,0,0,'Données projet'!$E$13+1,1))</f>
        <v>135.44138026609272</v>
      </c>
      <c r="CZ33" s="62">
        <f t="shared" si="42"/>
        <v>254.77247578425659</v>
      </c>
      <c r="DA33" s="16">
        <f>IF(ISNA(VLOOKUP(A33,'Données projet'!$A$139:$I$159,3,0)),0,VLOOKUP(A33,'Données projet'!$A$139:$I$159,3,0))</f>
        <v>5</v>
      </c>
      <c r="DB33" s="16">
        <f>IF(ISNA(VLOOKUP(A33,'Données projet'!$A$139:$I$159,4,0)),0,VLOOKUP(A33,'Données projet'!$A$139:$I$159,4,0))</f>
        <v>76</v>
      </c>
      <c r="DC33" s="17">
        <f>IF(ISNA(VLOOKUP(A33,'Données projet'!$A$139:$I$159,5,0)),0%,VLOOKUP(A33,'Données projet'!$A$139:$I$159,5,0)*VLOOKUP('Données projet'!$B$13,Paramètres!$A$1:$I$89,7,0))</f>
        <v>0.3</v>
      </c>
      <c r="DD33" s="17">
        <f>IF(ISNA(VLOOKUP(A33,'Données projet'!$A$139:$I$159,6,0)),0%,VLOOKUP(A33,'Données projet'!$A$139:$I$159,6,0)*VLOOKUP('Données projet'!$B$13,Paramètres!$A$1:$I$89,7,0))</f>
        <v>0.18</v>
      </c>
      <c r="DE33" s="17">
        <f>IF(ISNA(VLOOKUP(A33,'Données projet'!$A$139:$I$159,7,0)),0%,VLOOKUP(A33,'Données projet'!$A$139:$I$159,7,0))</f>
        <v>0.2</v>
      </c>
      <c r="DF33" s="23">
        <f>EXP(-LN(2)/35)*DF32+(1-EXP(-LN(2)/35))/(LN(2)/35)*DB33*DC33*VLOOKUP('Données projet'!$B$13,Paramètres!$A$1:$I$89,3,0)*0.475*44/12</f>
        <v>47.725543840890204</v>
      </c>
      <c r="DG33" s="23">
        <f>EXP(-LN(2)/25)*DG32+(1-EXP(-LN(2)/25))/(LN(2)/25)*Calculateur!DB33*Calculateur!DD33*VLOOKUP('Données projet'!$B$13,Paramètres!$A$1:$I$89,3,0)*0.475*44/12</f>
        <v>33.734379409146712</v>
      </c>
      <c r="DH33" s="23">
        <f>EXP(-LN(2)/2)*DH32+(1-EXP(-LN(2)/2))/(LN(2)/2)*DB33*DE33*VLOOKUP('Données projet'!$B$13,Paramètres!$A$1:$I$89,3,0)*0.475*44/12</f>
        <v>10.867769007619827</v>
      </c>
      <c r="DI33" s="24">
        <f t="shared" si="15"/>
        <v>92.32769225765675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>
        <f>VLOOKUP(A33,'Données projet'!$A$165:$I$185,2,0)</f>
        <v>178</v>
      </c>
      <c r="DM33" s="13">
        <f>VLOOKUP(A33,'Données projet'!$A$165:$I$185,9,0)</f>
        <v>10.8</v>
      </c>
      <c r="DN33" s="13">
        <f t="array" ref="DN33">INDEX(DM:DM,MIN(IF(ISNUMBER(DM33:DM229),ROW(DM33:DM229),"")))</f>
        <v>10.8</v>
      </c>
      <c r="DO33" s="13">
        <f>IF('Données projet'!$A$166&gt;35,DO32+DN33-DW32,IF(A33&lt;'Données projet'!$A$166,$DL$205^A33,IF(A33='Données projet'!$A$166,'Données projet'!$B$166,DO32+DN33-DW32)))</f>
        <v>178.00000000000006</v>
      </c>
      <c r="DP33" s="18">
        <f>DO33*VLOOKUP('Données projet'!$B$14,Paramètres!$A$1:$I$89,3,0)*VLOOKUP('Données projet'!$B$14,Paramètres!$A$1:$I$89,5,0)</f>
        <v>172.16160000000005</v>
      </c>
      <c r="DQ33" s="14">
        <f t="shared" si="43"/>
        <v>43.57379349403616</v>
      </c>
      <c r="DR33" s="22">
        <f t="shared" si="16"/>
        <v>375.73914366877972</v>
      </c>
      <c r="DS33" s="62">
        <f t="shared" si="17"/>
        <v>669.07247700211303</v>
      </c>
      <c r="DT33" s="62">
        <f ca="1">AVERAGE(OFFSET($DS$3,0,0,'Données projet'!$E$14+1,1))-AVERAGE(OFFSET($H$3,0,0,'Données projet'!$E$14+1,1))</f>
        <v>271.09447278906288</v>
      </c>
      <c r="DU33" s="62">
        <f t="shared" si="44"/>
        <v>325.1094067861851</v>
      </c>
      <c r="DV33" s="16">
        <f>IF(ISNA(VLOOKUP(A33,'Données projet'!$A$165:$I$185,3,0)),0,VLOOKUP(A33,'Données projet'!$A$165:$I$185,3,0))</f>
        <v>3</v>
      </c>
      <c r="DW33" s="16">
        <f>IF(ISNA(VLOOKUP(A33,'Données projet'!$A$165:$I$185,4,0)),0,VLOOKUP(A33,'Données projet'!$A$165:$I$185,4,0))</f>
        <v>23</v>
      </c>
      <c r="DX33" s="17">
        <f>IF(ISNA(VLOOKUP(A33,'Données projet'!$A$165:$I$185,5,0)),0%,VLOOKUP(A33,'Données projet'!$A$165:$I$185,5,0)*VLOOKUP('Données projet'!$B$14,Paramètres!$A$1:$I$89,7,0))</f>
        <v>0.215</v>
      </c>
      <c r="DY33" s="17">
        <f>IF(ISNA(VLOOKUP(A33,'Données projet'!$A$165:$I$185,6,0)),0%,VLOOKUP(A33,'Données projet'!$A$165:$I$185,6,0)*VLOOKUP('Données projet'!$B$14,Paramètres!$A$1:$I$89,7,0))</f>
        <v>4.3000000000000003E-2</v>
      </c>
      <c r="DZ33" s="17">
        <f>IF(ISNA(VLOOKUP(A33,'Données projet'!$A$165:$I$185,7,0)),0%,VLOOKUP(A33,'Données projet'!$A$165:$I$185,7,0))</f>
        <v>0.15</v>
      </c>
      <c r="EA33" s="23">
        <f>EXP(-LN(2)/35)*EA32+(1-EXP(-LN(2)/35))/(LN(2)/35)*DW33*DX33*VLOOKUP('Données projet'!$B$14,Paramètres!$A$1:$I$89,3,0)*0.475*44/12</f>
        <v>5.2872481531117126</v>
      </c>
      <c r="EB33" s="23">
        <f>EXP(-LN(2)/25)*EB32+(1-EXP(-LN(2)/25))/(LN(2)/25)*Calculateur!DW33*Calculateur!DY33*VLOOKUP('Données projet'!$B$14,Paramètres!$A$1:$I$89,3,0)*0.475*44/12</f>
        <v>1.0532860485066848</v>
      </c>
      <c r="EC33" s="23">
        <f>EXP(-LN(2)/2)*EC32+(1-EXP(-LN(2)/2))/(LN(2)/2)*DW33*DZ33*VLOOKUP('Données projet'!$B$14,Paramètres!$A$1:$I$89,3,0)*0.475*44/12</f>
        <v>3.1483983497318437</v>
      </c>
      <c r="ED33" s="24">
        <f t="shared" si="18"/>
        <v>9.4889325513502421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>
        <f>VLOOKUP(A33,'Données projet'!$A$191:$I$211,2,0)</f>
        <v>178</v>
      </c>
      <c r="EH33" s="13">
        <f>VLOOKUP(A33,'Données projet'!$A$191:$I$211,9,0)</f>
        <v>10.8</v>
      </c>
      <c r="EI33" s="13">
        <f t="array" ref="EI33">INDEX(EH:EH,MIN(IF(ISNUMBER(EH33:EH229),ROW(EH33:EH229),"")))</f>
        <v>10.8</v>
      </c>
      <c r="EJ33" s="13">
        <f>IF('Données projet'!$A$192&gt;35,EJ32+EI33-ER32,IF(A33&lt;'Données projet'!$A$192,$EG$205^A33,IF(A33='Données projet'!$A$192,'Données projet'!$B$192,EJ32+EI33-ER32)))</f>
        <v>178.00000000000006</v>
      </c>
      <c r="EK33" s="18">
        <f>EJ33*VLOOKUP('Données projet'!$B$15,Paramètres!$A$1:$I$89,3,0)*VLOOKUP('Données projet'!$B$15,Paramètres!$A$1:$I$89,5,0)</f>
        <v>191.59920000000005</v>
      </c>
      <c r="EL33" s="14">
        <f t="shared" si="45"/>
        <v>47.893340610341859</v>
      </c>
      <c r="EM33" s="22">
        <f t="shared" si="19"/>
        <v>417.11617489634546</v>
      </c>
      <c r="EN33" s="62">
        <f t="shared" si="20"/>
        <v>710.44950822967871</v>
      </c>
      <c r="EO33" s="62">
        <f ca="1">AVERAGE(OFFSET($EN$3,0,0,'Données projet'!$E$15+1,1))-AVERAGE(OFFSET($H$3,0,0,'Données projet'!$E$15+1,1))</f>
        <v>306.50593475734655</v>
      </c>
      <c r="EP33" s="62">
        <f t="shared" si="46"/>
        <v>366.48643801375079</v>
      </c>
      <c r="EQ33" s="16">
        <f>IF(ISNA(VLOOKUP(A33,'Données projet'!$A$191:$I$211,3,0)),0,VLOOKUP(A33,'Données projet'!$A$191:$I$211,3,0))</f>
        <v>3</v>
      </c>
      <c r="ER33" s="16">
        <f>IF(ISNA(VLOOKUP(A33,'Données projet'!$A$191:$I$211,4,0)),0,VLOOKUP(A33,'Données projet'!$A$191:$I$211,4,0))</f>
        <v>23</v>
      </c>
      <c r="ES33" s="17">
        <f>IF(ISNA(VLOOKUP(A33,'Données projet'!$A$191:$I$211,5,0)),0%,VLOOKUP(A33,'Données projet'!$A$191:$I$211,5,0)*VLOOKUP('Données projet'!$B$15,Paramètres!$A$1:$I$89,7,0))</f>
        <v>0.215</v>
      </c>
      <c r="ET33" s="17">
        <f>IF(ISNA(VLOOKUP(A33,'Données projet'!$A$191:$I$211,6,0)),0%,VLOOKUP(A33,'Données projet'!$A$191:$I$211,6,0)*VLOOKUP('Données projet'!$B$15,Paramètres!$A$1:$I$89,7,0))</f>
        <v>4.3000000000000003E-2</v>
      </c>
      <c r="EU33" s="17">
        <f>IF(ISNA(VLOOKUP(A33,'Données projet'!$A$191:$I$211,7,0)),0%,VLOOKUP(A33,'Données projet'!$A$191:$I$211,7,0))</f>
        <v>0.15</v>
      </c>
      <c r="EV33" s="23">
        <f>EXP(-LN(2)/35)*EV32+(1-EXP(-LN(2)/35))/(LN(2)/35)*ER33*ES33*VLOOKUP('Données projet'!$B$15,Paramètres!$A$1:$I$89,3,0)*0.475*44/12</f>
        <v>5.884195525237228</v>
      </c>
      <c r="EW33" s="23">
        <f>EXP(-LN(2)/25)*EW32+(1-EXP(-LN(2)/25))/(LN(2)/25)*Calculateur!ER33*Calculateur!ET33*VLOOKUP('Données projet'!$B$15,Paramètres!$A$1:$I$89,3,0)*0.475*44/12</f>
        <v>1.1722054410800202</v>
      </c>
      <c r="EX33" s="23">
        <f>EXP(-LN(2)/2)*EX32+(1-EXP(-LN(2)/2))/(LN(2)/2)*ER33*EU33*VLOOKUP('Données projet'!$B$15,Paramètres!$A$1:$I$89,3,0)*0.475*44/12</f>
        <v>3.5038626795402776</v>
      </c>
      <c r="EY33" s="24">
        <f t="shared" si="21"/>
        <v>10.560263645857527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22.729199999999999</v>
      </c>
      <c r="D34" s="12">
        <f t="shared" si="32"/>
        <v>7.2816503291468493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231.66270429516865</v>
      </c>
      <c r="H34" s="70">
        <f t="shared" si="1"/>
        <v>345.60223098993072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10.8</v>
      </c>
      <c r="N34" s="14">
        <f>IF('Données projet'!$A$36&gt;35,N33+M34-V33,IF(A34&lt;'Données projet'!$A$36,$K$205^A34,IF(A34='Données projet'!$A$36,'Données projet'!$B$36,N33+M34-V33)))</f>
        <v>103.80000000000004</v>
      </c>
      <c r="O34" s="14">
        <f>N34*VLOOKUP('Données projet'!$B$9,Paramètres!$A$1:$I$89,3,0)*VLOOKUP('Données projet'!$B$9,Paramètres!$A$1:$I$89,5,0)</f>
        <v>93.91824000000004</v>
      </c>
      <c r="P34" s="14">
        <f t="shared" si="33"/>
        <v>25.507853654186022</v>
      </c>
      <c r="Q34" s="22">
        <f t="shared" si="2"/>
        <v>208.00044644770739</v>
      </c>
      <c r="R34" s="62">
        <f t="shared" si="0"/>
        <v>501.33377978104068</v>
      </c>
      <c r="S34" s="62">
        <f ca="1">AVERAGE(OFFSET($R$3,0,0,'Données projet'!$E$9+1,1))-AVERAGE(OFFSET($H$3,0,0,'Données projet'!$E$9+1,1))</f>
        <v>312.57314929661908</v>
      </c>
      <c r="T34" s="62">
        <f t="shared" si="34"/>
        <v>190.92100876773804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10.8</v>
      </c>
      <c r="AI34" s="14">
        <f>IF('Données projet'!$A$62&gt;35,AI33+AH34-AQ33,IF(A34&lt;'Données projet'!$A$62,$AF$205^A34,IF(A34='Données projet'!$A$62,'Données projet'!$B$62,AI33+AH34-AQ33)))</f>
        <v>103.80000000000004</v>
      </c>
      <c r="AJ34" s="14">
        <f>AI34*VLOOKUP('Données projet'!$B$10,Paramètres!$A$1:$I$89,3,0)*VLOOKUP('Données projet'!$B$10,Paramètres!$A$1:$I$89,5,0)</f>
        <v>105.25320000000005</v>
      </c>
      <c r="AK34" s="14">
        <f t="shared" si="35"/>
        <v>28.209746498519422</v>
      </c>
      <c r="AL34" s="22">
        <f t="shared" si="4"/>
        <v>232.44796515158808</v>
      </c>
      <c r="AM34" s="62">
        <f t="shared" si="5"/>
        <v>525.78129848492142</v>
      </c>
      <c r="AN34" s="62">
        <f ca="1">AVERAGE(OFFSET($AM$3,0,0,'Données projet'!$E$10+1,1))-AVERAGE(OFFSET($H$3,0,0,'Données projet'!$E$10+1,1))</f>
        <v>360.56293184044779</v>
      </c>
      <c r="AO34" s="62">
        <f t="shared" si="36"/>
        <v>219.32252911220542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6.9428571428571422</v>
      </c>
      <c r="BD34" s="13">
        <f>IF('Données projet'!$A$88&gt;35,BD33+BC34-BL33,IF(A34&lt;'Données projet'!$A$88,$BA$205^A34,IF(A34='Données projet'!$A$88,'Données projet'!$B$88,BD33+BC34-BL33)))</f>
        <v>238.71714285714287</v>
      </c>
      <c r="BE34" s="14">
        <f>BD34*VLOOKUP('Données projet'!$B$11,Paramètres!$A$1:$I$89,3,0)*VLOOKUP('Données projet'!$B$11,Paramètres!$A$1:$I$89,5,0)</f>
        <v>175.02740914285715</v>
      </c>
      <c r="BF34" s="14">
        <f t="shared" si="37"/>
        <v>44.214079027604967</v>
      </c>
      <c r="BG34" s="22">
        <f t="shared" si="7"/>
        <v>381.84559189688815</v>
      </c>
      <c r="BH34" s="62">
        <f t="shared" si="8"/>
        <v>675.17892523022147</v>
      </c>
      <c r="BI34" s="62">
        <f ca="1">AVERAGE(OFFSET($BH$3,0,0,'Données projet'!$E$11+1,1))-AVERAGE(OFFSET($H$3,0,0,'Données projet'!$E$11+1,1))</f>
        <v>182.06733089745194</v>
      </c>
      <c r="BJ34" s="62">
        <f t="shared" si="38"/>
        <v>320.36755413886021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11</v>
      </c>
      <c r="BY34" s="13">
        <f>IF('Données projet'!$A$114&gt;35,BY33+BX34-CG33,IF(A34&lt;'Données projet'!$A$114,$BV$205^A34,IF(A34='Données projet'!$A$114,'Données projet'!$B$114,BY33+BX34-CG33)))</f>
        <v>119.99999999999994</v>
      </c>
      <c r="BZ34" s="14">
        <f>BY34*VLOOKUP('Données projet'!$B$12,Paramètres!$A$1:$I$89,3,0)*VLOOKUP('Données projet'!$B$12,Paramètres!$A$1:$I$89,5,0)</f>
        <v>104.83199999999997</v>
      </c>
      <c r="CA34" s="14">
        <f t="shared" si="39"/>
        <v>28.109974371137692</v>
      </c>
      <c r="CB34" s="22">
        <f t="shared" si="10"/>
        <v>231.54060536306474</v>
      </c>
      <c r="CC34" s="62">
        <f t="shared" si="11"/>
        <v>524.873938696398</v>
      </c>
      <c r="CD34" s="62">
        <f ca="1">AVERAGE(OFFSET($CC$3,0,0,'Données projet'!$E$12+1,1))-AVERAGE(OFFSET($H$3,0,0,'Données projet'!$E$12+1,1))</f>
        <v>248.60758320902863</v>
      </c>
      <c r="CE34" s="62">
        <f t="shared" si="40"/>
        <v>222.23585883330111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5.1944704483727708</v>
      </c>
      <c r="CL34" s="23">
        <f>EXP(-LN(2)/25)*CL33+(1-EXP(-LN(2)/25))/(LN(2)/25)*Calculateur!CG34*Calculateur!CI34*VLOOKUP('Données projet'!$B$12,Paramètres!$A$1:$I$89,3,0)*0.475*44/12</f>
        <v>5.0369666585298916</v>
      </c>
      <c r="CM34" s="23">
        <f>EXP(-LN(2)/2)*CM33+(1-EXP(-LN(2)/2))/(LN(2)/2)*CG34*CJ34*VLOOKUP('Données projet'!$B$12,Paramètres!$A$1:$I$89,3,0)*0.475*44/12</f>
        <v>6.8210881796469733</v>
      </c>
      <c r="CN34" s="24">
        <f t="shared" si="12"/>
        <v>17.052525286549635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15</v>
      </c>
      <c r="CT34" s="13">
        <f>IF('Données projet'!$A$140&gt;35,CT33+CS34-DB33,IF(A34&lt;'Données projet'!$A$140,$CQ$205^A34,IF(A34='Données projet'!$A$140,'Données projet'!$B$140,CT33+CS34-DB33)))</f>
        <v>193.99999999999994</v>
      </c>
      <c r="CU34" s="18">
        <f>CT34*VLOOKUP('Données projet'!$B$13,Paramètres!$A$1:$I$89,3,0)*VLOOKUP('Données projet'!$B$13,Paramètres!$A$1:$I$89,5,0)</f>
        <v>105.92399999999998</v>
      </c>
      <c r="CV34" s="14">
        <f t="shared" si="41"/>
        <v>28.36854701055546</v>
      </c>
      <c r="CW34" s="22">
        <f t="shared" si="13"/>
        <v>233.89285271005073</v>
      </c>
      <c r="CX34" s="62">
        <f t="shared" si="14"/>
        <v>527.22618604338402</v>
      </c>
      <c r="CY34" s="62">
        <f ca="1">AVERAGE(OFFSET($CX$3,0,0,'Données projet'!$E$13+1,1))-AVERAGE(OFFSET($H$3,0,0,'Données projet'!$E$13+1,1))</f>
        <v>135.44138026609272</v>
      </c>
      <c r="CZ34" s="62">
        <f t="shared" si="42"/>
        <v>254.77247578425659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46.789675035877742</v>
      </c>
      <c r="DG34" s="23">
        <f>EXP(-LN(2)/25)*DG33+(1-EXP(-LN(2)/25))/(LN(2)/25)*Calculateur!DB34*Calculateur!DD34*VLOOKUP('Données projet'!$B$13,Paramètres!$A$1:$I$89,3,0)*0.475*44/12</f>
        <v>32.811911030189684</v>
      </c>
      <c r="DH34" s="23">
        <f>EXP(-LN(2)/2)*DH33+(1-EXP(-LN(2)/2))/(LN(2)/2)*DB34*DE34*VLOOKUP('Données projet'!$B$13,Paramètres!$A$1:$I$89,3,0)*0.475*44/12</f>
        <v>7.6846731616569768</v>
      </c>
      <c r="DI34" s="24">
        <f t="shared" si="15"/>
        <v>87.2862592277244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11.6</v>
      </c>
      <c r="DO34" s="13">
        <f>IF('Données projet'!$A$166&gt;35,DO33+DN34-DW33,IF(A34&lt;'Données projet'!$A$166,$DL$205^A34,IF(A34='Données projet'!$A$166,'Données projet'!$B$166,DO33+DN34-DW33)))</f>
        <v>166.60000000000005</v>
      </c>
      <c r="DP34" s="18">
        <f>DO34*VLOOKUP('Données projet'!$B$14,Paramètres!$A$1:$I$89,3,0)*VLOOKUP('Données projet'!$B$14,Paramètres!$A$1:$I$89,5,0)</f>
        <v>161.13552000000004</v>
      </c>
      <c r="DQ34" s="14">
        <f t="shared" si="43"/>
        <v>41.098529601592205</v>
      </c>
      <c r="DR34" s="22">
        <f t="shared" si="16"/>
        <v>352.22430305610646</v>
      </c>
      <c r="DS34" s="62">
        <f t="shared" si="17"/>
        <v>645.55763638943972</v>
      </c>
      <c r="DT34" s="62">
        <f ca="1">AVERAGE(OFFSET($DS$3,0,0,'Données projet'!$E$14+1,1))-AVERAGE(OFFSET($H$3,0,0,'Données projet'!$E$14+1,1))</f>
        <v>271.09447278906288</v>
      </c>
      <c r="DU34" s="62">
        <f t="shared" si="44"/>
        <v>325.1094067861851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5.1835684417321328</v>
      </c>
      <c r="EB34" s="23">
        <f>EXP(-LN(2)/25)*EB33+(1-EXP(-LN(2)/25))/(LN(2)/25)*Calculateur!DW34*Calculateur!DY34*VLOOKUP('Données projet'!$B$14,Paramètres!$A$1:$I$89,3,0)*0.475*44/12</f>
        <v>1.0244838861203636</v>
      </c>
      <c r="EC34" s="23">
        <f>EXP(-LN(2)/2)*EC33+(1-EXP(-LN(2)/2))/(LN(2)/2)*DW34*DZ34*VLOOKUP('Données projet'!$B$14,Paramètres!$A$1:$I$89,3,0)*0.475*44/12</f>
        <v>2.2262538229719224</v>
      </c>
      <c r="ED34" s="24">
        <f t="shared" si="18"/>
        <v>8.434306150824419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11.6</v>
      </c>
      <c r="EJ34" s="13">
        <f>IF('Données projet'!$A$192&gt;35,EJ33+EI34-ER33,IF(A34&lt;'Données projet'!$A$192,$EG$205^A34,IF(A34='Données projet'!$A$192,'Données projet'!$B$192,EJ33+EI34-ER33)))</f>
        <v>166.60000000000005</v>
      </c>
      <c r="EK34" s="18">
        <f>EJ34*VLOOKUP('Données projet'!$B$15,Paramètres!$A$1:$I$89,3,0)*VLOOKUP('Données projet'!$B$15,Paramètres!$A$1:$I$89,5,0)</f>
        <v>179.32824000000005</v>
      </c>
      <c r="EL34" s="14">
        <f t="shared" si="45"/>
        <v>45.172699436019357</v>
      </c>
      <c r="EM34" s="22">
        <f t="shared" si="19"/>
        <v>391.00580285106707</v>
      </c>
      <c r="EN34" s="62">
        <f t="shared" si="20"/>
        <v>684.33913618440033</v>
      </c>
      <c r="EO34" s="62">
        <f ca="1">AVERAGE(OFFSET($EN$3,0,0,'Données projet'!$E$15+1,1))-AVERAGE(OFFSET($H$3,0,0,'Données projet'!$E$15+1,1))</f>
        <v>306.50593475734655</v>
      </c>
      <c r="EP34" s="62">
        <f t="shared" si="46"/>
        <v>366.48643801375079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5.7688100399922115</v>
      </c>
      <c r="EW34" s="23">
        <f>EXP(-LN(2)/25)*EW33+(1-EXP(-LN(2)/25))/(LN(2)/25)*Calculateur!ER34*Calculateur!ET34*VLOOKUP('Données projet'!$B$15,Paramètres!$A$1:$I$89,3,0)*0.475*44/12</f>
        <v>1.1401514216500821</v>
      </c>
      <c r="EX34" s="23">
        <f>EXP(-LN(2)/2)*EX33+(1-EXP(-LN(2)/2))/(LN(2)/2)*ER34*EU34*VLOOKUP('Données projet'!$B$15,Paramètres!$A$1:$I$89,3,0)*0.475*44/12</f>
        <v>2.4776050610493972</v>
      </c>
      <c r="EY34" s="24">
        <f t="shared" si="21"/>
        <v>9.386566522691691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23.462399999999999</v>
      </c>
      <c r="D35" s="12">
        <f t="shared" si="32"/>
        <v>7.4888157926750578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238.92166576801799</v>
      </c>
      <c r="H35" s="70">
        <f t="shared" si="1"/>
        <v>347.24003417224236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10.8</v>
      </c>
      <c r="N35" s="14">
        <f>IF('Données projet'!$A$36&gt;35,N34+M35-V34,IF(A35&lt;'Données projet'!$A$36,$K$205^A35,IF(A35='Données projet'!$A$36,'Données projet'!$B$36,N34+M35-V34)))</f>
        <v>114.60000000000004</v>
      </c>
      <c r="O35" s="14">
        <f>N35*VLOOKUP('Données projet'!$B$9,Paramètres!$A$1:$I$89,3,0)*VLOOKUP('Données projet'!$B$9,Paramètres!$A$1:$I$89,5,0)</f>
        <v>103.69008000000004</v>
      </c>
      <c r="P35" s="14">
        <f t="shared" si="33"/>
        <v>27.83924565319537</v>
      </c>
      <c r="Q35" s="22">
        <f t="shared" ref="Q35:Q66" si="53">(O35+P35)*0.475*44/12</f>
        <v>229.08024217931529</v>
      </c>
      <c r="R35" s="62">
        <f t="shared" si="0"/>
        <v>522.41357551264855</v>
      </c>
      <c r="S35" s="62">
        <f ca="1">AVERAGE(OFFSET($R$3,0,0,'Données projet'!$E$9+1,1))-AVERAGE(OFFSET($H$3,0,0,'Données projet'!$E$9+1,1))</f>
        <v>312.57314929661908</v>
      </c>
      <c r="T35" s="62">
        <f t="shared" si="34"/>
        <v>190.92100876773804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10.8</v>
      </c>
      <c r="AI35" s="14">
        <f>IF('Données projet'!$A$62&gt;35,AI34+AH35-AQ34,IF(A35&lt;'Données projet'!$A$62,$AF$205^A35,IF(A35='Données projet'!$A$62,'Données projet'!$B$62,AI34+AH35-AQ34)))</f>
        <v>114.60000000000004</v>
      </c>
      <c r="AJ35" s="14">
        <f>AI35*VLOOKUP('Données projet'!$B$10,Paramètres!$A$1:$I$89,3,0)*VLOOKUP('Données projet'!$B$10,Paramètres!$A$1:$I$89,5,0)</f>
        <v>116.20440000000004</v>
      </c>
      <c r="AK35" s="14">
        <f t="shared" si="35"/>
        <v>30.788088768016376</v>
      </c>
      <c r="AL35" s="22">
        <f t="shared" si="4"/>
        <v>256.01191793762854</v>
      </c>
      <c r="AM35" s="62">
        <f t="shared" si="5"/>
        <v>549.34525127096185</v>
      </c>
      <c r="AN35" s="62">
        <f ca="1">AVERAGE(OFFSET($AM$3,0,0,'Données projet'!$E$10+1,1))-AVERAGE(OFFSET($H$3,0,0,'Données projet'!$E$10+1,1))</f>
        <v>360.56293184044779</v>
      </c>
      <c r="AO35" s="62">
        <f t="shared" si="36"/>
        <v>219.32252911220542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>
        <f>VLOOKUP(A35,'Données projet'!$A$87:$I$107,2,0)</f>
        <v>245.66</v>
      </c>
      <c r="BB35" s="13">
        <f>VLOOKUP(A35,'Données projet'!$A$87:$I$107,9,0)</f>
        <v>6.9428571428571422</v>
      </c>
      <c r="BC35" s="13">
        <f t="array" ref="BC35">INDEX(BB:BB,MIN(IF(ISNUMBER(BB35:BB231),ROW(BB35:BB231),"")))</f>
        <v>6.9428571428571422</v>
      </c>
      <c r="BD35" s="13">
        <f>IF('Données projet'!$A$88&gt;35,BD34+BC35-BL34,IF(A35&lt;'Données projet'!$A$88,$BA$205^A35,IF(A35='Données projet'!$A$88,'Données projet'!$B$88,BD34+BC35-BL34)))</f>
        <v>245.66000000000003</v>
      </c>
      <c r="BE35" s="14">
        <f>BD35*VLOOKUP('Données projet'!$B$11,Paramètres!$A$1:$I$89,3,0)*VLOOKUP('Données projet'!$B$11,Paramètres!$A$1:$I$89,5,0)</f>
        <v>180.11791200000002</v>
      </c>
      <c r="BF35" s="14">
        <f t="shared" si="37"/>
        <v>45.3484184142686</v>
      </c>
      <c r="BG35" s="22">
        <f t="shared" si="7"/>
        <v>392.68719213818446</v>
      </c>
      <c r="BH35" s="62">
        <f t="shared" si="8"/>
        <v>686.02052547151777</v>
      </c>
      <c r="BI35" s="62">
        <f ca="1">AVERAGE(OFFSET($BH$3,0,0,'Données projet'!$E$11+1,1))-AVERAGE(OFFSET($H$3,0,0,'Données projet'!$E$11+1,1))</f>
        <v>182.06733089745194</v>
      </c>
      <c r="BJ35" s="62">
        <f t="shared" si="38"/>
        <v>320.36755413886021</v>
      </c>
      <c r="BK35" s="16">
        <f>IF(ISNA(VLOOKUP(A35,'Données projet'!$A$87:$I$107,3,0)),0,VLOOKUP(A35,'Données projet'!$A$87:$I$107,3,0))</f>
        <v>3</v>
      </c>
      <c r="BL35" s="16">
        <f>IF(ISNA(VLOOKUP(A35,'Données projet'!$A$87:$I$107,4,0)),0,VLOOKUP(A35,'Données projet'!$A$87:$I$107,4,0))</f>
        <v>73.7</v>
      </c>
      <c r="BM35" s="17">
        <f>IF(ISNA(VLOOKUP(A35,'Données projet'!$A$87:$I$107,5,0)),0%,VLOOKUP(A35,'Données projet'!$A$87:$I$107,5,0)*VLOOKUP('Données projet'!$B$11,Paramètres!$A$1:$I$89,7,0))</f>
        <v>0.215</v>
      </c>
      <c r="BN35" s="17">
        <f>IF(ISNA(VLOOKUP(A35,'Données projet'!$A$87:$I$107,6,0)),0%,VLOOKUP(A35,'Données projet'!$A$87:$I$107,6,0)*VLOOKUP('Données projet'!$B$11,Paramètres!$A$1:$I$89,7,0))</f>
        <v>4.3000000000000003E-2</v>
      </c>
      <c r="BO35" s="17">
        <f>IF(ISNA(VLOOKUP(A35,'Données projet'!$A$87:$I$107,7,0)),0%,VLOOKUP(A35,'Données projet'!$A$87:$I$107,7,0))</f>
        <v>0.15</v>
      </c>
      <c r="BP35" s="23">
        <f>EXP(-LN(2)/35)*BP34+(1-EXP(-LN(2)/35))/(LN(2)/35)*BL35*BM35*VLOOKUP('Données projet'!$B$11,Paramètres!$A$1:$I$89,3,0)*0.475*44/12</f>
        <v>12.843267095065679</v>
      </c>
      <c r="BQ35" s="23">
        <f>EXP(-LN(2)/25)*BQ34+(1-EXP(-LN(2)/25))/(LN(2)/25)*Calculateur!BL35*Calculateur!BN35*VLOOKUP('Données projet'!$B$11,Paramètres!$A$1:$I$89,3,0)*0.475*44/12</f>
        <v>2.5585396517687973</v>
      </c>
      <c r="BR35" s="23">
        <f>EXP(-LN(2)/2)*BR34+(1-EXP(-LN(2)/2))/(LN(2)/2)*BL35*BO35*VLOOKUP('Données projet'!$B$11,Paramètres!$A$1:$I$89,3,0)*0.475*44/12</f>
        <v>7.6477819380337522</v>
      </c>
      <c r="BS35" s="24">
        <f t="shared" si="9"/>
        <v>23.049588684868226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11</v>
      </c>
      <c r="BY35" s="13">
        <f>IF('Données projet'!$A$114&gt;35,BY34+BX35-CG34,IF(A35&lt;'Données projet'!$A$114,$BV$205^A35,IF(A35='Données projet'!$A$114,'Données projet'!$B$114,BY34+BX35-CG34)))</f>
        <v>130.99999999999994</v>
      </c>
      <c r="BZ35" s="14">
        <f>BY35*VLOOKUP('Données projet'!$B$12,Paramètres!$A$1:$I$89,3,0)*VLOOKUP('Données projet'!$B$12,Paramètres!$A$1:$I$89,5,0)</f>
        <v>114.44159999999997</v>
      </c>
      <c r="CA35" s="14">
        <f t="shared" si="39"/>
        <v>30.375037129843719</v>
      </c>
      <c r="CB35" s="22">
        <f t="shared" si="10"/>
        <v>252.22230966781112</v>
      </c>
      <c r="CC35" s="62">
        <f t="shared" si="11"/>
        <v>545.5556430011444</v>
      </c>
      <c r="CD35" s="62">
        <f ca="1">AVERAGE(OFFSET($CC$3,0,0,'Données projet'!$E$12+1,1))-AVERAGE(OFFSET($H$3,0,0,'Données projet'!$E$12+1,1))</f>
        <v>248.60758320902863</v>
      </c>
      <c r="CE35" s="62">
        <f t="shared" si="40"/>
        <v>222.23585883330111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5.0926100511943089</v>
      </c>
      <c r="CL35" s="23">
        <f>EXP(-LN(2)/25)*CL34+(1-EXP(-LN(2)/25))/(LN(2)/25)*Calculateur!CG35*Calculateur!CI35*VLOOKUP('Données projet'!$B$12,Paramètres!$A$1:$I$89,3,0)*0.475*44/12</f>
        <v>4.8992305403698273</v>
      </c>
      <c r="CM35" s="23">
        <f>EXP(-LN(2)/2)*CM34+(1-EXP(-LN(2)/2))/(LN(2)/2)*CG35*CJ35*VLOOKUP('Données projet'!$B$12,Paramètres!$A$1:$I$89,3,0)*0.475*44/12</f>
        <v>4.8232377068997785</v>
      </c>
      <c r="CN35" s="24">
        <f t="shared" si="12"/>
        <v>14.815078298463915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15</v>
      </c>
      <c r="CT35" s="13">
        <f>IF('Données projet'!$A$140&gt;35,CT34+CS35-DB34,IF(A35&lt;'Données projet'!$A$140,$CQ$205^A35,IF(A35='Données projet'!$A$140,'Données projet'!$B$140,CT34+CS35-DB34)))</f>
        <v>208.99999999999994</v>
      </c>
      <c r="CU35" s="18">
        <f>CT35*VLOOKUP('Données projet'!$B$13,Paramètres!$A$1:$I$89,3,0)*VLOOKUP('Données projet'!$B$13,Paramètres!$A$1:$I$89,5,0)</f>
        <v>114.11399999999996</v>
      </c>
      <c r="CV35" s="14">
        <f t="shared" si="41"/>
        <v>30.298194021728271</v>
      </c>
      <c r="CW35" s="22">
        <f t="shared" si="13"/>
        <v>251.5179045878433</v>
      </c>
      <c r="CX35" s="62">
        <f t="shared" si="14"/>
        <v>544.85123792117656</v>
      </c>
      <c r="CY35" s="62">
        <f ca="1">AVERAGE(OFFSET($CX$3,0,0,'Données projet'!$E$13+1,1))-AVERAGE(OFFSET($H$3,0,0,'Données projet'!$E$13+1,1))</f>
        <v>135.44138026609272</v>
      </c>
      <c r="CZ35" s="62">
        <f t="shared" si="42"/>
        <v>254.77247578425659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45.87215804730797</v>
      </c>
      <c r="DG35" s="23">
        <f>EXP(-LN(2)/25)*DG34+(1-EXP(-LN(2)/25))/(LN(2)/25)*Calculateur!DB35*Calculateur!DD35*VLOOKUP('Données projet'!$B$13,Paramètres!$A$1:$I$89,3,0)*0.475*44/12</f>
        <v>31.914667597565739</v>
      </c>
      <c r="DH35" s="23">
        <f>EXP(-LN(2)/2)*DH34+(1-EXP(-LN(2)/2))/(LN(2)/2)*DB35*DE35*VLOOKUP('Données projet'!$B$13,Paramètres!$A$1:$I$89,3,0)*0.475*44/12</f>
        <v>5.4338845038099146</v>
      </c>
      <c r="DI35" s="24">
        <f t="shared" si="15"/>
        <v>83.220710148683636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11.6</v>
      </c>
      <c r="DO35" s="13">
        <f>IF('Données projet'!$A$166&gt;35,DO34+DN35-DW34,IF(A35&lt;'Données projet'!$A$166,$DL$205^A35,IF(A35='Données projet'!$A$166,'Données projet'!$B$166,DO34+DN35-DW34)))</f>
        <v>178.20000000000005</v>
      </c>
      <c r="DP35" s="18">
        <f>DO35*VLOOKUP('Données projet'!$B$14,Paramètres!$A$1:$I$89,3,0)*VLOOKUP('Données projet'!$B$14,Paramètres!$A$1:$I$89,5,0)</f>
        <v>172.35504000000003</v>
      </c>
      <c r="DQ35" s="14">
        <f t="shared" si="43"/>
        <v>43.617051120131734</v>
      </c>
      <c r="DR35" s="22">
        <f t="shared" si="16"/>
        <v>376.1513920342295</v>
      </c>
      <c r="DS35" s="62">
        <f t="shared" si="17"/>
        <v>669.48472536756276</v>
      </c>
      <c r="DT35" s="62">
        <f ca="1">AVERAGE(OFFSET($DS$3,0,0,'Données projet'!$E$14+1,1))-AVERAGE(OFFSET($H$3,0,0,'Données projet'!$E$14+1,1))</f>
        <v>271.09447278906288</v>
      </c>
      <c r="DU35" s="62">
        <f t="shared" si="44"/>
        <v>325.1094067861851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5.0819218262543266</v>
      </c>
      <c r="EB35" s="23">
        <f>EXP(-LN(2)/25)*EB34+(1-EXP(-LN(2)/25))/(LN(2)/25)*Calculateur!DW35*Calculateur!DY35*VLOOKUP('Données projet'!$B$14,Paramètres!$A$1:$I$89,3,0)*0.475*44/12</f>
        <v>0.99646932037913616</v>
      </c>
      <c r="EC35" s="23">
        <f>EXP(-LN(2)/2)*EC34+(1-EXP(-LN(2)/2))/(LN(2)/2)*DW35*DZ35*VLOOKUP('Données projet'!$B$14,Paramètres!$A$1:$I$89,3,0)*0.475*44/12</f>
        <v>1.5741991748659221</v>
      </c>
      <c r="ED35" s="24">
        <f t="shared" si="18"/>
        <v>7.6525903214993845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11.6</v>
      </c>
      <c r="EJ35" s="13">
        <f>IF('Données projet'!$A$192&gt;35,EJ34+EI35-ER34,IF(A35&lt;'Données projet'!$A$192,$EG$205^A35,IF(A35='Données projet'!$A$192,'Données projet'!$B$192,EJ34+EI35-ER34)))</f>
        <v>178.20000000000005</v>
      </c>
      <c r="EK35" s="18">
        <f>EJ35*VLOOKUP('Données projet'!$B$15,Paramètres!$A$1:$I$89,3,0)*VLOOKUP('Données projet'!$B$15,Paramètres!$A$1:$I$89,5,0)</f>
        <v>191.81448000000006</v>
      </c>
      <c r="EL35" s="14">
        <f t="shared" si="45"/>
        <v>47.94088644132102</v>
      </c>
      <c r="EM35" s="22">
        <f t="shared" si="19"/>
        <v>417.57392988530086</v>
      </c>
      <c r="EN35" s="62">
        <f t="shared" si="20"/>
        <v>710.90726321863417</v>
      </c>
      <c r="EO35" s="62">
        <f ca="1">AVERAGE(OFFSET($EN$3,0,0,'Données projet'!$E$15+1,1))-AVERAGE(OFFSET($H$3,0,0,'Données projet'!$E$15+1,1))</f>
        <v>306.50593475734655</v>
      </c>
      <c r="EP35" s="62">
        <f t="shared" si="46"/>
        <v>366.48643801375079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5.6556871937346536</v>
      </c>
      <c r="EW35" s="23">
        <f>EXP(-LN(2)/25)*EW34+(1-EXP(-LN(2)/25))/(LN(2)/25)*Calculateur!ER35*Calculateur!ET35*VLOOKUP('Données projet'!$B$15,Paramètres!$A$1:$I$89,3,0)*0.475*44/12</f>
        <v>1.1089739210671032</v>
      </c>
      <c r="EX35" s="23">
        <f>EXP(-LN(2)/2)*EX34+(1-EXP(-LN(2)/2))/(LN(2)/2)*ER35*EU35*VLOOKUP('Données projet'!$B$15,Paramètres!$A$1:$I$89,3,0)*0.475*44/12</f>
        <v>1.7519313397701388</v>
      </c>
      <c r="EY35" s="24">
        <f t="shared" si="21"/>
        <v>8.5165924545718958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24.195599999999999</v>
      </c>
      <c r="D36" s="12">
        <f t="shared" si="32"/>
        <v>7.6952289313442845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246.17481982090328</v>
      </c>
      <c r="H36" s="70">
        <f t="shared" si="1"/>
        <v>348.87652705542462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10.8</v>
      </c>
      <c r="N36" s="14">
        <f>IF('Données projet'!$A$36&gt;35,N35+M36-V35,IF(A36&lt;'Données projet'!$A$36,$K$205^A36,IF(A36='Données projet'!$A$36,'Données projet'!$B$36,N35+M36-V35)))</f>
        <v>125.40000000000003</v>
      </c>
      <c r="O36" s="14">
        <f>N36*VLOOKUP('Données projet'!$B$9,Paramètres!$A$1:$I$89,3,0)*VLOOKUP('Données projet'!$B$9,Paramètres!$A$1:$I$89,5,0)</f>
        <v>113.46192000000002</v>
      </c>
      <c r="P36" s="14">
        <f t="shared" si="33"/>
        <v>30.145163126535493</v>
      </c>
      <c r="Q36" s="22">
        <f t="shared" si="53"/>
        <v>250.11566977871598</v>
      </c>
      <c r="R36" s="62">
        <f t="shared" si="0"/>
        <v>543.44900311204924</v>
      </c>
      <c r="S36" s="62">
        <f ca="1">AVERAGE(OFFSET($R$3,0,0,'Données projet'!$E$9+1,1))-AVERAGE(OFFSET($H$3,0,0,'Données projet'!$E$9+1,1))</f>
        <v>312.57314929661908</v>
      </c>
      <c r="T36" s="62">
        <f t="shared" si="34"/>
        <v>190.92100876773804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10.8</v>
      </c>
      <c r="AI36" s="14">
        <f>IF('Données projet'!$A$62&gt;35,AI35+AH36-AQ35,IF(A36&lt;'Données projet'!$A$62,$AF$205^A36,IF(A36='Données projet'!$A$62,'Données projet'!$B$62,AI35+AH36-AQ35)))</f>
        <v>125.40000000000003</v>
      </c>
      <c r="AJ36" s="14">
        <f>AI36*VLOOKUP('Données projet'!$B$10,Paramètres!$A$1:$I$89,3,0)*VLOOKUP('Données projet'!$B$10,Paramètres!$A$1:$I$89,5,0)</f>
        <v>127.15560000000004</v>
      </c>
      <c r="AK36" s="14">
        <f t="shared" si="35"/>
        <v>33.338258149231912</v>
      </c>
      <c r="AL36" s="22">
        <f t="shared" si="4"/>
        <v>279.52680294324563</v>
      </c>
      <c r="AM36" s="62">
        <f t="shared" si="5"/>
        <v>572.86013627657894</v>
      </c>
      <c r="AN36" s="62">
        <f ca="1">AVERAGE(OFFSET($AM$3,0,0,'Données projet'!$E$10+1,1))-AVERAGE(OFFSET($H$3,0,0,'Données projet'!$E$10+1,1))</f>
        <v>360.56293184044779</v>
      </c>
      <c r="AO36" s="62">
        <f t="shared" si="36"/>
        <v>219.32252911220542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5.8000000000000043</v>
      </c>
      <c r="BD36" s="13">
        <f>IF('Données projet'!$A$88&gt;35,BD35+BC36-BL35,IF(A36&lt;'Données projet'!$A$88,$BA$205^A36,IF(A36='Données projet'!$A$88,'Données projet'!$B$88,BD35+BC36-BL35)))</f>
        <v>177.76000000000005</v>
      </c>
      <c r="BE36" s="14">
        <f>BD36*VLOOKUP('Données projet'!$B$11,Paramètres!$A$1:$I$89,3,0)*VLOOKUP('Données projet'!$B$11,Paramètres!$A$1:$I$89,5,0)</f>
        <v>130.33363200000002</v>
      </c>
      <c r="BF36" s="14">
        <f t="shared" si="37"/>
        <v>34.073440387965427</v>
      </c>
      <c r="BG36" s="22">
        <f t="shared" si="7"/>
        <v>286.34231774237315</v>
      </c>
      <c r="BH36" s="62">
        <f t="shared" si="8"/>
        <v>579.67565107570647</v>
      </c>
      <c r="BI36" s="62">
        <f ca="1">AVERAGE(OFFSET($BH$3,0,0,'Données projet'!$E$11+1,1))-AVERAGE(OFFSET($H$3,0,0,'Données projet'!$E$11+1,1))</f>
        <v>182.06733089745194</v>
      </c>
      <c r="BJ36" s="62">
        <f t="shared" si="38"/>
        <v>320.36755413886021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12.591418460950862</v>
      </c>
      <c r="BQ36" s="23">
        <f>EXP(-LN(2)/25)*BQ35+(1-EXP(-LN(2)/25))/(LN(2)/25)*Calculateur!BL36*Calculateur!BN36*VLOOKUP('Données projet'!$B$11,Paramètres!$A$1:$I$89,3,0)*0.475*44/12</f>
        <v>2.488576250443427</v>
      </c>
      <c r="BR36" s="23">
        <f>EXP(-LN(2)/2)*BR35+(1-EXP(-LN(2)/2))/(LN(2)/2)*BL36*BO36*VLOOKUP('Données projet'!$B$11,Paramètres!$A$1:$I$89,3,0)*0.475*44/12</f>
        <v>5.4077984694196628</v>
      </c>
      <c r="BS36" s="24">
        <f t="shared" si="9"/>
        <v>20.487793180813952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11</v>
      </c>
      <c r="BY36" s="13">
        <f>IF('Données projet'!$A$114&gt;35,BY35+BX36-CG35,IF(A36&lt;'Données projet'!$A$114,$BV$205^A36,IF(A36='Données projet'!$A$114,'Données projet'!$B$114,BY35+BX36-CG35)))</f>
        <v>141.99999999999994</v>
      </c>
      <c r="BZ36" s="14">
        <f>BY36*VLOOKUP('Données projet'!$B$12,Paramètres!$A$1:$I$89,3,0)*VLOOKUP('Données projet'!$B$12,Paramètres!$A$1:$I$89,5,0)</f>
        <v>124.05119999999998</v>
      </c>
      <c r="CA36" s="14">
        <f t="shared" si="39"/>
        <v>32.618041559365977</v>
      </c>
      <c r="CB36" s="22">
        <f t="shared" si="10"/>
        <v>272.86559571589572</v>
      </c>
      <c r="CC36" s="62">
        <f t="shared" si="11"/>
        <v>566.19892904922904</v>
      </c>
      <c r="CD36" s="62">
        <f ca="1">AVERAGE(OFFSET($CC$3,0,0,'Données projet'!$E$12+1,1))-AVERAGE(OFFSET($H$3,0,0,'Données projet'!$E$12+1,1))</f>
        <v>248.60758320902863</v>
      </c>
      <c r="CE36" s="62">
        <f t="shared" si="40"/>
        <v>222.23585883330111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4.9927470742758091</v>
      </c>
      <c r="CL36" s="23">
        <f>EXP(-LN(2)/25)*CL35+(1-EXP(-LN(2)/25))/(LN(2)/25)*Calculateur!CG36*Calculateur!CI36*VLOOKUP('Données projet'!$B$12,Paramètres!$A$1:$I$89,3,0)*0.475*44/12</f>
        <v>4.7652608236040779</v>
      </c>
      <c r="CM36" s="23">
        <f>EXP(-LN(2)/2)*CM35+(1-EXP(-LN(2)/2))/(LN(2)/2)*CG36*CJ36*VLOOKUP('Données projet'!$B$12,Paramètres!$A$1:$I$89,3,0)*0.475*44/12</f>
        <v>3.4105440898234871</v>
      </c>
      <c r="CN36" s="24">
        <f t="shared" si="12"/>
        <v>13.168551987703374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15</v>
      </c>
      <c r="CT36" s="13">
        <f>IF('Données projet'!$A$140&gt;35,CT35+CS36-DB35,IF(A36&lt;'Données projet'!$A$140,$CQ$205^A36,IF(A36='Données projet'!$A$140,'Données projet'!$B$140,CT35+CS36-DB35)))</f>
        <v>223.99999999999994</v>
      </c>
      <c r="CU36" s="18">
        <f>CT36*VLOOKUP('Données projet'!$B$13,Paramètres!$A$1:$I$89,3,0)*VLOOKUP('Données projet'!$B$13,Paramètres!$A$1:$I$89,5,0)</f>
        <v>122.30399999999996</v>
      </c>
      <c r="CV36" s="14">
        <f t="shared" si="41"/>
        <v>32.211773226559373</v>
      </c>
      <c r="CW36" s="22">
        <f t="shared" si="13"/>
        <v>269.11497170292415</v>
      </c>
      <c r="CX36" s="62">
        <f t="shared" si="14"/>
        <v>562.44830503625747</v>
      </c>
      <c r="CY36" s="62">
        <f ca="1">AVERAGE(OFFSET($CX$3,0,0,'Données projet'!$E$13+1,1))-AVERAGE(OFFSET($H$3,0,0,'Données projet'!$E$13+1,1))</f>
        <v>135.44138026609272</v>
      </c>
      <c r="CZ36" s="62">
        <f t="shared" si="42"/>
        <v>254.77247578425659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44.972633007253947</v>
      </c>
      <c r="DG36" s="23">
        <f>EXP(-LN(2)/25)*DG35+(1-EXP(-LN(2)/25))/(LN(2)/25)*Calculateur!DB36*Calculateur!DD36*VLOOKUP('Données projet'!$B$13,Paramètres!$A$1:$I$89,3,0)*0.475*44/12</f>
        <v>31.041959333790878</v>
      </c>
      <c r="DH36" s="23">
        <f>EXP(-LN(2)/2)*DH35+(1-EXP(-LN(2)/2))/(LN(2)/2)*DB36*DE36*VLOOKUP('Données projet'!$B$13,Paramètres!$A$1:$I$89,3,0)*0.475*44/12</f>
        <v>3.8423365808284888</v>
      </c>
      <c r="DI36" s="24">
        <f t="shared" si="15"/>
        <v>79.856928921873305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11.6</v>
      </c>
      <c r="DO36" s="13">
        <f>IF('Données projet'!$A$166&gt;35,DO35+DN36-DW35,IF(A36&lt;'Données projet'!$A$166,$DL$205^A36,IF(A36='Données projet'!$A$166,'Données projet'!$B$166,DO35+DN36-DW35)))</f>
        <v>189.80000000000004</v>
      </c>
      <c r="DP36" s="18">
        <f>DO36*VLOOKUP('Données projet'!$B$14,Paramètres!$A$1:$I$89,3,0)*VLOOKUP('Données projet'!$B$14,Paramètres!$A$1:$I$89,5,0)</f>
        <v>183.57456000000005</v>
      </c>
      <c r="DQ36" s="14">
        <f t="shared" si="43"/>
        <v>46.116547474307289</v>
      </c>
      <c r="DR36" s="22">
        <f t="shared" si="16"/>
        <v>400.04534551775191</v>
      </c>
      <c r="DS36" s="62">
        <f t="shared" si="17"/>
        <v>693.37867885108517</v>
      </c>
      <c r="DT36" s="62">
        <f ca="1">AVERAGE(OFFSET($DS$3,0,0,'Données projet'!$E$14+1,1))-AVERAGE(OFFSET($H$3,0,0,'Données projet'!$E$14+1,1))</f>
        <v>271.09447278906288</v>
      </c>
      <c r="DU36" s="62">
        <f t="shared" si="44"/>
        <v>325.1094067861851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4.9822684389077265</v>
      </c>
      <c r="EB36" s="23">
        <f>EXP(-LN(2)/25)*EB35+(1-EXP(-LN(2)/25))/(LN(2)/25)*Calculateur!DW36*Calculateur!DY36*VLOOKUP('Données projet'!$B$14,Paramètres!$A$1:$I$89,3,0)*0.475*44/12</f>
        <v>0.96922081441132457</v>
      </c>
      <c r="EC36" s="23">
        <f>EXP(-LN(2)/2)*EC35+(1-EXP(-LN(2)/2))/(LN(2)/2)*DW36*DZ36*VLOOKUP('Données projet'!$B$14,Paramètres!$A$1:$I$89,3,0)*0.475*44/12</f>
        <v>1.1131269114859612</v>
      </c>
      <c r="ED36" s="24">
        <f t="shared" si="18"/>
        <v>7.0646161648050132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11.6</v>
      </c>
      <c r="EJ36" s="13">
        <f>IF('Données projet'!$A$192&gt;35,EJ35+EI36-ER35,IF(A36&lt;'Données projet'!$A$192,$EG$205^A36,IF(A36='Données projet'!$A$192,'Données projet'!$B$192,EJ35+EI36-ER35)))</f>
        <v>189.80000000000004</v>
      </c>
      <c r="EK36" s="18">
        <f>EJ36*VLOOKUP('Données projet'!$B$15,Paramètres!$A$1:$I$89,3,0)*VLOOKUP('Données projet'!$B$15,Paramètres!$A$1:$I$89,5,0)</f>
        <v>204.30072000000004</v>
      </c>
      <c r="EL36" s="14">
        <f t="shared" si="45"/>
        <v>50.688162284109957</v>
      </c>
      <c r="EM36" s="22">
        <f t="shared" si="19"/>
        <v>444.10563664482487</v>
      </c>
      <c r="EN36" s="62">
        <f t="shared" si="20"/>
        <v>737.43896997815818</v>
      </c>
      <c r="EO36" s="62">
        <f ca="1">AVERAGE(OFFSET($EN$3,0,0,'Données projet'!$E$15+1,1))-AVERAGE(OFFSET($H$3,0,0,'Données projet'!$E$15+1,1))</f>
        <v>306.50593475734655</v>
      </c>
      <c r="EP36" s="62">
        <f t="shared" si="46"/>
        <v>366.48643801375079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5.5447826174940831</v>
      </c>
      <c r="EW36" s="23">
        <f>EXP(-LN(2)/25)*EW35+(1-EXP(-LN(2)/25))/(LN(2)/25)*Calculateur!ER36*Calculateur!ET36*VLOOKUP('Données projet'!$B$15,Paramètres!$A$1:$I$89,3,0)*0.475*44/12</f>
        <v>1.0786489708771194</v>
      </c>
      <c r="EX36" s="23">
        <f>EXP(-LN(2)/2)*EX35+(1-EXP(-LN(2)/2))/(LN(2)/2)*ER36*EU36*VLOOKUP('Données projet'!$B$15,Paramètres!$A$1:$I$89,3,0)*0.475*44/12</f>
        <v>1.2388025305246986</v>
      </c>
      <c r="EY36" s="24">
        <f t="shared" si="21"/>
        <v>7.8622341188959011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24.928799999999999</v>
      </c>
      <c r="D37" s="12">
        <f t="shared" si="32"/>
        <v>7.9009151595869396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253.42236263540795</v>
      </c>
      <c r="H37" s="70">
        <f t="shared" si="1"/>
        <v>350.51175390294725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10.8</v>
      </c>
      <c r="N37" s="14">
        <f>IF('Données projet'!$A$36&gt;35,N36+M37-V36,IF(A37&lt;'Données projet'!$A$36,$K$205^A37,IF(A37='Données projet'!$A$36,'Données projet'!$B$36,N36+M37-V36)))</f>
        <v>136.20000000000005</v>
      </c>
      <c r="O37" s="14">
        <f>N37*VLOOKUP('Données projet'!$B$9,Paramètres!$A$1:$I$89,3,0)*VLOOKUP('Données projet'!$B$9,Paramètres!$A$1:$I$89,5,0)</f>
        <v>123.23376000000005</v>
      </c>
      <c r="P37" s="14">
        <f t="shared" si="33"/>
        <v>32.428049504876491</v>
      </c>
      <c r="Q37" s="22">
        <f t="shared" si="53"/>
        <v>271.11098488765998</v>
      </c>
      <c r="R37" s="62">
        <f t="shared" si="0"/>
        <v>564.4443182209933</v>
      </c>
      <c r="S37" s="62">
        <f ca="1">AVERAGE(OFFSET($R$3,0,0,'Données projet'!$E$9+1,1))-AVERAGE(OFFSET($H$3,0,0,'Données projet'!$E$9+1,1))</f>
        <v>312.57314929661908</v>
      </c>
      <c r="T37" s="62">
        <f t="shared" si="34"/>
        <v>190.92100876773804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10.8</v>
      </c>
      <c r="AI37" s="14">
        <f>IF('Données projet'!$A$62&gt;35,AI36+AH37-AQ36,IF(A37&lt;'Données projet'!$A$62,$AF$205^A37,IF(A37='Données projet'!$A$62,'Données projet'!$B$62,AI36+AH37-AQ36)))</f>
        <v>136.20000000000005</v>
      </c>
      <c r="AJ37" s="14">
        <f>AI37*VLOOKUP('Données projet'!$B$10,Paramètres!$A$1:$I$89,3,0)*VLOOKUP('Données projet'!$B$10,Paramètres!$A$1:$I$89,5,0)</f>
        <v>138.10680000000005</v>
      </c>
      <c r="AK37" s="14">
        <f t="shared" si="35"/>
        <v>35.862956890686135</v>
      </c>
      <c r="AL37" s="22">
        <f t="shared" si="4"/>
        <v>302.99732658461176</v>
      </c>
      <c r="AM37" s="62">
        <f t="shared" si="5"/>
        <v>596.33065991794501</v>
      </c>
      <c r="AN37" s="62">
        <f ca="1">AVERAGE(OFFSET($AM$3,0,0,'Données projet'!$E$10+1,1))-AVERAGE(OFFSET($H$3,0,0,'Données projet'!$E$10+1,1))</f>
        <v>360.56293184044779</v>
      </c>
      <c r="AO37" s="62">
        <f t="shared" si="36"/>
        <v>219.32252911220542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5.8000000000000043</v>
      </c>
      <c r="BD37" s="13">
        <f>IF('Données projet'!$A$88&gt;35,BD36+BC37-BL36,IF(A37&lt;'Données projet'!$A$88,$BA$205^A37,IF(A37='Données projet'!$A$88,'Données projet'!$B$88,BD36+BC37-BL36)))</f>
        <v>183.56000000000006</v>
      </c>
      <c r="BE37" s="14">
        <f>BD37*VLOOKUP('Données projet'!$B$11,Paramètres!$A$1:$I$89,3,0)*VLOOKUP('Données projet'!$B$11,Paramètres!$A$1:$I$89,5,0)</f>
        <v>134.58619200000004</v>
      </c>
      <c r="BF37" s="14">
        <f t="shared" si="37"/>
        <v>35.053945843479944</v>
      </c>
      <c r="BG37" s="22">
        <f t="shared" si="7"/>
        <v>295.45657341072757</v>
      </c>
      <c r="BH37" s="62">
        <f t="shared" si="8"/>
        <v>588.78990674406089</v>
      </c>
      <c r="BI37" s="62">
        <f ca="1">AVERAGE(OFFSET($BH$3,0,0,'Données projet'!$E$11+1,1))-AVERAGE(OFFSET($H$3,0,0,'Données projet'!$E$11+1,1))</f>
        <v>182.06733089745194</v>
      </c>
      <c r="BJ37" s="62">
        <f t="shared" si="38"/>
        <v>320.36755413886021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12.344508424938539</v>
      </c>
      <c r="BQ37" s="23">
        <f>EXP(-LN(2)/25)*BQ36+(1-EXP(-LN(2)/25))/(LN(2)/25)*Calculateur!BL37*Calculateur!BN37*VLOOKUP('Données projet'!$B$11,Paramètres!$A$1:$I$89,3,0)*0.475*44/12</f>
        <v>2.4205260020065142</v>
      </c>
      <c r="BR37" s="23">
        <f>EXP(-LN(2)/2)*BR36+(1-EXP(-LN(2)/2))/(LN(2)/2)*BL37*BO37*VLOOKUP('Données projet'!$B$11,Paramètres!$A$1:$I$89,3,0)*0.475*44/12</f>
        <v>3.8238909690168765</v>
      </c>
      <c r="BS37" s="24">
        <f t="shared" si="9"/>
        <v>18.58892539596193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11</v>
      </c>
      <c r="BY37" s="13">
        <f>IF('Données projet'!$A$114&gt;35,BY36+BX37-CG36,IF(A37&lt;'Données projet'!$A$114,$BV$205^A37,IF(A37='Données projet'!$A$114,'Données projet'!$B$114,BY36+BX37-CG36)))</f>
        <v>152.99999999999994</v>
      </c>
      <c r="BZ37" s="14">
        <f>BY37*VLOOKUP('Données projet'!$B$12,Paramètres!$A$1:$I$89,3,0)*VLOOKUP('Données projet'!$B$12,Paramètres!$A$1:$I$89,5,0)</f>
        <v>133.66079999999997</v>
      </c>
      <c r="CA37" s="14">
        <f t="shared" si="39"/>
        <v>34.840890682716719</v>
      </c>
      <c r="CB37" s="22">
        <f t="shared" si="10"/>
        <v>293.47377793906486</v>
      </c>
      <c r="CC37" s="62">
        <f t="shared" si="11"/>
        <v>586.80711127239817</v>
      </c>
      <c r="CD37" s="62">
        <f ca="1">AVERAGE(OFFSET($CC$3,0,0,'Données projet'!$E$12+1,1))-AVERAGE(OFFSET($H$3,0,0,'Données projet'!$E$12+1,1))</f>
        <v>248.60758320902863</v>
      </c>
      <c r="CE37" s="62">
        <f t="shared" si="40"/>
        <v>222.23585883330111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4.8948423494242794</v>
      </c>
      <c r="CL37" s="23">
        <f>EXP(-LN(2)/25)*CL36+(1-EXP(-LN(2)/25))/(LN(2)/25)*Calculateur!CG37*Calculateur!CI37*VLOOKUP('Données projet'!$B$12,Paramètres!$A$1:$I$89,3,0)*0.475*44/12</f>
        <v>4.6349545157884489</v>
      </c>
      <c r="CM37" s="23">
        <f>EXP(-LN(2)/2)*CM36+(1-EXP(-LN(2)/2))/(LN(2)/2)*CG37*CJ37*VLOOKUP('Données projet'!$B$12,Paramètres!$A$1:$I$89,3,0)*0.475*44/12</f>
        <v>2.4116188534498897</v>
      </c>
      <c r="CN37" s="24">
        <f t="shared" si="12"/>
        <v>11.941415718662617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15</v>
      </c>
      <c r="CT37" s="13">
        <f>IF('Données projet'!$A$140&gt;35,CT36+CS37-DB36,IF(A37&lt;'Données projet'!$A$140,$CQ$205^A37,IF(A37='Données projet'!$A$140,'Données projet'!$B$140,CT36+CS37-DB36)))</f>
        <v>238.99999999999994</v>
      </c>
      <c r="CU37" s="18">
        <f>CT37*VLOOKUP('Données projet'!$B$13,Paramètres!$A$1:$I$89,3,0)*VLOOKUP('Données projet'!$B$13,Paramètres!$A$1:$I$89,5,0)</f>
        <v>130.49399999999997</v>
      </c>
      <c r="CV37" s="14">
        <f t="shared" si="41"/>
        <v>34.110483018610772</v>
      </c>
      <c r="CW37" s="22">
        <f t="shared" si="13"/>
        <v>286.68614125741368</v>
      </c>
      <c r="CX37" s="62">
        <f t="shared" si="14"/>
        <v>580.019474590747</v>
      </c>
      <c r="CY37" s="62">
        <f ca="1">AVERAGE(OFFSET($CX$3,0,0,'Données projet'!$E$13+1,1))-AVERAGE(OFFSET($H$3,0,0,'Données projet'!$E$13+1,1))</f>
        <v>135.44138026609272</v>
      </c>
      <c r="CZ37" s="62">
        <f t="shared" si="42"/>
        <v>254.77247578425659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44.090747104579286</v>
      </c>
      <c r="DG37" s="23">
        <f>EXP(-LN(2)/25)*DG36+(1-EXP(-LN(2)/25))/(LN(2)/25)*Calculateur!DB37*Calculateur!DD37*VLOOKUP('Données projet'!$B$13,Paramètres!$A$1:$I$89,3,0)*0.475*44/12</f>
        <v>30.193115323382674</v>
      </c>
      <c r="DH37" s="23">
        <f>EXP(-LN(2)/2)*DH36+(1-EXP(-LN(2)/2))/(LN(2)/2)*DB37*DE37*VLOOKUP('Données projet'!$B$13,Paramètres!$A$1:$I$89,3,0)*0.475*44/12</f>
        <v>2.7169422519049578</v>
      </c>
      <c r="DI37" s="24">
        <f t="shared" si="15"/>
        <v>77.000804679866917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11.6</v>
      </c>
      <c r="DO37" s="13">
        <f>IF('Données projet'!$A$166&gt;35,DO36+DN37-DW36,IF(A37&lt;'Données projet'!$A$166,$DL$205^A37,IF(A37='Données projet'!$A$166,'Données projet'!$B$166,DO36+DN37-DW36)))</f>
        <v>201.40000000000003</v>
      </c>
      <c r="DP37" s="18">
        <f>DO37*VLOOKUP('Données projet'!$B$14,Paramètres!$A$1:$I$89,3,0)*VLOOKUP('Données projet'!$B$14,Paramètres!$A$1:$I$89,5,0)</f>
        <v>194.79408000000004</v>
      </c>
      <c r="DQ37" s="14">
        <f t="shared" si="43"/>
        <v>48.598313824368873</v>
      </c>
      <c r="DR37" s="22">
        <f t="shared" si="16"/>
        <v>423.90841924410915</v>
      </c>
      <c r="DS37" s="62">
        <f t="shared" si="17"/>
        <v>717.24175257744241</v>
      </c>
      <c r="DT37" s="62">
        <f ca="1">AVERAGE(OFFSET($DS$3,0,0,'Données projet'!$E$14+1,1))-AVERAGE(OFFSET($H$3,0,0,'Données projet'!$E$14+1,1))</f>
        <v>271.09447278906288</v>
      </c>
      <c r="DU37" s="62">
        <f t="shared" si="44"/>
        <v>325.1094067861851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4.8845691937044293</v>
      </c>
      <c r="EB37" s="23">
        <f>EXP(-LN(2)/25)*EB36+(1-EXP(-LN(2)/25))/(LN(2)/25)*Calculateur!DW37*Calculateur!DY37*VLOOKUP('Données projet'!$B$14,Paramètres!$A$1:$I$89,3,0)*0.475*44/12</f>
        <v>0.94271742027213945</v>
      </c>
      <c r="EC37" s="23">
        <f>EXP(-LN(2)/2)*EC36+(1-EXP(-LN(2)/2))/(LN(2)/2)*DW37*DZ37*VLOOKUP('Données projet'!$B$14,Paramètres!$A$1:$I$89,3,0)*0.475*44/12</f>
        <v>0.78709958743296105</v>
      </c>
      <c r="ED37" s="24">
        <f t="shared" si="18"/>
        <v>6.6143862014095305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11.6</v>
      </c>
      <c r="EJ37" s="13">
        <f>IF('Données projet'!$A$192&gt;35,EJ36+EI37-ER36,IF(A37&lt;'Données projet'!$A$192,$EG$205^A37,IF(A37='Données projet'!$A$192,'Données projet'!$B$192,EJ36+EI37-ER36)))</f>
        <v>201.40000000000003</v>
      </c>
      <c r="EK37" s="18">
        <f>EJ37*VLOOKUP('Données projet'!$B$15,Paramètres!$A$1:$I$89,3,0)*VLOOKUP('Données projet'!$B$15,Paramètres!$A$1:$I$89,5,0)</f>
        <v>216.78696000000002</v>
      </c>
      <c r="EL37" s="14">
        <f t="shared" si="45"/>
        <v>53.415950516159356</v>
      </c>
      <c r="EM37" s="22">
        <f t="shared" si="19"/>
        <v>470.60340248231091</v>
      </c>
      <c r="EN37" s="62">
        <f t="shared" si="20"/>
        <v>763.93673581564417</v>
      </c>
      <c r="EO37" s="62">
        <f ca="1">AVERAGE(OFFSET($EN$3,0,0,'Données projet'!$E$15+1,1))-AVERAGE(OFFSET($H$3,0,0,'Données projet'!$E$15+1,1))</f>
        <v>306.50593475734655</v>
      </c>
      <c r="EP37" s="62">
        <f t="shared" si="46"/>
        <v>366.48643801375079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5.4360528123484775</v>
      </c>
      <c r="EW37" s="23">
        <f>EXP(-LN(2)/25)*EW36+(1-EXP(-LN(2)/25))/(LN(2)/25)*Calculateur!ER37*Calculateur!ET37*VLOOKUP('Données projet'!$B$15,Paramètres!$A$1:$I$89,3,0)*0.475*44/12</f>
        <v>1.0491532580448004</v>
      </c>
      <c r="EX37" s="23">
        <f>EXP(-LN(2)/2)*EX36+(1-EXP(-LN(2)/2))/(LN(2)/2)*ER37*EU37*VLOOKUP('Données projet'!$B$15,Paramètres!$A$1:$I$89,3,0)*0.475*44/12</f>
        <v>0.87596566988506941</v>
      </c>
      <c r="EY37" s="24">
        <f t="shared" si="21"/>
        <v>7.3611717402783468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25.661999999999999</v>
      </c>
      <c r="D38" s="12">
        <f t="shared" si="32"/>
        <v>8.1058983118768086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260.66447819694378</v>
      </c>
      <c r="H38" s="70">
        <f t="shared" si="1"/>
        <v>352.14575622651876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147</v>
      </c>
      <c r="L38" s="13">
        <f>VLOOKUP(A38,'Données projet'!$A$35:$I$55,9,0)</f>
        <v>10.8</v>
      </c>
      <c r="M38" s="13">
        <f t="array" ref="M38">INDEX(L:L,MIN(IF(ISNUMBER(L38:L234),ROW(L38:L234),"")))</f>
        <v>10.8</v>
      </c>
      <c r="N38" s="14">
        <f>IF('Données projet'!$A$36&gt;35,N37+M38-V37,IF(A38&lt;'Données projet'!$A$36,$K$205^A38,IF(A38='Données projet'!$A$36,'Données projet'!$B$36,N37+M38-V37)))</f>
        <v>147.00000000000006</v>
      </c>
      <c r="O38" s="14">
        <f>N38*VLOOKUP('Données projet'!$B$9,Paramètres!$A$1:$I$89,3,0)*VLOOKUP('Données projet'!$B$9,Paramètres!$A$1:$I$89,5,0)</f>
        <v>133.00560000000004</v>
      </c>
      <c r="P38" s="14">
        <f t="shared" si="33"/>
        <v>34.689938673073549</v>
      </c>
      <c r="Q38" s="22">
        <f t="shared" si="53"/>
        <v>292.06972985560316</v>
      </c>
      <c r="R38" s="62">
        <f t="shared" si="0"/>
        <v>585.40306318893647</v>
      </c>
      <c r="S38" s="62">
        <f ca="1">AVERAGE(OFFSET($R$3,0,0,'Données projet'!$E$9+1,1))-AVERAGE(OFFSET($H$3,0,0,'Données projet'!$E$9+1,1))</f>
        <v>312.57314929661908</v>
      </c>
      <c r="T38" s="62">
        <f t="shared" si="34"/>
        <v>190.92100876773804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28</v>
      </c>
      <c r="W38" s="17">
        <f>IF(ISNA(VLOOKUP(A38,'Données projet'!$A$35:$I$55,5,0)),0%,VLOOKUP(A38,'Données projet'!$A$35:$I$55,5,0)*VLOOKUP('Données projet'!$B$9,Paramètres!$A$1:$I$89,7,0))</f>
        <v>0.17200000000000001</v>
      </c>
      <c r="X38" s="17">
        <f>IF(ISNA(VLOOKUP(A38,'Données projet'!$A$35:$I$55,6,0)),0%,VLOOKUP(A38,'Données projet'!$A$35:$I$55,6,0)*VLOOKUP('Données projet'!$B$9,Paramètres!$A$1:$I$89,7,0))</f>
        <v>3.44E-2</v>
      </c>
      <c r="Y38" s="17">
        <f>IF(ISNA(VLOOKUP(A38,'Données projet'!$A$35:$I$55,7,0)),0%,VLOOKUP(A38,'Données projet'!$A$35:$I$55,7,0))</f>
        <v>0.12</v>
      </c>
      <c r="Z38" s="23">
        <f>EXP(-LN(2)/35)*Z37+(1-EXP(-LN(2)/35))/(LN(2)/35)*V38*W38*VLOOKUP('Données projet'!$B$9,Paramètres!$A$1:$I$89,3,0)*0.475*44/12</f>
        <v>4.8171057507172064</v>
      </c>
      <c r="AA38" s="23">
        <f>EXP(-LN(2)/25)*AA37+(1-EXP(-LN(2)/25))/(LN(2)/25)*Calculateur!V38*Calculateur!X38*VLOOKUP('Données projet'!$B$9,Paramètres!$A$1:$I$89,3,0)*0.475*44/12</f>
        <v>0.95962779398308873</v>
      </c>
      <c r="AB38" s="23">
        <f>EXP(-LN(2)/2)*AB37+(1-EXP(-LN(2)/2))/(LN(2)/2)*V38*Y38*VLOOKUP('Données projet'!$B$9,Paramètres!$A$1:$I$89,3,0)*0.475*44/12</f>
        <v>2.8684425918454495</v>
      </c>
      <c r="AC38" s="24">
        <f t="shared" si="3"/>
        <v>8.6451761365457447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147</v>
      </c>
      <c r="AG38" s="13">
        <f>VLOOKUP(A38,'Données projet'!$A$61:$I$81,9,0)</f>
        <v>10.8</v>
      </c>
      <c r="AH38" s="13">
        <f t="array" ref="AH38">INDEX(AG:AG,MIN(IF(ISNUMBER(AG38:AG234),ROW(AG38:AG234),"")))</f>
        <v>10.8</v>
      </c>
      <c r="AI38" s="14">
        <f>IF('Données projet'!$A$62&gt;35,AI37+AH38-AQ37,IF(A38&lt;'Données projet'!$A$62,$AF$205^A38,IF(A38='Données projet'!$A$62,'Données projet'!$B$62,AI37+AH38-AQ37)))</f>
        <v>147.00000000000006</v>
      </c>
      <c r="AJ38" s="14">
        <f>AI38*VLOOKUP('Données projet'!$B$10,Paramètres!$A$1:$I$89,3,0)*VLOOKUP('Données projet'!$B$10,Paramètres!$A$1:$I$89,5,0)</f>
        <v>149.05800000000008</v>
      </c>
      <c r="AK38" s="14">
        <f t="shared" si="35"/>
        <v>38.364434314370335</v>
      </c>
      <c r="AL38" s="22">
        <f t="shared" si="4"/>
        <v>326.42740643086182</v>
      </c>
      <c r="AM38" s="62">
        <f t="shared" si="5"/>
        <v>619.76073976419514</v>
      </c>
      <c r="AN38" s="62">
        <f ca="1">AVERAGE(OFFSET($AM$3,0,0,'Données projet'!$E$10+1,1))-AVERAGE(OFFSET($H$3,0,0,'Données projet'!$E$10+1,1))</f>
        <v>360.56293184044779</v>
      </c>
      <c r="AO38" s="62">
        <f t="shared" si="36"/>
        <v>219.32252911220542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28</v>
      </c>
      <c r="AR38" s="17">
        <f>IF(ISNA(VLOOKUP(A38,'Données projet'!$A$61:$I$81,5,0)),0%,VLOOKUP(A38,'Données projet'!$A$61:$I$81,5,0)*VLOOKUP('Données projet'!$B$10,Paramètres!$A$1:$I$89,7,0))</f>
        <v>0.17200000000000001</v>
      </c>
      <c r="AS38" s="17">
        <f>IF(ISNA(VLOOKUP(A38,'Données projet'!$A$61:$I$81,6,0)),0%,VLOOKUP(A38,'Données projet'!$A$61:$I$81,6,0)*VLOOKUP('Données projet'!$B$10,Paramètres!$A$1:$I$89,7,0))</f>
        <v>3.44E-2</v>
      </c>
      <c r="AT38" s="17">
        <f>IF(ISNA(VLOOKUP(A38,'Données projet'!$A$61:$I$81,7,0)),0%,VLOOKUP(A38,'Données projet'!$A$61:$I$81,7,0))</f>
        <v>0.12</v>
      </c>
      <c r="AU38" s="23">
        <f>EXP(-LN(2)/35)*AU37+(1-EXP(-LN(2)/35))/(LN(2)/35)*AQ38*AR38*VLOOKUP('Données projet'!$B$10,Paramètres!$A$1:$I$89,3,0)*0.475*44/12</f>
        <v>5.3984805827003184</v>
      </c>
      <c r="AV38" s="23">
        <f>EXP(-LN(2)/25)*AV37+(1-EXP(-LN(2)/25))/(LN(2)/25)*Calculateur!AQ38*Calculateur!AS38*VLOOKUP('Données projet'!$B$10,Paramètres!$A$1:$I$89,3,0)*0.475*44/12</f>
        <v>1.075444941532772</v>
      </c>
      <c r="AW38" s="23">
        <f>EXP(-LN(2)/2)*AW37+(1-EXP(-LN(2)/2))/(LN(2)/2)*AQ38*AT38*VLOOKUP('Données projet'!$B$10,Paramètres!$A$1:$I$89,3,0)*0.475*44/12</f>
        <v>3.2146339391371419</v>
      </c>
      <c r="AX38" s="23">
        <f t="shared" si="6"/>
        <v>9.6885594633702325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5.8000000000000043</v>
      </c>
      <c r="BD38" s="13">
        <f>IF('Données projet'!$A$88&gt;35,BD37+BC38-BL37,IF(A38&lt;'Données projet'!$A$88,$BA$205^A38,IF(A38='Données projet'!$A$88,'Données projet'!$B$88,BD37+BC38-BL37)))</f>
        <v>189.36000000000007</v>
      </c>
      <c r="BE38" s="14">
        <f>BD38*VLOOKUP('Données projet'!$B$11,Paramètres!$A$1:$I$89,3,0)*VLOOKUP('Données projet'!$B$11,Paramètres!$A$1:$I$89,5,0)</f>
        <v>138.83875200000006</v>
      </c>
      <c r="BF38" s="14">
        <f t="shared" si="37"/>
        <v>36.030851063667811</v>
      </c>
      <c r="BG38" s="22">
        <f t="shared" si="7"/>
        <v>304.56455866922147</v>
      </c>
      <c r="BH38" s="62">
        <f t="shared" si="8"/>
        <v>597.89789200255473</v>
      </c>
      <c r="BI38" s="62">
        <f ca="1">AVERAGE(OFFSET($BH$3,0,0,'Données projet'!$E$11+1,1))-AVERAGE(OFFSET($H$3,0,0,'Données projet'!$E$11+1,1))</f>
        <v>182.06733089745194</v>
      </c>
      <c r="BJ38" s="62">
        <f t="shared" si="38"/>
        <v>320.36755413886021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12.102440144132165</v>
      </c>
      <c r="BQ38" s="23">
        <f>EXP(-LN(2)/25)*BQ37+(1-EXP(-LN(2)/25))/(LN(2)/25)*Calculateur!BL38*Calculateur!BN38*VLOOKUP('Données projet'!$B$11,Paramètres!$A$1:$I$89,3,0)*0.475*44/12</f>
        <v>2.354336591191716</v>
      </c>
      <c r="BR38" s="23">
        <f>EXP(-LN(2)/2)*BR37+(1-EXP(-LN(2)/2))/(LN(2)/2)*BL38*BO38*VLOOKUP('Données projet'!$B$11,Paramètres!$A$1:$I$89,3,0)*0.475*44/12</f>
        <v>2.7038992347098318</v>
      </c>
      <c r="BS38" s="24">
        <f t="shared" si="9"/>
        <v>17.160675970033715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164</v>
      </c>
      <c r="BW38" s="13">
        <f>VLOOKUP(A38,'Données projet'!$A$113:$I$133,9,0)</f>
        <v>11</v>
      </c>
      <c r="BX38" s="13">
        <f t="array" ref="BX38">INDEX(BW:BW,MIN(IF(ISNUMBER(BW38:BW234),ROW(BW38:BW234),"")))</f>
        <v>11</v>
      </c>
      <c r="BY38" s="13">
        <f>IF('Données projet'!$A$114&gt;35,BY37+BX38-CG37,IF(A38&lt;'Données projet'!$A$114,$BV$205^A38,IF(A38='Données projet'!$A$114,'Données projet'!$B$114,BY37+BX38-CG37)))</f>
        <v>163.99999999999994</v>
      </c>
      <c r="BZ38" s="14">
        <f>BY38*VLOOKUP('Données projet'!$B$12,Paramètres!$A$1:$I$89,3,0)*VLOOKUP('Données projet'!$B$12,Paramètres!$A$1:$I$89,5,0)</f>
        <v>143.27039999999997</v>
      </c>
      <c r="CA38" s="14">
        <f t="shared" si="39"/>
        <v>37.045198377171303</v>
      </c>
      <c r="CB38" s="22">
        <f t="shared" si="10"/>
        <v>314.04966717357325</v>
      </c>
      <c r="CC38" s="62">
        <f t="shared" si="11"/>
        <v>607.38300050690657</v>
      </c>
      <c r="CD38" s="62">
        <f ca="1">AVERAGE(OFFSET($CC$3,0,0,'Données projet'!$E$12+1,1))-AVERAGE(OFFSET($H$3,0,0,'Données projet'!$E$12+1,1))</f>
        <v>248.60758320902863</v>
      </c>
      <c r="CE38" s="62">
        <f t="shared" si="40"/>
        <v>222.23585883330111</v>
      </c>
      <c r="CF38" s="16">
        <f>IF(ISNA(VLOOKUP(A38,'Données projet'!$A$113:$I$133,3,0)),0,VLOOKUP(A38,'Données projet'!$A$113:$I$133,3,0))</f>
        <v>4</v>
      </c>
      <c r="CG38" s="16">
        <f>IF(ISNA(VLOOKUP(A38,'Données projet'!$A$113:$I$133,4,0)),0,VLOOKUP(A38,'Données projet'!$A$113:$I$133,4,0))</f>
        <v>33</v>
      </c>
      <c r="CH38" s="17">
        <f>IF(ISNA(VLOOKUP(A38,'Données projet'!$A$113:$I$133,5,0)),0%,VLOOKUP(A38,'Données projet'!$A$113:$I$133,5,0)*VLOOKUP('Données projet'!$B$12,Paramètres!$A$1:$I$89,7,0))</f>
        <v>8.6000000000000007E-2</v>
      </c>
      <c r="CI38" s="17">
        <f>IF(ISNA(VLOOKUP(A38,'Données projet'!$A$113:$I$133,6,0)),0%,VLOOKUP(A38,'Données projet'!$A$113:$I$133,6,0)*VLOOKUP('Données projet'!$B$12,Paramètres!$A$1:$I$89,7,0))</f>
        <v>8.6000000000000007E-2</v>
      </c>
      <c r="CJ38" s="17">
        <f>IF(ISNA(VLOOKUP(A38,'Données projet'!$A$113:$I$133,7,0)),0%,VLOOKUP(A38,'Données projet'!$A$113:$I$133,7,0))</f>
        <v>0.3</v>
      </c>
      <c r="CK38" s="23">
        <f>EXP(-LN(2)/35)*CK37+(1-EXP(-LN(2)/35))/(LN(2)/35)*CG38*CH38*VLOOKUP('Données projet'!$B$12,Paramètres!$A$1:$I$89,3,0)*0.475*44/12</f>
        <v>7.5396245415743417</v>
      </c>
      <c r="CL38" s="23">
        <f>EXP(-LN(2)/25)*CL37+(1-EXP(-LN(2)/25))/(LN(2)/25)*Calculateur!CG38*Calculateur!CI38*VLOOKUP('Données projet'!$B$12,Paramètres!$A$1:$I$89,3,0)*0.475*44/12</f>
        <v>7.2381870616265092</v>
      </c>
      <c r="CM38" s="23">
        <f>EXP(-LN(2)/2)*CM37+(1-EXP(-LN(2)/2))/(LN(2)/2)*CG38*CJ38*VLOOKUP('Données projet'!$B$12,Paramètres!$A$1:$I$89,3,0)*0.475*44/12</f>
        <v>9.8654966596444904</v>
      </c>
      <c r="CN38" s="24">
        <f t="shared" si="12"/>
        <v>24.643308262845341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15</v>
      </c>
      <c r="CT38" s="13">
        <f>IF('Données projet'!$A$140&gt;35,CT37+CS38-DB37,IF(A38&lt;'Données projet'!$A$140,$CQ$205^A38,IF(A38='Données projet'!$A$140,'Données projet'!$B$140,CT37+CS38-DB37)))</f>
        <v>253.99999999999994</v>
      </c>
      <c r="CU38" s="18">
        <f>CT38*VLOOKUP('Données projet'!$B$13,Paramètres!$A$1:$I$89,3,0)*VLOOKUP('Données projet'!$B$13,Paramètres!$A$1:$I$89,5,0)</f>
        <v>138.68399999999997</v>
      </c>
      <c r="CV38" s="14">
        <f t="shared" si="41"/>
        <v>35.995362862956796</v>
      </c>
      <c r="CW38" s="22">
        <f t="shared" si="13"/>
        <v>304.23322365298299</v>
      </c>
      <c r="CX38" s="62">
        <f t="shared" si="14"/>
        <v>597.5665569863163</v>
      </c>
      <c r="CY38" s="62">
        <f ca="1">AVERAGE(OFFSET($CX$3,0,0,'Données projet'!$E$13+1,1))-AVERAGE(OFFSET($H$3,0,0,'Données projet'!$E$13+1,1))</f>
        <v>135.44138026609272</v>
      </c>
      <c r="CZ38" s="62">
        <f t="shared" si="42"/>
        <v>254.77247578425659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43.226154446558787</v>
      </c>
      <c r="DG38" s="23">
        <f>EXP(-LN(2)/25)*DG37+(1-EXP(-LN(2)/25))/(LN(2)/25)*Calculateur!DB38*Calculateur!DD38*VLOOKUP('Données projet'!$B$13,Paramètres!$A$1:$I$89,3,0)*0.475*44/12</f>
        <v>29.367482997077847</v>
      </c>
      <c r="DH38" s="23">
        <f>EXP(-LN(2)/2)*DH37+(1-EXP(-LN(2)/2))/(LN(2)/2)*DB38*DE38*VLOOKUP('Données projet'!$B$13,Paramètres!$A$1:$I$89,3,0)*0.475*44/12</f>
        <v>1.9211682904142449</v>
      </c>
      <c r="DI38" s="24">
        <f t="shared" si="15"/>
        <v>74.514805734050881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>
        <f>VLOOKUP(A38,'Données projet'!$A$165:$I$185,2,0)</f>
        <v>213</v>
      </c>
      <c r="DM38" s="13">
        <f>VLOOKUP(A38,'Données projet'!$A$165:$I$185,9,0)</f>
        <v>11.6</v>
      </c>
      <c r="DN38" s="13">
        <f t="array" ref="DN38">INDEX(DM:DM,MIN(IF(ISNUMBER(DM38:DM234),ROW(DM38:DM234),"")))</f>
        <v>11.6</v>
      </c>
      <c r="DO38" s="13">
        <f>IF('Données projet'!$A$166&gt;35,DO37+DN38-DW37,IF(A38&lt;'Données projet'!$A$166,$DL$205^A38,IF(A38='Données projet'!$A$166,'Données projet'!$B$166,DO37+DN38-DW37)))</f>
        <v>213.00000000000003</v>
      </c>
      <c r="DP38" s="18">
        <f>DO38*VLOOKUP('Données projet'!$B$14,Paramètres!$A$1:$I$89,3,0)*VLOOKUP('Données projet'!$B$14,Paramètres!$A$1:$I$89,5,0)</f>
        <v>206.01360000000005</v>
      </c>
      <c r="DQ38" s="14">
        <f t="shared" si="43"/>
        <v>51.063487709141484</v>
      </c>
      <c r="DR38" s="22">
        <f t="shared" si="16"/>
        <v>447.74259442675481</v>
      </c>
      <c r="DS38" s="62">
        <f t="shared" si="17"/>
        <v>741.07592776008812</v>
      </c>
      <c r="DT38" s="62">
        <f ca="1">AVERAGE(OFFSET($DS$3,0,0,'Données projet'!$E$14+1,1))-AVERAGE(OFFSET($H$3,0,0,'Données projet'!$E$14+1,1))</f>
        <v>271.09447278906288</v>
      </c>
      <c r="DU38" s="62">
        <f t="shared" si="44"/>
        <v>325.1094067861851</v>
      </c>
      <c r="DV38" s="16">
        <f>IF(ISNA(VLOOKUP(A38,'Données projet'!$A$165:$I$185,3,0)),0,VLOOKUP(A38,'Données projet'!$A$165:$I$185,3,0))</f>
        <v>4</v>
      </c>
      <c r="DW38" s="16">
        <f>IF(ISNA(VLOOKUP(A38,'Données projet'!$A$165:$I$185,4,0)),0,VLOOKUP(A38,'Données projet'!$A$165:$I$185,4,0))</f>
        <v>29</v>
      </c>
      <c r="DX38" s="17">
        <f>IF(ISNA(VLOOKUP(A38,'Données projet'!$A$165:$I$185,5,0)),0%,VLOOKUP(A38,'Données projet'!$A$165:$I$185,5,0)*VLOOKUP('Données projet'!$B$14,Paramètres!$A$1:$I$89,7,0))</f>
        <v>0.215</v>
      </c>
      <c r="DY38" s="17">
        <f>IF(ISNA(VLOOKUP(A38,'Données projet'!$A$165:$I$185,6,0)),0%,VLOOKUP(A38,'Données projet'!$A$165:$I$185,6,0)*VLOOKUP('Données projet'!$B$14,Paramètres!$A$1:$I$89,7,0))</f>
        <v>4.3000000000000003E-2</v>
      </c>
      <c r="DZ38" s="17">
        <f>IF(ISNA(VLOOKUP(A38,'Données projet'!$A$165:$I$185,7,0)),0%,VLOOKUP(A38,'Données projet'!$A$165:$I$185,7,0))</f>
        <v>0.15</v>
      </c>
      <c r="EA38" s="23">
        <f>EXP(-LN(2)/35)*EA37+(1-EXP(-LN(2)/35))/(LN(2)/35)*DW38*DX38*VLOOKUP('Données projet'!$B$14,Paramètres!$A$1:$I$89,3,0)*0.475*44/12</f>
        <v>11.455316051119333</v>
      </c>
      <c r="EB38" s="23">
        <f>EXP(-LN(2)/25)*EB37+(1-EXP(-LN(2)/25))/(LN(2)/25)*Calculateur!DW38*Calculateur!DY38*VLOOKUP('Données projet'!$B$14,Paramètres!$A$1:$I$89,3,0)*0.475*44/12</f>
        <v>2.2449950848696112</v>
      </c>
      <c r="EC38" s="23">
        <f>EXP(-LN(2)/2)*EC37+(1-EXP(-LN(2)/2))/(LN(2)/2)*DW38*DZ38*VLOOKUP('Données projet'!$B$14,Paramètres!$A$1:$I$89,3,0)*0.475*44/12</f>
        <v>4.5262831141005222</v>
      </c>
      <c r="ED38" s="24">
        <f t="shared" si="18"/>
        <v>18.226594250089466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>
        <f>VLOOKUP(A38,'Données projet'!$A$191:$I$211,2,0)</f>
        <v>213</v>
      </c>
      <c r="EH38" s="13">
        <f>VLOOKUP(A38,'Données projet'!$A$191:$I$211,9,0)</f>
        <v>11.6</v>
      </c>
      <c r="EI38" s="13">
        <f t="array" ref="EI38">INDEX(EH:EH,MIN(IF(ISNUMBER(EH38:EH234),ROW(EH38:EH234),"")))</f>
        <v>11.6</v>
      </c>
      <c r="EJ38" s="13">
        <f>IF('Données projet'!$A$192&gt;35,EJ37+EI38-ER37,IF(A38&lt;'Données projet'!$A$192,$EG$205^A38,IF(A38='Données projet'!$A$192,'Données projet'!$B$192,EJ37+EI38-ER37)))</f>
        <v>213.00000000000003</v>
      </c>
      <c r="EK38" s="18">
        <f>EJ38*VLOOKUP('Données projet'!$B$15,Paramètres!$A$1:$I$89,3,0)*VLOOKUP('Données projet'!$B$15,Paramètres!$A$1:$I$89,5,0)</f>
        <v>229.2732</v>
      </c>
      <c r="EL38" s="14">
        <f t="shared" si="45"/>
        <v>56.125501442527366</v>
      </c>
      <c r="EM38" s="22">
        <f t="shared" si="19"/>
        <v>497.06940501240177</v>
      </c>
      <c r="EN38" s="62">
        <f t="shared" si="20"/>
        <v>790.40273834573509</v>
      </c>
      <c r="EO38" s="62">
        <f ca="1">AVERAGE(OFFSET($EN$3,0,0,'Données projet'!$E$15+1,1))-AVERAGE(OFFSET($H$3,0,0,'Données projet'!$E$15+1,1))</f>
        <v>306.50593475734655</v>
      </c>
      <c r="EP38" s="62">
        <f t="shared" si="46"/>
        <v>366.48643801375079</v>
      </c>
      <c r="EQ38" s="16">
        <f>IF(ISNA(VLOOKUP(A38,'Données projet'!$A$191:$I$211,3,0)),0,VLOOKUP(A38,'Données projet'!$A$191:$I$211,3,0))</f>
        <v>4</v>
      </c>
      <c r="ER38" s="16">
        <f>IF(ISNA(VLOOKUP(A38,'Données projet'!$A$191:$I$211,4,0)),0,VLOOKUP(A38,'Données projet'!$A$191:$I$211,4,0))</f>
        <v>29</v>
      </c>
      <c r="ES38" s="17">
        <f>IF(ISNA(VLOOKUP(A38,'Données projet'!$A$191:$I$211,5,0)),0%,VLOOKUP(A38,'Données projet'!$A$191:$I$211,5,0)*VLOOKUP('Données projet'!$B$15,Paramètres!$A$1:$I$89,7,0))</f>
        <v>0.215</v>
      </c>
      <c r="ET38" s="17">
        <f>IF(ISNA(VLOOKUP(A38,'Données projet'!$A$191:$I$211,6,0)),0%,VLOOKUP(A38,'Données projet'!$A$191:$I$211,6,0)*VLOOKUP('Données projet'!$B$15,Paramètres!$A$1:$I$89,7,0))</f>
        <v>4.3000000000000003E-2</v>
      </c>
      <c r="EU38" s="17">
        <f>IF(ISNA(VLOOKUP(A38,'Données projet'!$A$191:$I$211,7,0)),0%,VLOOKUP(A38,'Données projet'!$A$191:$I$211,7,0))</f>
        <v>0.15</v>
      </c>
      <c r="EV38" s="23">
        <f>EXP(-LN(2)/35)*EV37+(1-EXP(-LN(2)/35))/(LN(2)/35)*ER38*ES38*VLOOKUP('Données projet'!$B$15,Paramètres!$A$1:$I$89,3,0)*0.475*44/12</f>
        <v>12.748658185923126</v>
      </c>
      <c r="EW38" s="23">
        <f>EXP(-LN(2)/25)*EW37+(1-EXP(-LN(2)/25))/(LN(2)/25)*Calculateur!ER38*Calculateur!ET38*VLOOKUP('Données projet'!$B$15,Paramètres!$A$1:$I$89,3,0)*0.475*44/12</f>
        <v>2.498462271871019</v>
      </c>
      <c r="EX38" s="23">
        <f>EXP(-LN(2)/2)*EX37+(1-EXP(-LN(2)/2))/(LN(2)/2)*ER38*EU38*VLOOKUP('Données projet'!$B$15,Paramètres!$A$1:$I$89,3,0)*0.475*44/12</f>
        <v>5.0373150785957428</v>
      </c>
      <c r="EY38" s="24">
        <f t="shared" si="21"/>
        <v>20.284435536389889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26.395199999999999</v>
      </c>
      <c r="D39" s="12">
        <f t="shared" si="32"/>
        <v>8.3102007832524443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267.90133937949253</v>
      </c>
      <c r="H39" s="70">
        <f t="shared" si="1"/>
        <v>353.77857303083135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11.2</v>
      </c>
      <c r="N39" s="14">
        <f>IF('Données projet'!$A$36&gt;35,N38+M39-V38,IF(A39&lt;'Données projet'!$A$36,$K$205^A39,IF(A39='Données projet'!$A$36,'Données projet'!$B$36,N38+M39-V38)))</f>
        <v>130.20000000000005</v>
      </c>
      <c r="O39" s="14">
        <f>N39*VLOOKUP('Données projet'!$B$9,Paramètres!$A$1:$I$89,3,0)*VLOOKUP('Données projet'!$B$9,Paramètres!$A$1:$I$89,5,0)</f>
        <v>117.80496000000004</v>
      </c>
      <c r="P39" s="14">
        <f t="shared" si="33"/>
        <v>31.162493487829593</v>
      </c>
      <c r="Q39" s="22">
        <f t="shared" si="53"/>
        <v>259.45164815796994</v>
      </c>
      <c r="R39" s="62">
        <f t="shared" si="0"/>
        <v>552.78498149130326</v>
      </c>
      <c r="S39" s="62">
        <f ca="1">AVERAGE(OFFSET($R$3,0,0,'Données projet'!$E$9+1,1))-AVERAGE(OFFSET($H$3,0,0,'Données projet'!$E$9+1,1))</f>
        <v>312.57314929661908</v>
      </c>
      <c r="T39" s="62">
        <f t="shared" si="34"/>
        <v>190.92100876773804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4.7226452450900318</v>
      </c>
      <c r="AA39" s="23">
        <f>EXP(-LN(2)/25)*AA38+(1-EXP(-LN(2)/25))/(LN(2)/25)*Calculateur!V39*Calculateur!X39*VLOOKUP('Données projet'!$B$9,Paramètres!$A$1:$I$89,3,0)*0.475*44/12</f>
        <v>0.93338672149198876</v>
      </c>
      <c r="AB39" s="23">
        <f>EXP(-LN(2)/2)*AB38+(1-EXP(-LN(2)/2))/(LN(2)/2)*V39*Y39*VLOOKUP('Données projet'!$B$9,Paramètres!$A$1:$I$89,3,0)*0.475*44/12</f>
        <v>2.0282952081382337</v>
      </c>
      <c r="AC39" s="24">
        <f t="shared" si="3"/>
        <v>7.684327174720254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11.2</v>
      </c>
      <c r="AI39" s="14">
        <f>IF('Données projet'!$A$62&gt;35,AI38+AH39-AQ38,IF(A39&lt;'Données projet'!$A$62,$AF$205^A39,IF(A39='Données projet'!$A$62,'Données projet'!$B$62,AI38+AH39-AQ38)))</f>
        <v>130.20000000000005</v>
      </c>
      <c r="AJ39" s="14">
        <f>AI39*VLOOKUP('Données projet'!$B$10,Paramètres!$A$1:$I$89,3,0)*VLOOKUP('Données projet'!$B$10,Paramètres!$A$1:$I$89,5,0)</f>
        <v>132.02280000000007</v>
      </c>
      <c r="AK39" s="14">
        <f t="shared" si="35"/>
        <v>34.463348169992798</v>
      </c>
      <c r="AL39" s="22">
        <f t="shared" si="4"/>
        <v>289.96337472940422</v>
      </c>
      <c r="AM39" s="62">
        <f t="shared" si="5"/>
        <v>583.29670806273748</v>
      </c>
      <c r="AN39" s="62">
        <f ca="1">AVERAGE(OFFSET($AM$3,0,0,'Données projet'!$E$10+1,1))-AVERAGE(OFFSET($H$3,0,0,'Données projet'!$E$10+1,1))</f>
        <v>360.56293184044779</v>
      </c>
      <c r="AO39" s="62">
        <f t="shared" si="36"/>
        <v>219.32252911220542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5.2926196712215887</v>
      </c>
      <c r="AV39" s="23">
        <f>EXP(-LN(2)/25)*AV38+(1-EXP(-LN(2)/25))/(LN(2)/25)*Calculateur!AQ39*Calculateur!AS39*VLOOKUP('Données projet'!$B$10,Paramètres!$A$1:$I$89,3,0)*0.475*44/12</f>
        <v>1.0460368430513669</v>
      </c>
      <c r="AW39" s="23">
        <f>EXP(-LN(2)/2)*AW38+(1-EXP(-LN(2)/2))/(LN(2)/2)*AQ39*AT39*VLOOKUP('Données projet'!$B$10,Paramètres!$A$1:$I$89,3,0)*0.475*44/12</f>
        <v>2.2730894573962965</v>
      </c>
      <c r="AX39" s="23">
        <f t="shared" si="6"/>
        <v>8.6117459716692508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5.8000000000000043</v>
      </c>
      <c r="BD39" s="13">
        <f>IF('Données projet'!$A$88&gt;35,BD38+BC39-BL38,IF(A39&lt;'Données projet'!$A$88,$BA$205^A39,IF(A39='Données projet'!$A$88,'Données projet'!$B$88,BD38+BC39-BL38)))</f>
        <v>195.16000000000008</v>
      </c>
      <c r="BE39" s="14">
        <f>BD39*VLOOKUP('Données projet'!$B$11,Paramètres!$A$1:$I$89,3,0)*VLOOKUP('Données projet'!$B$11,Paramètres!$A$1:$I$89,5,0)</f>
        <v>143.09131200000004</v>
      </c>
      <c r="BF39" s="14">
        <f t="shared" si="37"/>
        <v>37.004278977508505</v>
      </c>
      <c r="BG39" s="22">
        <f t="shared" si="7"/>
        <v>313.6664876191607</v>
      </c>
      <c r="BH39" s="62">
        <f t="shared" si="8"/>
        <v>606.99982095249402</v>
      </c>
      <c r="BI39" s="62">
        <f ca="1">AVERAGE(OFFSET($BH$3,0,0,'Données projet'!$E$11+1,1))-AVERAGE(OFFSET($H$3,0,0,'Données projet'!$E$11+1,1))</f>
        <v>182.06733089745194</v>
      </c>
      <c r="BJ39" s="62">
        <f t="shared" si="38"/>
        <v>320.36755413886021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11.865118674665334</v>
      </c>
      <c r="BQ39" s="23">
        <f>EXP(-LN(2)/25)*BQ38+(1-EXP(-LN(2)/25))/(LN(2)/25)*Calculateur!BL39*Calculateur!BN39*VLOOKUP('Données projet'!$B$11,Paramètres!$A$1:$I$89,3,0)*0.475*44/12</f>
        <v>2.2899571332963982</v>
      </c>
      <c r="BR39" s="23">
        <f>EXP(-LN(2)/2)*BR38+(1-EXP(-LN(2)/2))/(LN(2)/2)*BL39*BO39*VLOOKUP('Données projet'!$B$11,Paramètres!$A$1:$I$89,3,0)*0.475*44/12</f>
        <v>1.9119454845084385</v>
      </c>
      <c r="BS39" s="24">
        <f t="shared" si="9"/>
        <v>16.067021292470173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11</v>
      </c>
      <c r="BY39" s="13">
        <f>IF('Données projet'!$A$114&gt;35,BY38+BX39-CG38,IF(A39&lt;'Données projet'!$A$114,$BV$205^A39,IF(A39='Données projet'!$A$114,'Données projet'!$B$114,BY38+BX39-CG38)))</f>
        <v>141.99999999999994</v>
      </c>
      <c r="BZ39" s="14">
        <f>BY39*VLOOKUP('Données projet'!$B$12,Paramètres!$A$1:$I$89,3,0)*VLOOKUP('Données projet'!$B$12,Paramètres!$A$1:$I$89,5,0)</f>
        <v>124.05119999999998</v>
      </c>
      <c r="CA39" s="14">
        <f t="shared" si="39"/>
        <v>32.618041559365977</v>
      </c>
      <c r="CB39" s="22">
        <f t="shared" si="10"/>
        <v>272.86559571589572</v>
      </c>
      <c r="CC39" s="62">
        <f t="shared" si="11"/>
        <v>566.19892904922904</v>
      </c>
      <c r="CD39" s="62">
        <f ca="1">AVERAGE(OFFSET($CC$3,0,0,'Données projet'!$E$12+1,1))-AVERAGE(OFFSET($H$3,0,0,'Données projet'!$E$12+1,1))</f>
        <v>248.60758320902863</v>
      </c>
      <c r="CE39" s="62">
        <f t="shared" si="40"/>
        <v>222.23585883330111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7.3917771030309538</v>
      </c>
      <c r="CL39" s="23">
        <f>EXP(-LN(2)/25)*CL38+(1-EXP(-LN(2)/25))/(LN(2)/25)*Calculateur!CG39*Calculateur!CI39*VLOOKUP('Données projet'!$B$12,Paramètres!$A$1:$I$89,3,0)*0.475*44/12</f>
        <v>7.0402584557866179</v>
      </c>
      <c r="CM39" s="23">
        <f>EXP(-LN(2)/2)*CM38+(1-EXP(-LN(2)/2))/(LN(2)/2)*CG39*CJ39*VLOOKUP('Données projet'!$B$12,Paramètres!$A$1:$I$89,3,0)*0.475*44/12</f>
        <v>6.9759595878078526</v>
      </c>
      <c r="CN39" s="24">
        <f t="shared" si="12"/>
        <v>21.407995146625424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>
        <f>VLOOKUP(A39,'Données projet'!$A$139:$I$159,2,0)</f>
        <v>269</v>
      </c>
      <c r="CR39" s="13">
        <f>VLOOKUP(A39,'Données projet'!$A$139:$I$159,9,0)</f>
        <v>15</v>
      </c>
      <c r="CS39" s="13">
        <f t="array" ref="CS39">INDEX(CR:CR,MIN(IF(ISNUMBER(CR39:CR235),ROW(CR39:CR235),"")))</f>
        <v>15</v>
      </c>
      <c r="CT39" s="13">
        <f>IF('Données projet'!$A$140&gt;35,CT38+CS39-DB38,IF(A39&lt;'Données projet'!$A$140,$CQ$205^A39,IF(A39='Données projet'!$A$140,'Données projet'!$B$140,CT38+CS39-DB38)))</f>
        <v>268.99999999999994</v>
      </c>
      <c r="CU39" s="18">
        <f>CT39*VLOOKUP('Données projet'!$B$13,Paramètres!$A$1:$I$89,3,0)*VLOOKUP('Données projet'!$B$13,Paramètres!$A$1:$I$89,5,0)</f>
        <v>146.87399999999997</v>
      </c>
      <c r="CV39" s="14">
        <f t="shared" si="41"/>
        <v>37.867322517591383</v>
      </c>
      <c r="CW39" s="22">
        <f t="shared" si="13"/>
        <v>321.75780338480496</v>
      </c>
      <c r="CX39" s="62">
        <f t="shared" si="14"/>
        <v>615.09113671813827</v>
      </c>
      <c r="CY39" s="62">
        <f ca="1">AVERAGE(OFFSET($CX$3,0,0,'Données projet'!$E$13+1,1))-AVERAGE(OFFSET($H$3,0,0,'Données projet'!$E$13+1,1))</f>
        <v>135.44138026609272</v>
      </c>
      <c r="CZ39" s="62">
        <f t="shared" si="42"/>
        <v>254.77247578425659</v>
      </c>
      <c r="DA39" s="16">
        <f>IF(ISNA(VLOOKUP(A39,'Données projet'!$A$139:$I$159,3,0)),0,VLOOKUP(A39,'Données projet'!$A$139:$I$159,3,0))</f>
        <v>6</v>
      </c>
      <c r="DB39" s="16">
        <f>IF(ISNA(VLOOKUP(A39,'Données projet'!$A$139:$I$159,4,0)),0,VLOOKUP(A39,'Données projet'!$A$139:$I$159,4,0))</f>
        <v>75</v>
      </c>
      <c r="DC39" s="17">
        <f>IF(ISNA(VLOOKUP(A39,'Données projet'!$A$139:$I$159,5,0)),0%,VLOOKUP(A39,'Données projet'!$A$139:$I$159,5,0)*VLOOKUP('Données projet'!$B$13,Paramètres!$A$1:$I$89,7,0))</f>
        <v>0.3</v>
      </c>
      <c r="DD39" s="17">
        <f>IF(ISNA(VLOOKUP(A39,'Données projet'!$A$139:$I$159,6,0)),0%,VLOOKUP(A39,'Données projet'!$A$139:$I$159,6,0)*VLOOKUP('Données projet'!$B$13,Paramètres!$A$1:$I$89,7,0))</f>
        <v>0.18</v>
      </c>
      <c r="DE39" s="17">
        <f>IF(ISNA(VLOOKUP(A39,'Données projet'!$A$139:$I$159,7,0)),0%,VLOOKUP(A39,'Données projet'!$A$139:$I$159,7,0))</f>
        <v>0.2</v>
      </c>
      <c r="DF39" s="23">
        <f>EXP(-LN(2)/35)*DF38+(1-EXP(-LN(2)/35))/(LN(2)/35)*DB39*DC39*VLOOKUP('Données projet'!$B$13,Paramètres!$A$1:$I$89,3,0)*0.475*44/12</f>
        <v>58.67536025828737</v>
      </c>
      <c r="DG39" s="23">
        <f>EXP(-LN(2)/25)*DG38+(1-EXP(-LN(2)/25))/(LN(2)/25)*Calculateur!DB39*Calculateur!DD39*VLOOKUP('Données projet'!$B$13,Paramètres!$A$1:$I$89,3,0)*0.475*44/12</f>
        <v>38.304034099759768</v>
      </c>
      <c r="DH39" s="23">
        <f>EXP(-LN(2)/2)*DH38+(1-EXP(-LN(2)/2))/(LN(2)/2)*DB39*DE39*VLOOKUP('Données projet'!$B$13,Paramètres!$A$1:$I$89,3,0)*0.475*44/12</f>
        <v>10.631453642694234</v>
      </c>
      <c r="DI39" s="24">
        <f t="shared" si="15"/>
        <v>107.61084800074137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11.4</v>
      </c>
      <c r="DO39" s="13">
        <f>IF('Données projet'!$A$166&gt;35,DO38+DN39-DW38,IF(A39&lt;'Données projet'!$A$166,$DL$205^A39,IF(A39='Données projet'!$A$166,'Données projet'!$B$166,DO38+DN39-DW38)))</f>
        <v>195.40000000000003</v>
      </c>
      <c r="DP39" s="18">
        <f>DO39*VLOOKUP('Données projet'!$B$14,Paramètres!$A$1:$I$89,3,0)*VLOOKUP('Données projet'!$B$14,Paramètres!$A$1:$I$89,5,0)</f>
        <v>188.99088000000003</v>
      </c>
      <c r="DQ39" s="14">
        <f t="shared" si="43"/>
        <v>47.316781647287755</v>
      </c>
      <c r="DR39" s="22">
        <f t="shared" si="16"/>
        <v>411.56917736902619</v>
      </c>
      <c r="DS39" s="62">
        <f t="shared" si="17"/>
        <v>704.90251070235945</v>
      </c>
      <c r="DT39" s="62">
        <f ca="1">AVERAGE(OFFSET($DS$3,0,0,'Données projet'!$E$14+1,1))-AVERAGE(OFFSET($H$3,0,0,'Données projet'!$E$14+1,1))</f>
        <v>271.09447278906288</v>
      </c>
      <c r="DU39" s="62">
        <f t="shared" si="44"/>
        <v>325.1094067861851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11.23068429040976</v>
      </c>
      <c r="EB39" s="23">
        <f>EXP(-LN(2)/25)*EB38+(1-EXP(-LN(2)/25))/(LN(2)/25)*Calculateur!DW39*Calculateur!DY39*VLOOKUP('Données projet'!$B$14,Paramètres!$A$1:$I$89,3,0)*0.475*44/12</f>
        <v>2.1836055762146911</v>
      </c>
      <c r="EC39" s="23">
        <f>EXP(-LN(2)/2)*EC38+(1-EXP(-LN(2)/2))/(LN(2)/2)*DW39*DZ39*VLOOKUP('Données projet'!$B$14,Paramètres!$A$1:$I$89,3,0)*0.475*44/12</f>
        <v>3.2005654835506432</v>
      </c>
      <c r="ED39" s="24">
        <f t="shared" si="18"/>
        <v>16.614855350175095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11.4</v>
      </c>
      <c r="EJ39" s="13">
        <f>IF('Données projet'!$A$192&gt;35,EJ38+EI39-ER38,IF(A39&lt;'Données projet'!$A$192,$EG$205^A39,IF(A39='Données projet'!$A$192,'Données projet'!$B$192,EJ38+EI39-ER38)))</f>
        <v>195.40000000000003</v>
      </c>
      <c r="EK39" s="18">
        <f>EJ39*VLOOKUP('Données projet'!$B$15,Paramètres!$A$1:$I$89,3,0)*VLOOKUP('Données projet'!$B$15,Paramètres!$A$1:$I$89,5,0)</f>
        <v>210.32856000000004</v>
      </c>
      <c r="EL39" s="14">
        <f t="shared" si="45"/>
        <v>52.007377790710024</v>
      </c>
      <c r="EM39" s="22">
        <f t="shared" si="19"/>
        <v>456.90175831881999</v>
      </c>
      <c r="EN39" s="62">
        <f t="shared" si="20"/>
        <v>750.2350916521533</v>
      </c>
      <c r="EO39" s="62">
        <f ca="1">AVERAGE(OFFSET($EN$3,0,0,'Données projet'!$E$15+1,1))-AVERAGE(OFFSET($H$3,0,0,'Données projet'!$E$15+1,1))</f>
        <v>306.50593475734655</v>
      </c>
      <c r="EP39" s="62">
        <f t="shared" si="46"/>
        <v>366.48643801375079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12.498664774810861</v>
      </c>
      <c r="EW39" s="23">
        <f>EXP(-LN(2)/25)*EW38+(1-EXP(-LN(2)/25))/(LN(2)/25)*Calculateur!ER39*Calculateur!ET39*VLOOKUP('Données projet'!$B$15,Paramètres!$A$1:$I$89,3,0)*0.475*44/12</f>
        <v>2.4301416896582855</v>
      </c>
      <c r="EX39" s="23">
        <f>EXP(-LN(2)/2)*EX38+(1-EXP(-LN(2)/2))/(LN(2)/2)*ER39*EU39*VLOOKUP('Données projet'!$B$15,Paramètres!$A$1:$I$89,3,0)*0.475*44/12</f>
        <v>3.5619196510482967</v>
      </c>
      <c r="EY39" s="24">
        <f t="shared" si="21"/>
        <v>18.490726115517443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27.128399999999999</v>
      </c>
      <c r="D40" s="12">
        <f t="shared" si="32"/>
        <v>8.5138436537878803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275.13310890643277</v>
      </c>
      <c r="H40" s="70">
        <f t="shared" si="1"/>
        <v>355.41024103034721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11.2</v>
      </c>
      <c r="N40" s="14">
        <f>IF('Données projet'!$A$36&gt;35,N39+M40-V39,IF(A40&lt;'Données projet'!$A$36,$K$205^A40,IF(A40='Données projet'!$A$36,'Données projet'!$B$36,N39+M40-V39)))</f>
        <v>141.40000000000003</v>
      </c>
      <c r="O40" s="14">
        <f>N40*VLOOKUP('Données projet'!$B$9,Paramètres!$A$1:$I$89,3,0)*VLOOKUP('Données projet'!$B$9,Paramètres!$A$1:$I$89,5,0)</f>
        <v>127.93872000000003</v>
      </c>
      <c r="P40" s="14">
        <f t="shared" si="33"/>
        <v>33.519615889545641</v>
      </c>
      <c r="Q40" s="22">
        <f t="shared" si="53"/>
        <v>281.20660167429202</v>
      </c>
      <c r="R40" s="62">
        <f t="shared" si="0"/>
        <v>574.53993500762533</v>
      </c>
      <c r="S40" s="62">
        <f ca="1">AVERAGE(OFFSET($R$3,0,0,'Données projet'!$E$9+1,1))-AVERAGE(OFFSET($H$3,0,0,'Données projet'!$E$9+1,1))</f>
        <v>312.57314929661908</v>
      </c>
      <c r="T40" s="62">
        <f t="shared" si="34"/>
        <v>190.92100876773804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4.6300370523629875</v>
      </c>
      <c r="AA40" s="23">
        <f>EXP(-LN(2)/25)*AA39+(1-EXP(-LN(2)/25))/(LN(2)/25)*Calculateur!V40*Calculateur!X40*VLOOKUP('Données projet'!$B$9,Paramètres!$A$1:$I$89,3,0)*0.475*44/12</f>
        <v>0.90786321250811597</v>
      </c>
      <c r="AB40" s="23">
        <f>EXP(-LN(2)/2)*AB39+(1-EXP(-LN(2)/2))/(LN(2)/2)*V40*Y40*VLOOKUP('Données projet'!$B$9,Paramètres!$A$1:$I$89,3,0)*0.475*44/12</f>
        <v>1.434221295922725</v>
      </c>
      <c r="AC40" s="24">
        <f t="shared" si="3"/>
        <v>6.9721215607938287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11.2</v>
      </c>
      <c r="AI40" s="14">
        <f>IF('Données projet'!$A$62&gt;35,AI39+AH40-AQ39,IF(A40&lt;'Données projet'!$A$62,$AF$205^A40,IF(A40='Données projet'!$A$62,'Données projet'!$B$62,AI39+AH40-AQ39)))</f>
        <v>141.40000000000003</v>
      </c>
      <c r="AJ40" s="14">
        <f>AI40*VLOOKUP('Données projet'!$B$10,Paramètres!$A$1:$I$89,3,0)*VLOOKUP('Données projet'!$B$10,Paramètres!$A$1:$I$89,5,0)</f>
        <v>143.37960000000004</v>
      </c>
      <c r="AK40" s="14">
        <f t="shared" si="35"/>
        <v>37.070146308317469</v>
      </c>
      <c r="AL40" s="22">
        <f t="shared" si="4"/>
        <v>314.28330815365302</v>
      </c>
      <c r="AM40" s="62">
        <f t="shared" si="5"/>
        <v>607.61664148698628</v>
      </c>
      <c r="AN40" s="62">
        <f ca="1">AVERAGE(OFFSET($AM$3,0,0,'Données projet'!$E$10+1,1))-AVERAGE(OFFSET($H$3,0,0,'Données projet'!$E$10+1,1))</f>
        <v>360.56293184044779</v>
      </c>
      <c r="AO40" s="62">
        <f t="shared" si="36"/>
        <v>219.32252911220542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5.1888346276481769</v>
      </c>
      <c r="AV40" s="23">
        <f>EXP(-LN(2)/25)*AV39+(1-EXP(-LN(2)/25))/(LN(2)/25)*Calculateur!AQ40*Calculateur!AS40*VLOOKUP('Données projet'!$B$10,Paramètres!$A$1:$I$89,3,0)*0.475*44/12</f>
        <v>1.0174329105694404</v>
      </c>
      <c r="AW40" s="23">
        <f>EXP(-LN(2)/2)*AW39+(1-EXP(-LN(2)/2))/(LN(2)/2)*AQ40*AT40*VLOOKUP('Données projet'!$B$10,Paramètres!$A$1:$I$89,3,0)*0.475*44/12</f>
        <v>1.6073169695685712</v>
      </c>
      <c r="AX40" s="23">
        <f t="shared" si="6"/>
        <v>7.8135845077861887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5.8000000000000043</v>
      </c>
      <c r="BD40" s="13">
        <f>IF('Données projet'!$A$88&gt;35,BD39+BC40-BL39,IF(A40&lt;'Données projet'!$A$88,$BA$205^A40,IF(A40='Données projet'!$A$88,'Données projet'!$B$88,BD39+BC40-BL39)))</f>
        <v>200.96000000000009</v>
      </c>
      <c r="BE40" s="14">
        <f>BD40*VLOOKUP('Données projet'!$B$11,Paramètres!$A$1:$I$89,3,0)*VLOOKUP('Données projet'!$B$11,Paramètres!$A$1:$I$89,5,0)</f>
        <v>147.34387200000006</v>
      </c>
      <c r="BF40" s="14">
        <f t="shared" si="37"/>
        <v>37.974344791943089</v>
      </c>
      <c r="BG40" s="22">
        <f t="shared" si="7"/>
        <v>322.76256091263434</v>
      </c>
      <c r="BH40" s="62">
        <f t="shared" si="8"/>
        <v>616.09589424596766</v>
      </c>
      <c r="BI40" s="62">
        <f ca="1">AVERAGE(OFFSET($BH$3,0,0,'Données projet'!$E$11+1,1))-AVERAGE(OFFSET($H$3,0,0,'Données projet'!$E$11+1,1))</f>
        <v>182.06733089745194</v>
      </c>
      <c r="BJ40" s="62">
        <f t="shared" si="38"/>
        <v>320.36755413886021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11.632450934462943</v>
      </c>
      <c r="BQ40" s="23">
        <f>EXP(-LN(2)/25)*BQ39+(1-EXP(-LN(2)/25))/(LN(2)/25)*Calculateur!BL40*Calculateur!BN40*VLOOKUP('Données projet'!$B$11,Paramètres!$A$1:$I$89,3,0)*0.475*44/12</f>
        <v>2.2273381350627961</v>
      </c>
      <c r="BR40" s="23">
        <f>EXP(-LN(2)/2)*BR39+(1-EXP(-LN(2)/2))/(LN(2)/2)*BL40*BO40*VLOOKUP('Données projet'!$B$11,Paramètres!$A$1:$I$89,3,0)*0.475*44/12</f>
        <v>1.3519496173549161</v>
      </c>
      <c r="BS40" s="24">
        <f t="shared" si="9"/>
        <v>15.211738686880656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11</v>
      </c>
      <c r="BY40" s="13">
        <f>IF('Données projet'!$A$114&gt;35,BY39+BX40-CG39,IF(A40&lt;'Données projet'!$A$114,$BV$205^A40,IF(A40='Données projet'!$A$114,'Données projet'!$B$114,BY39+BX40-CG39)))</f>
        <v>152.99999999999994</v>
      </c>
      <c r="BZ40" s="14">
        <f>BY40*VLOOKUP('Données projet'!$B$12,Paramètres!$A$1:$I$89,3,0)*VLOOKUP('Données projet'!$B$12,Paramètres!$A$1:$I$89,5,0)</f>
        <v>133.66079999999997</v>
      </c>
      <c r="CA40" s="14">
        <f t="shared" si="39"/>
        <v>34.840890682716719</v>
      </c>
      <c r="CB40" s="22">
        <f t="shared" si="10"/>
        <v>293.47377793906486</v>
      </c>
      <c r="CC40" s="62">
        <f t="shared" si="11"/>
        <v>586.80711127239817</v>
      </c>
      <c r="CD40" s="62">
        <f ca="1">AVERAGE(OFFSET($CC$3,0,0,'Données projet'!$E$12+1,1))-AVERAGE(OFFSET($H$3,0,0,'Données projet'!$E$12+1,1))</f>
        <v>248.60758320902863</v>
      </c>
      <c r="CE40" s="62">
        <f t="shared" si="40"/>
        <v>222.23585883330111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7.2468288625793686</v>
      </c>
      <c r="CL40" s="23">
        <f>EXP(-LN(2)/25)*CL39+(1-EXP(-LN(2)/25))/(LN(2)/25)*Calculateur!CG40*Calculateur!CI40*VLOOKUP('Données projet'!$B$12,Paramètres!$A$1:$I$89,3,0)*0.475*44/12</f>
        <v>6.8477422180820318</v>
      </c>
      <c r="CM40" s="23">
        <f>EXP(-LN(2)/2)*CM39+(1-EXP(-LN(2)/2))/(LN(2)/2)*CG40*CJ40*VLOOKUP('Données projet'!$B$12,Paramètres!$A$1:$I$89,3,0)*0.475*44/12</f>
        <v>4.9327483298222461</v>
      </c>
      <c r="CN40" s="24">
        <f t="shared" si="12"/>
        <v>19.027319410483646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193.99999999999994</v>
      </c>
      <c r="CU40" s="18">
        <f>CT40*VLOOKUP('Données projet'!$B$13,Paramètres!$A$1:$I$89,3,0)*VLOOKUP('Données projet'!$B$13,Paramètres!$A$1:$I$89,5,0)</f>
        <v>105.92399999999998</v>
      </c>
      <c r="CV40" s="14">
        <f t="shared" si="41"/>
        <v>28.36854701055546</v>
      </c>
      <c r="CW40" s="22">
        <f t="shared" si="13"/>
        <v>233.89285271005073</v>
      </c>
      <c r="CX40" s="62">
        <f t="shared" si="14"/>
        <v>527.22618604338402</v>
      </c>
      <c r="CY40" s="62">
        <f ca="1">AVERAGE(OFFSET($CX$3,0,0,'Données projet'!$E$13+1,1))-AVERAGE(OFFSET($H$3,0,0,'Données projet'!$E$13+1,1))</f>
        <v>135.44138026609272</v>
      </c>
      <c r="CZ40" s="62">
        <f t="shared" si="42"/>
        <v>254.77247578425659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57.524772232058297</v>
      </c>
      <c r="DG40" s="23">
        <f>EXP(-LN(2)/25)*DG39+(1-EXP(-LN(2)/25))/(LN(2)/25)*Calculateur!DB40*Calculateur!DD40*VLOOKUP('Données projet'!$B$13,Paramètres!$A$1:$I$89,3,0)*0.475*44/12</f>
        <v>37.25660827298023</v>
      </c>
      <c r="DH40" s="23">
        <f>EXP(-LN(2)/2)*DH39+(1-EXP(-LN(2)/2))/(LN(2)/2)*DB40*DE40*VLOOKUP('Données projet'!$B$13,Paramètres!$A$1:$I$89,3,0)*0.475*44/12</f>
        <v>7.5175729646195162</v>
      </c>
      <c r="DI40" s="24">
        <f t="shared" si="15"/>
        <v>102.29895346965804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11.4</v>
      </c>
      <c r="DO40" s="13">
        <f>IF('Données projet'!$A$166&gt;35,DO39+DN40-DW39,IF(A40&lt;'Données projet'!$A$166,$DL$205^A40,IF(A40='Données projet'!$A$166,'Données projet'!$B$166,DO39+DN40-DW39)))</f>
        <v>206.80000000000004</v>
      </c>
      <c r="DP40" s="18">
        <f>DO40*VLOOKUP('Données projet'!$B$14,Paramètres!$A$1:$I$89,3,0)*VLOOKUP('Données projet'!$B$14,Paramètres!$A$1:$I$89,5,0)</f>
        <v>200.01696000000007</v>
      </c>
      <c r="DQ40" s="14">
        <f t="shared" si="43"/>
        <v>49.747895001660083</v>
      </c>
      <c r="DR40" s="22">
        <f t="shared" si="16"/>
        <v>435.00712246122475</v>
      </c>
      <c r="DS40" s="62">
        <f t="shared" si="17"/>
        <v>728.34045579455801</v>
      </c>
      <c r="DT40" s="62">
        <f ca="1">AVERAGE(OFFSET($DS$3,0,0,'Données projet'!$E$14+1,1))-AVERAGE(OFFSET($H$3,0,0,'Données projet'!$E$14+1,1))</f>
        <v>271.09447278906288</v>
      </c>
      <c r="DU40" s="62">
        <f t="shared" si="44"/>
        <v>325.1094067861851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11.010457421515857</v>
      </c>
      <c r="EB40" s="23">
        <f>EXP(-LN(2)/25)*EB39+(1-EXP(-LN(2)/25))/(LN(2)/25)*Calculateur!DW40*Calculateur!DY40*VLOOKUP('Données projet'!$B$14,Paramètres!$A$1:$I$89,3,0)*0.475*44/12</f>
        <v>2.1238947669022736</v>
      </c>
      <c r="EC40" s="23">
        <f>EXP(-LN(2)/2)*EC39+(1-EXP(-LN(2)/2))/(LN(2)/2)*DW40*DZ40*VLOOKUP('Données projet'!$B$14,Paramètres!$A$1:$I$89,3,0)*0.475*44/12</f>
        <v>2.2631415570502615</v>
      </c>
      <c r="ED40" s="24">
        <f t="shared" si="18"/>
        <v>15.397493745468392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11.4</v>
      </c>
      <c r="EJ40" s="13">
        <f>IF('Données projet'!$A$192&gt;35,EJ39+EI40-ER39,IF(A40&lt;'Données projet'!$A$192,$EG$205^A40,IF(A40='Données projet'!$A$192,'Données projet'!$B$192,EJ39+EI40-ER39)))</f>
        <v>206.80000000000004</v>
      </c>
      <c r="EK40" s="18">
        <f>EJ40*VLOOKUP('Données projet'!$B$15,Paramètres!$A$1:$I$89,3,0)*VLOOKUP('Données projet'!$B$15,Paramètres!$A$1:$I$89,5,0)</f>
        <v>222.59952000000001</v>
      </c>
      <c r="EL40" s="14">
        <f t="shared" si="45"/>
        <v>54.679491706135877</v>
      </c>
      <c r="EM40" s="22">
        <f t="shared" si="19"/>
        <v>482.92761205485334</v>
      </c>
      <c r="EN40" s="62">
        <f t="shared" si="20"/>
        <v>776.26094538818666</v>
      </c>
      <c r="EO40" s="62">
        <f ca="1">AVERAGE(OFFSET($EN$3,0,0,'Données projet'!$E$15+1,1))-AVERAGE(OFFSET($H$3,0,0,'Données projet'!$E$15+1,1))</f>
        <v>306.50593475734655</v>
      </c>
      <c r="EP40" s="62">
        <f t="shared" si="46"/>
        <v>366.48643801375079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12.253573582009581</v>
      </c>
      <c r="EW40" s="23">
        <f>EXP(-LN(2)/25)*EW39+(1-EXP(-LN(2)/25))/(LN(2)/25)*Calculateur!ER40*Calculateur!ET40*VLOOKUP('Données projet'!$B$15,Paramètres!$A$1:$I$89,3,0)*0.475*44/12</f>
        <v>2.3636893373589825</v>
      </c>
      <c r="EX40" s="23">
        <f>EXP(-LN(2)/2)*EX39+(1-EXP(-LN(2)/2))/(LN(2)/2)*ER40*EU40*VLOOKUP('Données projet'!$B$15,Paramètres!$A$1:$I$89,3,0)*0.475*44/12</f>
        <v>2.5186575392978718</v>
      </c>
      <c r="EY40" s="24">
        <f t="shared" si="21"/>
        <v>17.135920458666437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27.861599999999999</v>
      </c>
      <c r="D41" s="12">
        <f t="shared" si="32"/>
        <v>8.7168467992286693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282.35994020457218</v>
      </c>
      <c r="H41" s="70">
        <f t="shared" si="1"/>
        <v>357.04079484198991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11.2</v>
      </c>
      <c r="N41" s="14">
        <f>IF('Données projet'!$A$36&gt;35,N40+M41-V40,IF(A41&lt;'Données projet'!$A$36,$K$205^A41,IF(A41='Données projet'!$A$36,'Données projet'!$B$36,N40+M41-V40)))</f>
        <v>152.60000000000002</v>
      </c>
      <c r="O41" s="14">
        <f>N41*VLOOKUP('Données projet'!$B$9,Paramètres!$A$1:$I$89,3,0)*VLOOKUP('Données projet'!$B$9,Paramètres!$A$1:$I$89,5,0)</f>
        <v>138.07248000000001</v>
      </c>
      <c r="P41" s="14">
        <f t="shared" si="33"/>
        <v>35.85508207677799</v>
      </c>
      <c r="Q41" s="22">
        <f t="shared" si="53"/>
        <v>302.9238372837217</v>
      </c>
      <c r="R41" s="62">
        <f t="shared" si="0"/>
        <v>596.25717061705495</v>
      </c>
      <c r="S41" s="62">
        <f ca="1">AVERAGE(OFFSET($R$3,0,0,'Données projet'!$E$9+1,1))-AVERAGE(OFFSET($H$3,0,0,'Données projet'!$E$9+1,1))</f>
        <v>312.57314929661908</v>
      </c>
      <c r="T41" s="62">
        <f t="shared" si="34"/>
        <v>190.92100876773804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4.5392448498098998</v>
      </c>
      <c r="AA41" s="23">
        <f>EXP(-LN(2)/25)*AA40+(1-EXP(-LN(2)/25))/(LN(2)/25)*Calculateur!V41*Calculateur!X41*VLOOKUP('Données projet'!$B$9,Paramètres!$A$1:$I$89,3,0)*0.475*44/12</f>
        <v>0.88303764521963013</v>
      </c>
      <c r="AB41" s="23">
        <f>EXP(-LN(2)/2)*AB40+(1-EXP(-LN(2)/2))/(LN(2)/2)*V41*Y41*VLOOKUP('Données projet'!$B$9,Paramètres!$A$1:$I$89,3,0)*0.475*44/12</f>
        <v>1.0141476040691171</v>
      </c>
      <c r="AC41" s="24">
        <f t="shared" si="3"/>
        <v>6.4364300990986472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11.2</v>
      </c>
      <c r="AI41" s="14">
        <f>IF('Données projet'!$A$62&gt;35,AI40+AH41-AQ40,IF(A41&lt;'Données projet'!$A$62,$AF$205^A41,IF(A41='Données projet'!$A$62,'Données projet'!$B$62,AI40+AH41-AQ40)))</f>
        <v>152.60000000000002</v>
      </c>
      <c r="AJ41" s="14">
        <f>AI41*VLOOKUP('Données projet'!$B$10,Paramètres!$A$1:$I$89,3,0)*VLOOKUP('Données projet'!$B$10,Paramètres!$A$1:$I$89,5,0)</f>
        <v>154.73640000000003</v>
      </c>
      <c r="AK41" s="14">
        <f t="shared" si="35"/>
        <v>39.652994320183701</v>
      </c>
      <c r="AL41" s="22">
        <f t="shared" si="4"/>
        <v>338.56152844098665</v>
      </c>
      <c r="AM41" s="62">
        <f t="shared" si="5"/>
        <v>631.89486177431991</v>
      </c>
      <c r="AN41" s="62">
        <f ca="1">AVERAGE(OFFSET($AM$3,0,0,'Données projet'!$E$10+1,1))-AVERAGE(OFFSET($H$3,0,0,'Données projet'!$E$10+1,1))</f>
        <v>360.56293184044779</v>
      </c>
      <c r="AO41" s="62">
        <f t="shared" si="36"/>
        <v>219.32252911220542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5.0870847454766137</v>
      </c>
      <c r="AV41" s="23">
        <f>EXP(-LN(2)/25)*AV40+(1-EXP(-LN(2)/25))/(LN(2)/25)*Calculateur!AQ41*Calculateur!AS41*VLOOKUP('Données projet'!$B$10,Paramètres!$A$1:$I$89,3,0)*0.475*44/12</f>
        <v>0.98961115412544765</v>
      </c>
      <c r="AW41" s="23">
        <f>EXP(-LN(2)/2)*AW40+(1-EXP(-LN(2)/2))/(LN(2)/2)*AQ41*AT41*VLOOKUP('Données projet'!$B$10,Paramètres!$A$1:$I$89,3,0)*0.475*44/12</f>
        <v>1.1365447286981485</v>
      </c>
      <c r="AX41" s="23">
        <f t="shared" si="6"/>
        <v>7.21324062830021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5.8000000000000043</v>
      </c>
      <c r="BD41" s="13">
        <f>IF('Données projet'!$A$88&gt;35,BD40+BC41-BL40,IF(A41&lt;'Données projet'!$A$88,$BA$205^A41,IF(A41='Données projet'!$A$88,'Données projet'!$B$88,BD40+BC41-BL40)))</f>
        <v>206.7600000000001</v>
      </c>
      <c r="BE41" s="14">
        <f>BD41*VLOOKUP('Données projet'!$B$11,Paramètres!$A$1:$I$89,3,0)*VLOOKUP('Données projet'!$B$11,Paramètres!$A$1:$I$89,5,0)</f>
        <v>151.59643200000008</v>
      </c>
      <c r="BF41" s="14">
        <f t="shared" si="37"/>
        <v>38.941156685649659</v>
      </c>
      <c r="BG41" s="22">
        <f t="shared" si="7"/>
        <v>331.85296696083986</v>
      </c>
      <c r="BH41" s="62">
        <f t="shared" si="8"/>
        <v>625.18630029417318</v>
      </c>
      <c r="BI41" s="62">
        <f ca="1">AVERAGE(OFFSET($BH$3,0,0,'Données projet'!$E$11+1,1))-AVERAGE(OFFSET($H$3,0,0,'Données projet'!$E$11+1,1))</f>
        <v>182.06733089745194</v>
      </c>
      <c r="BJ41" s="62">
        <f t="shared" si="38"/>
        <v>320.36755413886021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11.404345666732612</v>
      </c>
      <c r="BQ41" s="23">
        <f>EXP(-LN(2)/25)*BQ40+(1-EXP(-LN(2)/25))/(LN(2)/25)*Calculateur!BL41*Calculateur!BN41*VLOOKUP('Données projet'!$B$11,Paramètres!$A$1:$I$89,3,0)*0.475*44/12</f>
        <v>2.166431456628882</v>
      </c>
      <c r="BR41" s="23">
        <f>EXP(-LN(2)/2)*BR40+(1-EXP(-LN(2)/2))/(LN(2)/2)*BL41*BO41*VLOOKUP('Données projet'!$B$11,Paramètres!$A$1:$I$89,3,0)*0.475*44/12</f>
        <v>0.95597274225421935</v>
      </c>
      <c r="BS41" s="24">
        <f t="shared" si="9"/>
        <v>14.526749865615713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11</v>
      </c>
      <c r="BY41" s="13">
        <f>IF('Données projet'!$A$114&gt;35,BY40+BX41-CG40,IF(A41&lt;'Données projet'!$A$114,$BV$205^A41,IF(A41='Données projet'!$A$114,'Données projet'!$B$114,BY40+BX41-CG40)))</f>
        <v>163.99999999999994</v>
      </c>
      <c r="BZ41" s="14">
        <f>BY41*VLOOKUP('Données projet'!$B$12,Paramètres!$A$1:$I$89,3,0)*VLOOKUP('Données projet'!$B$12,Paramètres!$A$1:$I$89,5,0)</f>
        <v>143.27039999999997</v>
      </c>
      <c r="CA41" s="14">
        <f t="shared" si="39"/>
        <v>37.045198377171303</v>
      </c>
      <c r="CB41" s="22">
        <f t="shared" si="10"/>
        <v>314.04966717357325</v>
      </c>
      <c r="CC41" s="62">
        <f t="shared" si="11"/>
        <v>607.38300050690657</v>
      </c>
      <c r="CD41" s="62">
        <f ca="1">AVERAGE(OFFSET($CC$3,0,0,'Données projet'!$E$12+1,1))-AVERAGE(OFFSET($H$3,0,0,'Données projet'!$E$12+1,1))</f>
        <v>248.60758320902863</v>
      </c>
      <c r="CE41" s="62">
        <f t="shared" si="40"/>
        <v>222.23585883330111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7.1047229687133422</v>
      </c>
      <c r="CL41" s="23">
        <f>EXP(-LN(2)/25)*CL40+(1-EXP(-LN(2)/25))/(LN(2)/25)*Calculateur!CG41*Calculateur!CI41*VLOOKUP('Données projet'!$B$12,Paramètres!$A$1:$I$89,3,0)*0.475*44/12</f>
        <v>6.660490347021466</v>
      </c>
      <c r="CM41" s="23">
        <f>EXP(-LN(2)/2)*CM40+(1-EXP(-LN(2)/2))/(LN(2)/2)*CG41*CJ41*VLOOKUP('Données projet'!$B$12,Paramètres!$A$1:$I$89,3,0)*0.475*44/12</f>
        <v>3.4879797939039268</v>
      </c>
      <c r="CN41" s="24">
        <f t="shared" si="12"/>
        <v>17.253193109638737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193.99999999999994</v>
      </c>
      <c r="CU41" s="18">
        <f>CT41*VLOOKUP('Données projet'!$B$13,Paramètres!$A$1:$I$89,3,0)*VLOOKUP('Données projet'!$B$13,Paramètres!$A$1:$I$89,5,0)</f>
        <v>105.92399999999998</v>
      </c>
      <c r="CV41" s="14">
        <f t="shared" si="41"/>
        <v>28.36854701055546</v>
      </c>
      <c r="CW41" s="22">
        <f t="shared" si="13"/>
        <v>233.89285271005073</v>
      </c>
      <c r="CX41" s="62">
        <f t="shared" si="14"/>
        <v>527.22618604338402</v>
      </c>
      <c r="CY41" s="62">
        <f ca="1">AVERAGE(OFFSET($CX$3,0,0,'Données projet'!$E$13+1,1))-AVERAGE(OFFSET($H$3,0,0,'Données projet'!$E$13+1,1))</f>
        <v>135.44138026609272</v>
      </c>
      <c r="CZ41" s="62">
        <f t="shared" si="42"/>
        <v>254.77247578425659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56.396746535234179</v>
      </c>
      <c r="DG41" s="23">
        <f>EXP(-LN(2)/25)*DG40+(1-EXP(-LN(2)/25))/(LN(2)/25)*Calculateur!DB41*Calculateur!DD41*VLOOKUP('Données projet'!$B$13,Paramètres!$A$1:$I$89,3,0)*0.475*44/12</f>
        <v>36.23782436051571</v>
      </c>
      <c r="DH41" s="23">
        <f>EXP(-LN(2)/2)*DH40+(1-EXP(-LN(2)/2))/(LN(2)/2)*DB41*DE41*VLOOKUP('Données projet'!$B$13,Paramètres!$A$1:$I$89,3,0)*0.475*44/12</f>
        <v>5.315726821347118</v>
      </c>
      <c r="DI41" s="24">
        <f t="shared" si="15"/>
        <v>97.950297717097001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11.4</v>
      </c>
      <c r="DO41" s="13">
        <f>IF('Données projet'!$A$166&gt;35,DO40+DN41-DW40,IF(A41&lt;'Données projet'!$A$166,$DL$205^A41,IF(A41='Données projet'!$A$166,'Données projet'!$B$166,DO40+DN41-DW40)))</f>
        <v>218.20000000000005</v>
      </c>
      <c r="DP41" s="18">
        <f>DO41*VLOOKUP('Données projet'!$B$14,Paramètres!$A$1:$I$89,3,0)*VLOOKUP('Données projet'!$B$14,Paramètres!$A$1:$I$89,5,0)</f>
        <v>211.04304000000005</v>
      </c>
      <c r="DQ41" s="14">
        <f t="shared" si="43"/>
        <v>52.163450414157083</v>
      </c>
      <c r="DR41" s="22">
        <f t="shared" si="16"/>
        <v>458.41797080465699</v>
      </c>
      <c r="DS41" s="62">
        <f t="shared" si="17"/>
        <v>751.75130413799025</v>
      </c>
      <c r="DT41" s="62">
        <f ca="1">AVERAGE(OFFSET($DS$3,0,0,'Données projet'!$E$14+1,1))-AVERAGE(OFFSET($H$3,0,0,'Données projet'!$E$14+1,1))</f>
        <v>271.09447278906288</v>
      </c>
      <c r="DU41" s="62">
        <f t="shared" si="44"/>
        <v>325.1094067861851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10.794549067195836</v>
      </c>
      <c r="EB41" s="23">
        <f>EXP(-LN(2)/25)*EB40+(1-EXP(-LN(2)/25))/(LN(2)/25)*Calculateur!DW41*Calculateur!DY41*VLOOKUP('Données projet'!$B$14,Paramètres!$A$1:$I$89,3,0)*0.475*44/12</f>
        <v>2.0658167528105595</v>
      </c>
      <c r="EC41" s="23">
        <f>EXP(-LN(2)/2)*EC40+(1-EXP(-LN(2)/2))/(LN(2)/2)*DW41*DZ41*VLOOKUP('Données projet'!$B$14,Paramètres!$A$1:$I$89,3,0)*0.475*44/12</f>
        <v>1.6002827417753218</v>
      </c>
      <c r="ED41" s="24">
        <f t="shared" si="18"/>
        <v>14.460648561781719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11.4</v>
      </c>
      <c r="EJ41" s="13">
        <f>IF('Données projet'!$A$192&gt;35,EJ40+EI41-ER40,IF(A41&lt;'Données projet'!$A$192,$EG$205^A41,IF(A41='Données projet'!$A$192,'Données projet'!$B$192,EJ40+EI41-ER40)))</f>
        <v>218.20000000000005</v>
      </c>
      <c r="EK41" s="18">
        <f>EJ41*VLOOKUP('Données projet'!$B$15,Paramètres!$A$1:$I$89,3,0)*VLOOKUP('Données projet'!$B$15,Paramètres!$A$1:$I$89,5,0)</f>
        <v>234.87048000000004</v>
      </c>
      <c r="EL41" s="14">
        <f t="shared" si="45"/>
        <v>57.334505393427243</v>
      </c>
      <c r="EM41" s="22">
        <f t="shared" si="19"/>
        <v>508.9236828935525</v>
      </c>
      <c r="EN41" s="62">
        <f t="shared" si="20"/>
        <v>802.25701622688575</v>
      </c>
      <c r="EO41" s="62">
        <f ca="1">AVERAGE(OFFSET($EN$3,0,0,'Données projet'!$E$15+1,1))-AVERAGE(OFFSET($H$3,0,0,'Données projet'!$E$15+1,1))</f>
        <v>306.50593475734655</v>
      </c>
      <c r="EP41" s="62">
        <f t="shared" si="46"/>
        <v>366.48643801375079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12.013288478008269</v>
      </c>
      <c r="EW41" s="23">
        <f>EXP(-LN(2)/25)*EW40+(1-EXP(-LN(2)/25))/(LN(2)/25)*Calculateur!ER41*Calculateur!ET41*VLOOKUP('Données projet'!$B$15,Paramètres!$A$1:$I$89,3,0)*0.475*44/12</f>
        <v>2.2990541281278811</v>
      </c>
      <c r="EX41" s="23">
        <f>EXP(-LN(2)/2)*EX40+(1-EXP(-LN(2)/2))/(LN(2)/2)*ER41*EU41*VLOOKUP('Données projet'!$B$15,Paramètres!$A$1:$I$89,3,0)*0.475*44/12</f>
        <v>1.7809598255241486</v>
      </c>
      <c r="EY41" s="24">
        <f t="shared" si="21"/>
        <v>16.093302431660298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28.594799999999999</v>
      </c>
      <c r="D42" s="12">
        <f t="shared" si="32"/>
        <v>8.9192289896543855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289.58197816575318</v>
      </c>
      <c r="H42" s="70">
        <f t="shared" si="1"/>
        <v>358.67026715698137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11.2</v>
      </c>
      <c r="N42" s="14">
        <f>IF('Données projet'!$A$36&gt;35,N41+M42-V41,IF(A42&lt;'Données projet'!$A$36,$K$205^A42,IF(A42='Données projet'!$A$36,'Données projet'!$B$36,N41+M42-V41)))</f>
        <v>163.80000000000001</v>
      </c>
      <c r="O42" s="14">
        <f>N42*VLOOKUP('Données projet'!$B$9,Paramètres!$A$1:$I$89,3,0)*VLOOKUP('Données projet'!$B$9,Paramètres!$A$1:$I$89,5,0)</f>
        <v>148.20624000000001</v>
      </c>
      <c r="P42" s="14">
        <f t="shared" si="33"/>
        <v>38.170662245893794</v>
      </c>
      <c r="Q42" s="22">
        <f t="shared" si="53"/>
        <v>324.60643807826506</v>
      </c>
      <c r="R42" s="62">
        <f t="shared" si="0"/>
        <v>617.93977141159837</v>
      </c>
      <c r="S42" s="62">
        <f ca="1">AVERAGE(OFFSET($R$3,0,0,'Données projet'!$E$9+1,1))-AVERAGE(OFFSET($H$3,0,0,'Données projet'!$E$9+1,1))</f>
        <v>312.57314929661908</v>
      </c>
      <c r="T42" s="62">
        <f t="shared" si="34"/>
        <v>190.92100876773804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4.4502330269711035</v>
      </c>
      <c r="AA42" s="23">
        <f>EXP(-LN(2)/25)*AA41+(1-EXP(-LN(2)/25))/(LN(2)/25)*Calculateur!V42*Calculateur!X42*VLOOKUP('Données projet'!$B$9,Paramètres!$A$1:$I$89,3,0)*0.475*44/12</f>
        <v>0.85889093437416775</v>
      </c>
      <c r="AB42" s="23">
        <f>EXP(-LN(2)/2)*AB41+(1-EXP(-LN(2)/2))/(LN(2)/2)*V42*Y42*VLOOKUP('Données projet'!$B$9,Paramètres!$A$1:$I$89,3,0)*0.475*44/12</f>
        <v>0.7171106479613627</v>
      </c>
      <c r="AC42" s="24">
        <f t="shared" si="3"/>
        <v>6.0262346093066341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11.2</v>
      </c>
      <c r="AI42" s="14">
        <f>IF('Données projet'!$A$62&gt;35,AI41+AH42-AQ41,IF(A42&lt;'Données projet'!$A$62,$AF$205^A42,IF(A42='Données projet'!$A$62,'Données projet'!$B$62,AI41+AH42-AQ41)))</f>
        <v>163.80000000000001</v>
      </c>
      <c r="AJ42" s="14">
        <f>AI42*VLOOKUP('Données projet'!$B$10,Paramètres!$A$1:$I$89,3,0)*VLOOKUP('Données projet'!$B$10,Paramètres!$A$1:$I$89,5,0)</f>
        <v>166.09320000000002</v>
      </c>
      <c r="AK42" s="14">
        <f t="shared" si="35"/>
        <v>42.213849908165905</v>
      </c>
      <c r="AL42" s="22">
        <f t="shared" si="4"/>
        <v>362.80144525672227</v>
      </c>
      <c r="AM42" s="62">
        <f t="shared" si="5"/>
        <v>656.13477859005559</v>
      </c>
      <c r="AN42" s="62">
        <f ca="1">AVERAGE(OFFSET($AM$3,0,0,'Données projet'!$E$10+1,1))-AVERAGE(OFFSET($H$3,0,0,'Données projet'!$E$10+1,1))</f>
        <v>360.56293184044779</v>
      </c>
      <c r="AO42" s="62">
        <f t="shared" si="36"/>
        <v>219.32252911220542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4.9873301164331343</v>
      </c>
      <c r="AV42" s="23">
        <f>EXP(-LN(2)/25)*AV41+(1-EXP(-LN(2)/25))/(LN(2)/25)*Calculateur!AQ42*Calculateur!AS42*VLOOKUP('Données projet'!$B$10,Paramètres!$A$1:$I$89,3,0)*0.475*44/12</f>
        <v>0.96255018507449852</v>
      </c>
      <c r="AW42" s="23">
        <f>EXP(-LN(2)/2)*AW41+(1-EXP(-LN(2)/2))/(LN(2)/2)*AQ42*AT42*VLOOKUP('Données projet'!$B$10,Paramètres!$A$1:$I$89,3,0)*0.475*44/12</f>
        <v>0.80365848478428581</v>
      </c>
      <c r="AX42" s="23">
        <f t="shared" si="6"/>
        <v>6.7535387862919185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5.8000000000000043</v>
      </c>
      <c r="BD42" s="13">
        <f>IF('Données projet'!$A$88&gt;35,BD41+BC42-BL41,IF(A42&lt;'Données projet'!$A$88,$BA$205^A42,IF(A42='Données projet'!$A$88,'Données projet'!$B$88,BD41+BC42-BL41)))</f>
        <v>212.56000000000012</v>
      </c>
      <c r="BE42" s="14">
        <f>BD42*VLOOKUP('Données projet'!$B$11,Paramètres!$A$1:$I$89,3,0)*VLOOKUP('Données projet'!$B$11,Paramètres!$A$1:$I$89,5,0)</f>
        <v>155.8489920000001</v>
      </c>
      <c r="BF42" s="14">
        <f t="shared" si="37"/>
        <v>39.904816422783867</v>
      </c>
      <c r="BG42" s="22">
        <f t="shared" si="7"/>
        <v>340.93788300301532</v>
      </c>
      <c r="BH42" s="62">
        <f t="shared" si="8"/>
        <v>634.27121633634863</v>
      </c>
      <c r="BI42" s="62">
        <f ca="1">AVERAGE(OFFSET($BH$3,0,0,'Données projet'!$E$11+1,1))-AVERAGE(OFFSET($H$3,0,0,'Données projet'!$E$11+1,1))</f>
        <v>182.06733089745194</v>
      </c>
      <c r="BJ42" s="62">
        <f t="shared" si="38"/>
        <v>320.36755413886021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11.180713404171998</v>
      </c>
      <c r="BQ42" s="23">
        <f>EXP(-LN(2)/25)*BQ41+(1-EXP(-LN(2)/25))/(LN(2)/25)*Calculateur!BL42*Calculateur!BN42*VLOOKUP('Données projet'!$B$11,Paramètres!$A$1:$I$89,3,0)*0.475*44/12</f>
        <v>2.1071902745196862</v>
      </c>
      <c r="BR42" s="23">
        <f>EXP(-LN(2)/2)*BR41+(1-EXP(-LN(2)/2))/(LN(2)/2)*BL42*BO42*VLOOKUP('Données projet'!$B$11,Paramètres!$A$1:$I$89,3,0)*0.475*44/12</f>
        <v>0.67597480867745807</v>
      </c>
      <c r="BS42" s="24">
        <f t="shared" si="9"/>
        <v>13.963878487369142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11</v>
      </c>
      <c r="BY42" s="13">
        <f>IF('Données projet'!$A$114&gt;35,BY41+BX42-CG41,IF(A42&lt;'Données projet'!$A$114,$BV$205^A42,IF(A42='Données projet'!$A$114,'Données projet'!$B$114,BY41+BX42-CG41)))</f>
        <v>174.99999999999994</v>
      </c>
      <c r="BZ42" s="14">
        <f>BY42*VLOOKUP('Données projet'!$B$12,Paramètres!$A$1:$I$89,3,0)*VLOOKUP('Données projet'!$B$12,Paramètres!$A$1:$I$89,5,0)</f>
        <v>152.87999999999997</v>
      </c>
      <c r="CA42" s="14">
        <f t="shared" si="39"/>
        <v>39.232349774697852</v>
      </c>
      <c r="CB42" s="22">
        <f t="shared" si="10"/>
        <v>334.59567585759868</v>
      </c>
      <c r="CC42" s="62">
        <f t="shared" si="11"/>
        <v>627.92900919093199</v>
      </c>
      <c r="CD42" s="62">
        <f ca="1">AVERAGE(OFFSET($CC$3,0,0,'Données projet'!$E$12+1,1))-AVERAGE(OFFSET($H$3,0,0,'Données projet'!$E$12+1,1))</f>
        <v>248.60758320902863</v>
      </c>
      <c r="CE42" s="62">
        <f t="shared" si="40"/>
        <v>222.23585883330111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6.9654036847499912</v>
      </c>
      <c r="CL42" s="23">
        <f>EXP(-LN(2)/25)*CL41+(1-EXP(-LN(2)/25))/(LN(2)/25)*Calculateur!CG42*Calculateur!CI42*VLOOKUP('Données projet'!$B$12,Paramètres!$A$1:$I$89,3,0)*0.475*44/12</f>
        <v>6.4783588882221999</v>
      </c>
      <c r="CM42" s="23">
        <f>EXP(-LN(2)/2)*CM41+(1-EXP(-LN(2)/2))/(LN(2)/2)*CG42*CJ42*VLOOKUP('Données projet'!$B$12,Paramètres!$A$1:$I$89,3,0)*0.475*44/12</f>
        <v>2.466374164911123</v>
      </c>
      <c r="CN42" s="24">
        <f t="shared" si="12"/>
        <v>15.910136737883313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193.99999999999994</v>
      </c>
      <c r="CU42" s="18">
        <f>CT42*VLOOKUP('Données projet'!$B$13,Paramètres!$A$1:$I$89,3,0)*VLOOKUP('Données projet'!$B$13,Paramètres!$A$1:$I$89,5,0)</f>
        <v>105.92399999999998</v>
      </c>
      <c r="CV42" s="14">
        <f t="shared" si="41"/>
        <v>28.36854701055546</v>
      </c>
      <c r="CW42" s="22">
        <f t="shared" si="13"/>
        <v>233.89285271005073</v>
      </c>
      <c r="CX42" s="62">
        <f t="shared" si="14"/>
        <v>527.22618604338402</v>
      </c>
      <c r="CY42" s="62">
        <f ca="1">AVERAGE(OFFSET($CX$3,0,0,'Données projet'!$E$13+1,1))-AVERAGE(OFFSET($H$3,0,0,'Données projet'!$E$13+1,1))</f>
        <v>135.44138026609272</v>
      </c>
      <c r="CZ42" s="62">
        <f t="shared" si="42"/>
        <v>254.77247578425659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55.290840734297042</v>
      </c>
      <c r="DG42" s="23">
        <f>EXP(-LN(2)/25)*DG41+(1-EXP(-LN(2)/25))/(LN(2)/25)*Calculateur!DB42*Calculateur!DD42*VLOOKUP('Données projet'!$B$13,Paramètres!$A$1:$I$89,3,0)*0.475*44/12</f>
        <v>35.246899147713044</v>
      </c>
      <c r="DH42" s="23">
        <f>EXP(-LN(2)/2)*DH41+(1-EXP(-LN(2)/2))/(LN(2)/2)*DB42*DE42*VLOOKUP('Données projet'!$B$13,Paramètres!$A$1:$I$89,3,0)*0.475*44/12</f>
        <v>3.7587864823097585</v>
      </c>
      <c r="DI42" s="24">
        <f t="shared" si="15"/>
        <v>94.296526364319845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11.4</v>
      </c>
      <c r="DO42" s="13">
        <f>IF('Données projet'!$A$166&gt;35,DO41+DN42-DW41,IF(A42&lt;'Données projet'!$A$166,$DL$205^A42,IF(A42='Données projet'!$A$166,'Données projet'!$B$166,DO41+DN42-DW41)))</f>
        <v>229.60000000000005</v>
      </c>
      <c r="DP42" s="18">
        <f>DO42*VLOOKUP('Données projet'!$B$14,Paramètres!$A$1:$I$89,3,0)*VLOOKUP('Données projet'!$B$14,Paramètres!$A$1:$I$89,5,0)</f>
        <v>222.06912000000005</v>
      </c>
      <c r="DQ42" s="14">
        <f t="shared" si="43"/>
        <v>54.564353424529749</v>
      </c>
      <c r="DR42" s="22">
        <f t="shared" si="16"/>
        <v>481.80329954772282</v>
      </c>
      <c r="DS42" s="62">
        <f t="shared" si="17"/>
        <v>775.13663288105613</v>
      </c>
      <c r="DT42" s="62">
        <f ca="1">AVERAGE(OFFSET($DS$3,0,0,'Données projet'!$E$14+1,1))-AVERAGE(OFFSET($H$3,0,0,'Données projet'!$E$14+1,1))</f>
        <v>271.09447278906288</v>
      </c>
      <c r="DU42" s="62">
        <f t="shared" si="44"/>
        <v>325.1094067861851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10.582874544012938</v>
      </c>
      <c r="EB42" s="23">
        <f>EXP(-LN(2)/25)*EB41+(1-EXP(-LN(2)/25))/(LN(2)/25)*Calculateur!DW42*Calculateur!DY42*VLOOKUP('Données projet'!$B$14,Paramètres!$A$1:$I$89,3,0)*0.475*44/12</f>
        <v>2.0093268850683734</v>
      </c>
      <c r="EC42" s="23">
        <f>EXP(-LN(2)/2)*EC41+(1-EXP(-LN(2)/2))/(LN(2)/2)*DW42*DZ42*VLOOKUP('Données projet'!$B$14,Paramètres!$A$1:$I$89,3,0)*0.475*44/12</f>
        <v>1.131570778525131</v>
      </c>
      <c r="ED42" s="24">
        <f t="shared" si="18"/>
        <v>13.723772207606443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11.4</v>
      </c>
      <c r="EJ42" s="13">
        <f>IF('Données projet'!$A$192&gt;35,EJ41+EI42-ER41,IF(A42&lt;'Données projet'!$A$192,$EG$205^A42,IF(A42='Données projet'!$A$192,'Données projet'!$B$192,EJ41+EI42-ER41)))</f>
        <v>229.60000000000005</v>
      </c>
      <c r="EK42" s="18">
        <f>EJ42*VLOOKUP('Données projet'!$B$15,Paramètres!$A$1:$I$89,3,0)*VLOOKUP('Données projet'!$B$15,Paramètres!$A$1:$I$89,5,0)</f>
        <v>247.14144000000007</v>
      </c>
      <c r="EL42" s="14">
        <f t="shared" si="45"/>
        <v>59.97341416009025</v>
      </c>
      <c r="EM42" s="22">
        <f t="shared" si="19"/>
        <v>534.89170432882395</v>
      </c>
      <c r="EN42" s="62">
        <f t="shared" si="20"/>
        <v>828.22503766215732</v>
      </c>
      <c r="EO42" s="62">
        <f ca="1">AVERAGE(OFFSET($EN$3,0,0,'Données projet'!$E$15+1,1))-AVERAGE(OFFSET($H$3,0,0,'Données projet'!$E$15+1,1))</f>
        <v>306.50593475734655</v>
      </c>
      <c r="EP42" s="62">
        <f t="shared" si="46"/>
        <v>366.48643801375079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11.777715218336979</v>
      </c>
      <c r="EW42" s="23">
        <f>EXP(-LN(2)/25)*EW41+(1-EXP(-LN(2)/25))/(LN(2)/25)*Calculateur!ER42*Calculateur!ET42*VLOOKUP('Données projet'!$B$15,Paramètres!$A$1:$I$89,3,0)*0.475*44/12</f>
        <v>2.2361863720922224</v>
      </c>
      <c r="EX42" s="23">
        <f>EXP(-LN(2)/2)*EX41+(1-EXP(-LN(2)/2))/(LN(2)/2)*ER42*EU42*VLOOKUP('Données projet'!$B$15,Paramètres!$A$1:$I$89,3,0)*0.475*44/12</f>
        <v>1.2593287696489361</v>
      </c>
      <c r="EY42" s="24">
        <f t="shared" si="21"/>
        <v>15.273230360078138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29.327999999999999</v>
      </c>
      <c r="D43" s="12">
        <f t="shared" si="32"/>
        <v>9.1210079777371842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296.79935982814669</v>
      </c>
      <c r="H43" s="70">
        <f t="shared" si="1"/>
        <v>360.29868889455889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175</v>
      </c>
      <c r="L43" s="13">
        <f>VLOOKUP(A43,'Données projet'!$A$35:$I$55,9,0)</f>
        <v>11.2</v>
      </c>
      <c r="M43" s="13">
        <f t="array" ref="M43">INDEX(L:L,MIN(IF(ISNUMBER(L43:L239),ROW(L43:L239),"")))</f>
        <v>11.2</v>
      </c>
      <c r="N43" s="14">
        <f>IF('Données projet'!$A$36&gt;35,N42+M43-V42,IF(A43&lt;'Données projet'!$A$36,$K$205^A43,IF(A43='Données projet'!$A$36,'Données projet'!$B$36,N42+M43-V42)))</f>
        <v>175</v>
      </c>
      <c r="O43" s="14">
        <f>N43*VLOOKUP('Données projet'!$B$9,Paramètres!$A$1:$I$89,3,0)*VLOOKUP('Données projet'!$B$9,Paramètres!$A$1:$I$89,5,0)</f>
        <v>158.34</v>
      </c>
      <c r="P43" s="14">
        <f t="shared" si="33"/>
        <v>40.467870812652819</v>
      </c>
      <c r="Q43" s="22">
        <f t="shared" si="53"/>
        <v>346.25704166537031</v>
      </c>
      <c r="R43" s="62">
        <f t="shared" si="0"/>
        <v>639.59037499870362</v>
      </c>
      <c r="S43" s="62">
        <f ca="1">AVERAGE(OFFSET($R$3,0,0,'Données projet'!$E$9+1,1))-AVERAGE(OFFSET($H$3,0,0,'Données projet'!$E$9+1,1))</f>
        <v>312.57314929661908</v>
      </c>
      <c r="T43" s="62">
        <f t="shared" si="34"/>
        <v>190.92100876773804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28</v>
      </c>
      <c r="W43" s="17">
        <f>IF(ISNA(VLOOKUP(A43,'Données projet'!$A$35:$I$55,5,0)),0%,VLOOKUP(A43,'Données projet'!$A$35:$I$55,5,0)*VLOOKUP('Données projet'!$B$9,Paramètres!$A$1:$I$89,7,0))</f>
        <v>0.17200000000000001</v>
      </c>
      <c r="X43" s="17">
        <f>IF(ISNA(VLOOKUP(A43,'Données projet'!$A$35:$I$55,6,0)),0%,VLOOKUP(A43,'Données projet'!$A$35:$I$55,6,0)*VLOOKUP('Données projet'!$B$9,Paramètres!$A$1:$I$89,7,0))</f>
        <v>3.44E-2</v>
      </c>
      <c r="Y43" s="17">
        <f>IF(ISNA(VLOOKUP(A43,'Données projet'!$A$35:$I$55,7,0)),0%,VLOOKUP(A43,'Données projet'!$A$35:$I$55,7,0))</f>
        <v>0.12</v>
      </c>
      <c r="Z43" s="23">
        <f>EXP(-LN(2)/35)*Z42+(1-EXP(-LN(2)/35))/(LN(2)/35)*V43*W43*VLOOKUP('Données projet'!$B$9,Paramètres!$A$1:$I$89,3,0)*0.475*44/12</f>
        <v>9.1800724224035299</v>
      </c>
      <c r="AA43" s="23">
        <f>EXP(-LN(2)/25)*AA42+(1-EXP(-LN(2)/25))/(LN(2)/25)*Calculateur!V43*Calculateur!X43*VLOOKUP('Données projet'!$B$9,Paramètres!$A$1:$I$89,3,0)*0.475*44/12</f>
        <v>1.7950323105896837</v>
      </c>
      <c r="AB43" s="23">
        <f>EXP(-LN(2)/2)*AB42+(1-EXP(-LN(2)/2))/(LN(2)/2)*V43*Y43*VLOOKUP('Données projet'!$B$9,Paramètres!$A$1:$I$89,3,0)*0.475*44/12</f>
        <v>3.3755163938800079</v>
      </c>
      <c r="AC43" s="24">
        <f t="shared" si="3"/>
        <v>14.350621126873222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175</v>
      </c>
      <c r="AG43" s="13">
        <f>VLOOKUP(A43,'Données projet'!$A$61:$I$81,9,0)</f>
        <v>11.2</v>
      </c>
      <c r="AH43" s="13">
        <f t="array" ref="AH43">INDEX(AG:AG,MIN(IF(ISNUMBER(AG43:AG239),ROW(AG43:AG239),"")))</f>
        <v>11.2</v>
      </c>
      <c r="AI43" s="14">
        <f>IF('Données projet'!$A$62&gt;35,AI42+AH43-AQ42,IF(A43&lt;'Données projet'!$A$62,$AF$205^A43,IF(A43='Données projet'!$A$62,'Données projet'!$B$62,AI42+AH43-AQ42)))</f>
        <v>175</v>
      </c>
      <c r="AJ43" s="14">
        <f>AI43*VLOOKUP('Données projet'!$B$10,Paramètres!$A$1:$I$89,3,0)*VLOOKUP('Données projet'!$B$10,Paramètres!$A$1:$I$89,5,0)</f>
        <v>177.45000000000002</v>
      </c>
      <c r="AK43" s="14">
        <f t="shared" si="35"/>
        <v>44.754387900936791</v>
      </c>
      <c r="AL43" s="22">
        <f t="shared" si="4"/>
        <v>387.0059755941316</v>
      </c>
      <c r="AM43" s="62">
        <f t="shared" si="5"/>
        <v>680.33930892746491</v>
      </c>
      <c r="AN43" s="62">
        <f ca="1">AVERAGE(OFFSET($AM$3,0,0,'Données projet'!$E$10+1,1))-AVERAGE(OFFSET($H$3,0,0,'Données projet'!$E$10+1,1))</f>
        <v>360.56293184044779</v>
      </c>
      <c r="AO43" s="62">
        <f t="shared" si="36"/>
        <v>219.32252911220542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28</v>
      </c>
      <c r="AR43" s="17">
        <f>IF(ISNA(VLOOKUP(A43,'Données projet'!$A$61:$I$81,5,0)),0%,VLOOKUP(A43,'Données projet'!$A$61:$I$81,5,0)*VLOOKUP('Données projet'!$B$10,Paramètres!$A$1:$I$89,7,0))</f>
        <v>0.17200000000000001</v>
      </c>
      <c r="AS43" s="17">
        <f>IF(ISNA(VLOOKUP(A43,'Données projet'!$A$61:$I$81,6,0)),0%,VLOOKUP(A43,'Données projet'!$A$61:$I$81,6,0)*VLOOKUP('Données projet'!$B$10,Paramètres!$A$1:$I$89,7,0))</f>
        <v>3.44E-2</v>
      </c>
      <c r="AT43" s="17">
        <f>IF(ISNA(VLOOKUP(A43,'Données projet'!$A$61:$I$81,7,0)),0%,VLOOKUP(A43,'Données projet'!$A$61:$I$81,7,0))</f>
        <v>0.12</v>
      </c>
      <c r="AU43" s="23">
        <f>EXP(-LN(2)/35)*AU42+(1-EXP(-LN(2)/35))/(LN(2)/35)*AQ43*AR43*VLOOKUP('Données projet'!$B$10,Paramètres!$A$1:$I$89,3,0)*0.475*44/12</f>
        <v>10.288012197521201</v>
      </c>
      <c r="AV43" s="23">
        <f>EXP(-LN(2)/25)*AV42+(1-EXP(-LN(2)/25))/(LN(2)/25)*Calculateur!AQ43*Calculateur!AS43*VLOOKUP('Données projet'!$B$10,Paramètres!$A$1:$I$89,3,0)*0.475*44/12</f>
        <v>2.0116741411780943</v>
      </c>
      <c r="AW43" s="23">
        <f>EXP(-LN(2)/2)*AW42+(1-EXP(-LN(2)/2))/(LN(2)/2)*AQ43*AT43*VLOOKUP('Données projet'!$B$10,Paramètres!$A$1:$I$89,3,0)*0.475*44/12</f>
        <v>3.7829063034862163</v>
      </c>
      <c r="AX43" s="23">
        <f t="shared" si="6"/>
        <v>16.08259264218551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218.36</v>
      </c>
      <c r="BB43" s="13">
        <f>VLOOKUP(A43,'Données projet'!$A$87:$I$107,9,0)</f>
        <v>5.8000000000000043</v>
      </c>
      <c r="BC43" s="13">
        <f t="array" ref="BC43">INDEX(BB:BB,MIN(IF(ISNUMBER(BB43:BB239),ROW(BB43:BB239),"")))</f>
        <v>5.8000000000000043</v>
      </c>
      <c r="BD43" s="13">
        <f>IF('Données projet'!$A$88&gt;35,BD42+BC43-BL42,IF(A43&lt;'Données projet'!$A$88,$BA$205^A43,IF(A43='Données projet'!$A$88,'Données projet'!$B$88,BD42+BC43-BL42)))</f>
        <v>218.36000000000013</v>
      </c>
      <c r="BE43" s="14">
        <f>BD43*VLOOKUP('Données projet'!$B$11,Paramètres!$A$1:$I$89,3,0)*VLOOKUP('Données projet'!$B$11,Paramètres!$A$1:$I$89,5,0)</f>
        <v>160.10155200000008</v>
      </c>
      <c r="BF43" s="14">
        <f t="shared" si="37"/>
        <v>40.865419897848504</v>
      </c>
      <c r="BG43" s="22">
        <f t="shared" si="7"/>
        <v>350.01747605541959</v>
      </c>
      <c r="BH43" s="62">
        <f t="shared" si="8"/>
        <v>643.35080938875285</v>
      </c>
      <c r="BI43" s="62">
        <f ca="1">AVERAGE(OFFSET($BH$3,0,0,'Données projet'!$E$11+1,1))-AVERAGE(OFFSET($H$3,0,0,'Données projet'!$E$11+1,1))</f>
        <v>182.06733089745194</v>
      </c>
      <c r="BJ43" s="62">
        <f t="shared" si="38"/>
        <v>320.36755413886021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218.36</v>
      </c>
      <c r="BM43" s="17">
        <f>IF(ISNA(VLOOKUP(A43,'Données projet'!$A$87:$I$107,5,0)),0%,VLOOKUP(A43,'Données projet'!$A$87:$I$107,5,0)*VLOOKUP('Données projet'!$B$11,Paramètres!$A$1:$I$89,7,0))</f>
        <v>0.215</v>
      </c>
      <c r="BN43" s="17">
        <f>IF(ISNA(VLOOKUP(A43,'Données projet'!$A$87:$I$107,6,0)),0%,VLOOKUP(A43,'Données projet'!$A$87:$I$107,6,0)*VLOOKUP('Données projet'!$B$11,Paramètres!$A$1:$I$89,7,0))</f>
        <v>4.3000000000000003E-2</v>
      </c>
      <c r="BO43" s="17">
        <f>IF(ISNA(VLOOKUP(A43,'Données projet'!$A$87:$I$107,7,0)),0%,VLOOKUP(A43,'Données projet'!$A$87:$I$107,7,0))</f>
        <v>0.15</v>
      </c>
      <c r="BP43" s="23">
        <f>EXP(-LN(2)/35)*BP42+(1-EXP(-LN(2)/35))/(LN(2)/35)*BL43*BM43*VLOOKUP('Données projet'!$B$11,Paramètres!$A$1:$I$89,3,0)*0.475*44/12</f>
        <v>49.01378397632768</v>
      </c>
      <c r="BQ43" s="23">
        <f>EXP(-LN(2)/25)*BQ42+(1-EXP(-LN(2)/25))/(LN(2)/25)*Calculateur!BL43*Calculateur!BN43*VLOOKUP('Données projet'!$B$11,Paramètres!$A$1:$I$89,3,0)*0.475*44/12</f>
        <v>9.6300672594936998</v>
      </c>
      <c r="BR43" s="23">
        <f>EXP(-LN(2)/2)*BR42+(1-EXP(-LN(2)/2))/(LN(2)/2)*BL43*BO43*VLOOKUP('Données projet'!$B$11,Paramètres!$A$1:$I$89,3,0)*0.475*44/12</f>
        <v>23.137004878441228</v>
      </c>
      <c r="BS43" s="24">
        <f t="shared" si="9"/>
        <v>81.780856114262605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186</v>
      </c>
      <c r="BW43" s="13">
        <f>VLOOKUP(A43,'Données projet'!$A$113:$I$133,9,0)</f>
        <v>11</v>
      </c>
      <c r="BX43" s="13">
        <f t="array" ref="BX43">INDEX(BW:BW,MIN(IF(ISNUMBER(BW43:BW239),ROW(BW43:BW239),"")))</f>
        <v>11</v>
      </c>
      <c r="BY43" s="13">
        <f>IF('Données projet'!$A$114&gt;35,BY42+BX43-CG42,IF(A43&lt;'Données projet'!$A$114,$BV$205^A43,IF(A43='Données projet'!$A$114,'Données projet'!$B$114,BY42+BX43-CG42)))</f>
        <v>185.99999999999994</v>
      </c>
      <c r="BZ43" s="14">
        <f>BY43*VLOOKUP('Données projet'!$B$12,Paramètres!$A$1:$I$89,3,0)*VLOOKUP('Données projet'!$B$12,Paramètres!$A$1:$I$89,5,0)</f>
        <v>162.48959999999997</v>
      </c>
      <c r="CA43" s="14">
        <f t="shared" si="39"/>
        <v>41.403546033820696</v>
      </c>
      <c r="CB43" s="22">
        <f t="shared" si="10"/>
        <v>355.11389600890431</v>
      </c>
      <c r="CC43" s="62">
        <f t="shared" si="11"/>
        <v>648.44722934223762</v>
      </c>
      <c r="CD43" s="62">
        <f ca="1">AVERAGE(OFFSET($CC$3,0,0,'Données projet'!$E$12+1,1))-AVERAGE(OFFSET($H$3,0,0,'Données projet'!$E$12+1,1))</f>
        <v>248.60758320902863</v>
      </c>
      <c r="CE43" s="62">
        <f t="shared" si="40"/>
        <v>222.23585883330111</v>
      </c>
      <c r="CF43" s="16">
        <f>IF(ISNA(VLOOKUP(A43,'Données projet'!$A$113:$I$133,3,0)),0,VLOOKUP(A43,'Données projet'!$A$113:$I$133,3,0))</f>
        <v>5</v>
      </c>
      <c r="CG43" s="16">
        <f>IF(ISNA(VLOOKUP(A43,'Données projet'!$A$113:$I$133,4,0)),0,VLOOKUP(A43,'Données projet'!$A$113:$I$133,4,0))</f>
        <v>33</v>
      </c>
      <c r="CH43" s="17">
        <f>IF(ISNA(VLOOKUP(A43,'Données projet'!$A$113:$I$133,5,0)),0%,VLOOKUP(A43,'Données projet'!$A$113:$I$133,5,0)*VLOOKUP('Données projet'!$B$12,Paramètres!$A$1:$I$89,7,0))</f>
        <v>0.19350000000000001</v>
      </c>
      <c r="CI43" s="17">
        <f>IF(ISNA(VLOOKUP(A43,'Données projet'!$A$113:$I$133,6,0)),0%,VLOOKUP(A43,'Données projet'!$A$113:$I$133,6,0)*VLOOKUP('Données projet'!$B$12,Paramètres!$A$1:$I$89,7,0))</f>
        <v>4.3000000000000003E-2</v>
      </c>
      <c r="CJ43" s="17">
        <f>IF(ISNA(VLOOKUP(A43,'Données projet'!$A$113:$I$133,7,0)),0%,VLOOKUP(A43,'Données projet'!$A$113:$I$133,7,0))</f>
        <v>0.15</v>
      </c>
      <c r="CK43" s="23">
        <f>EXP(-LN(2)/35)*CK42+(1-EXP(-LN(2)/35))/(LN(2)/35)*CG43*CH43*VLOOKUP('Données projet'!$B$12,Paramètres!$A$1:$I$89,3,0)*0.475*44/12</f>
        <v>12.995542263361076</v>
      </c>
      <c r="CL43" s="23">
        <f>EXP(-LN(2)/25)*CL42+(1-EXP(-LN(2)/25))/(LN(2)/25)*Calculateur!CG43*Calculateur!CI43*VLOOKUP('Données projet'!$B$12,Paramètres!$A$1:$I$89,3,0)*0.475*44/12</f>
        <v>7.6661956341486563</v>
      </c>
      <c r="CM43" s="23">
        <f>EXP(-LN(2)/2)*CM42+(1-EXP(-LN(2)/2))/(LN(2)/2)*CG43*CJ43*VLOOKUP('Données projet'!$B$12,Paramètres!$A$1:$I$89,3,0)*0.475*44/12</f>
        <v>5.8241022043183364</v>
      </c>
      <c r="CN43" s="24">
        <f t="shared" si="12"/>
        <v>26.485840101828067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193.99999999999994</v>
      </c>
      <c r="CU43" s="18">
        <f>CT43*VLOOKUP('Données projet'!$B$13,Paramètres!$A$1:$I$89,3,0)*VLOOKUP('Données projet'!$B$13,Paramètres!$A$1:$I$89,5,0)</f>
        <v>105.92399999999998</v>
      </c>
      <c r="CV43" s="14">
        <f t="shared" si="41"/>
        <v>28.36854701055546</v>
      </c>
      <c r="CW43" s="22">
        <f t="shared" si="13"/>
        <v>233.89285271005073</v>
      </c>
      <c r="CX43" s="62">
        <f t="shared" si="14"/>
        <v>527.22618604338402</v>
      </c>
      <c r="CY43" s="62">
        <f ca="1">AVERAGE(OFFSET($CX$3,0,0,'Données projet'!$E$13+1,1))-AVERAGE(OFFSET($H$3,0,0,'Données projet'!$E$13+1,1))</f>
        <v>135.44138026609272</v>
      </c>
      <c r="CZ43" s="62">
        <f t="shared" si="42"/>
        <v>254.77247578425659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54.206621071580351</v>
      </c>
      <c r="DG43" s="23">
        <f>EXP(-LN(2)/25)*DG42+(1-EXP(-LN(2)/25))/(LN(2)/25)*Calculateur!DB43*Calculateur!DD43*VLOOKUP('Données projet'!$B$13,Paramètres!$A$1:$I$89,3,0)*0.475*44/12</f>
        <v>34.28307083696496</v>
      </c>
      <c r="DH43" s="23">
        <f>EXP(-LN(2)/2)*DH42+(1-EXP(-LN(2)/2))/(LN(2)/2)*DB43*DE43*VLOOKUP('Données projet'!$B$13,Paramètres!$A$1:$I$89,3,0)*0.475*44/12</f>
        <v>2.6578634106735595</v>
      </c>
      <c r="DI43" s="24">
        <f t="shared" si="15"/>
        <v>91.147555319218867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>
        <f>VLOOKUP(A43,'Données projet'!$A$165:$I$185,2,0)</f>
        <v>241</v>
      </c>
      <c r="DM43" s="13">
        <f>VLOOKUP(A43,'Données projet'!$A$165:$I$185,9,0)</f>
        <v>11.4</v>
      </c>
      <c r="DN43" s="13">
        <f t="array" ref="DN43">INDEX(DM:DM,MIN(IF(ISNUMBER(DM43:DM239),ROW(DM43:DM239),"")))</f>
        <v>11.4</v>
      </c>
      <c r="DO43" s="13">
        <f>IF('Données projet'!$A$166&gt;35,DO42+DN43-DW42,IF(A43&lt;'Données projet'!$A$166,$DL$205^A43,IF(A43='Données projet'!$A$166,'Données projet'!$B$166,DO42+DN43-DW42)))</f>
        <v>241.00000000000006</v>
      </c>
      <c r="DP43" s="18">
        <f>DO43*VLOOKUP('Données projet'!$B$14,Paramètres!$A$1:$I$89,3,0)*VLOOKUP('Données projet'!$B$14,Paramètres!$A$1:$I$89,5,0)</f>
        <v>233.09520000000009</v>
      </c>
      <c r="DQ43" s="14">
        <f t="shared" si="43"/>
        <v>56.951414569717436</v>
      </c>
      <c r="DR43" s="22">
        <f t="shared" si="16"/>
        <v>505.16452037559128</v>
      </c>
      <c r="DS43" s="62">
        <f t="shared" si="17"/>
        <v>798.49785370892459</v>
      </c>
      <c r="DT43" s="62">
        <f ca="1">AVERAGE(OFFSET($DS$3,0,0,'Données projet'!$E$14+1,1))-AVERAGE(OFFSET($H$3,0,0,'Données projet'!$E$14+1,1))</f>
        <v>271.09447278906288</v>
      </c>
      <c r="DU43" s="62">
        <f t="shared" si="44"/>
        <v>325.1094067861851</v>
      </c>
      <c r="DV43" s="16">
        <f>IF(ISNA(VLOOKUP(A43,'Données projet'!$A$165:$I$185,3,0)),0,VLOOKUP(A43,'Données projet'!$A$165:$I$185,3,0))</f>
        <v>5</v>
      </c>
      <c r="DW43" s="16">
        <f>IF(ISNA(VLOOKUP(A43,'Données projet'!$A$165:$I$185,4,0)),0,VLOOKUP(A43,'Données projet'!$A$165:$I$185,4,0))</f>
        <v>32</v>
      </c>
      <c r="DX43" s="17">
        <f>IF(ISNA(VLOOKUP(A43,'Données projet'!$A$165:$I$185,5,0)),0%,VLOOKUP(A43,'Données projet'!$A$165:$I$185,5,0)*VLOOKUP('Données projet'!$B$14,Paramètres!$A$1:$I$89,7,0))</f>
        <v>0.215</v>
      </c>
      <c r="DY43" s="17">
        <f>IF(ISNA(VLOOKUP(A43,'Données projet'!$A$165:$I$185,6,0)),0%,VLOOKUP(A43,'Données projet'!$A$165:$I$185,6,0)*VLOOKUP('Données projet'!$B$14,Paramètres!$A$1:$I$89,7,0))</f>
        <v>4.3000000000000003E-2</v>
      </c>
      <c r="DZ43" s="17">
        <f>IF(ISNA(VLOOKUP(A43,'Données projet'!$A$165:$I$185,7,0)),0%,VLOOKUP(A43,'Données projet'!$A$165:$I$185,7,0))</f>
        <v>0.15</v>
      </c>
      <c r="EA43" s="23">
        <f>EXP(-LN(2)/35)*EA42+(1-EXP(-LN(2)/35))/(LN(2)/35)*DW43*DX43*VLOOKUP('Données projet'!$B$14,Paramètres!$A$1:$I$89,3,0)*0.475*44/12</f>
        <v>17.731522172580721</v>
      </c>
      <c r="EB43" s="23">
        <f>EXP(-LN(2)/25)*EB42+(1-EXP(-LN(2)/25))/(LN(2)/25)*Calculateur!DW43*Calculateur!DY43*VLOOKUP('Données projet'!$B$14,Paramètres!$A$1:$I$89,3,0)*0.475*44/12</f>
        <v>3.4198231945221789</v>
      </c>
      <c r="EC43" s="23">
        <f>EXP(-LN(2)/2)*EC42+(1-EXP(-LN(2)/2))/(LN(2)/2)*DW43*DZ43*VLOOKUP('Données projet'!$B$14,Paramètres!$A$1:$I$89,3,0)*0.475*44/12</f>
        <v>5.1805216835580516</v>
      </c>
      <c r="ED43" s="24">
        <f t="shared" si="18"/>
        <v>26.33186705066095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>
        <f>VLOOKUP(A43,'Données projet'!$A$191:$I$211,2,0)</f>
        <v>241</v>
      </c>
      <c r="EH43" s="13">
        <f>VLOOKUP(A43,'Données projet'!$A$191:$I$211,9,0)</f>
        <v>11.4</v>
      </c>
      <c r="EI43" s="13">
        <f t="array" ref="EI43">INDEX(EH:EH,MIN(IF(ISNUMBER(EH43:EH239),ROW(EH43:EH239),"")))</f>
        <v>11.4</v>
      </c>
      <c r="EJ43" s="13">
        <f>IF('Données projet'!$A$192&gt;35,EJ42+EI43-ER42,IF(A43&lt;'Données projet'!$A$192,$EG$205^A43,IF(A43='Données projet'!$A$192,'Données projet'!$B$192,EJ42+EI43-ER42)))</f>
        <v>241.00000000000006</v>
      </c>
      <c r="EK43" s="18">
        <f>EJ43*VLOOKUP('Données projet'!$B$15,Paramètres!$A$1:$I$89,3,0)*VLOOKUP('Données projet'!$B$15,Paramètres!$A$1:$I$89,5,0)</f>
        <v>259.41240000000005</v>
      </c>
      <c r="EL43" s="14">
        <f t="shared" si="45"/>
        <v>62.597108893022593</v>
      </c>
      <c r="EM43" s="22">
        <f t="shared" si="19"/>
        <v>560.83322798868119</v>
      </c>
      <c r="EN43" s="62">
        <f t="shared" si="20"/>
        <v>854.16656132201456</v>
      </c>
      <c r="EO43" s="62">
        <f ca="1">AVERAGE(OFFSET($EN$3,0,0,'Données projet'!$E$15+1,1))-AVERAGE(OFFSET($H$3,0,0,'Données projet'!$E$15+1,1))</f>
        <v>306.50593475734655</v>
      </c>
      <c r="EP43" s="62">
        <f t="shared" si="46"/>
        <v>366.48643801375079</v>
      </c>
      <c r="EQ43" s="16">
        <f>IF(ISNA(VLOOKUP(A43,'Données projet'!$A$191:$I$211,3,0)),0,VLOOKUP(A43,'Données projet'!$A$191:$I$211,3,0))</f>
        <v>5</v>
      </c>
      <c r="ER43" s="16">
        <f>IF(ISNA(VLOOKUP(A43,'Données projet'!$A$191:$I$211,4,0)),0,VLOOKUP(A43,'Données projet'!$A$191:$I$211,4,0))</f>
        <v>32</v>
      </c>
      <c r="ES43" s="17">
        <f>IF(ISNA(VLOOKUP(A43,'Données projet'!$A$191:$I$211,5,0)),0%,VLOOKUP(A43,'Données projet'!$A$191:$I$211,5,0)*VLOOKUP('Données projet'!$B$15,Paramètres!$A$1:$I$89,7,0))</f>
        <v>0.215</v>
      </c>
      <c r="ET43" s="17">
        <f>IF(ISNA(VLOOKUP(A43,'Données projet'!$A$191:$I$211,6,0)),0%,VLOOKUP(A43,'Données projet'!$A$191:$I$211,6,0)*VLOOKUP('Données projet'!$B$15,Paramètres!$A$1:$I$89,7,0))</f>
        <v>4.3000000000000003E-2</v>
      </c>
      <c r="EU43" s="17">
        <f>IF(ISNA(VLOOKUP(A43,'Données projet'!$A$191:$I$211,7,0)),0%,VLOOKUP(A43,'Données projet'!$A$191:$I$211,7,0))</f>
        <v>0.15</v>
      </c>
      <c r="EV43" s="23">
        <f>EXP(-LN(2)/35)*EV42+(1-EXP(-LN(2)/35))/(LN(2)/35)*ER43*ES43*VLOOKUP('Données projet'!$B$15,Paramètres!$A$1:$I$89,3,0)*0.475*44/12</f>
        <v>19.733468224323701</v>
      </c>
      <c r="EW43" s="23">
        <f>EXP(-LN(2)/25)*EW42+(1-EXP(-LN(2)/25))/(LN(2)/25)*Calculateur!ER43*Calculateur!ET43*VLOOKUP('Données projet'!$B$15,Paramètres!$A$1:$I$89,3,0)*0.475*44/12</f>
        <v>3.8059322648714584</v>
      </c>
      <c r="EX43" s="23">
        <f>EXP(-LN(2)/2)*EX42+(1-EXP(-LN(2)/2))/(LN(2)/2)*ER43*EU43*VLOOKUP('Données projet'!$B$15,Paramètres!$A$1:$I$89,3,0)*0.475*44/12</f>
        <v>5.7654192929920249</v>
      </c>
      <c r="EY43" s="24">
        <f t="shared" si="21"/>
        <v>29.304819782187185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30.061199999999999</v>
      </c>
      <c r="D44" s="12">
        <f t="shared" si="32"/>
        <v>9.3222005779260471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304.01221498749936</v>
      </c>
      <c r="H44" s="70">
        <f t="shared" si="1"/>
        <v>361.92608933988788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11.4</v>
      </c>
      <c r="N44" s="14">
        <f>IF('Données projet'!$A$36&gt;35,N43+M44-V43,IF(A44&lt;'Données projet'!$A$36,$K$205^A44,IF(A44='Données projet'!$A$36,'Données projet'!$B$36,N43+M44-V43)))</f>
        <v>158.4</v>
      </c>
      <c r="O44" s="14">
        <f>N44*VLOOKUP('Données projet'!$B$9,Paramètres!$A$1:$I$89,3,0)*VLOOKUP('Données projet'!$B$9,Paramètres!$A$1:$I$89,5,0)</f>
        <v>143.32032000000001</v>
      </c>
      <c r="P44" s="14">
        <f t="shared" si="33"/>
        <v>37.056603420232349</v>
      </c>
      <c r="Q44" s="22">
        <f t="shared" si="53"/>
        <v>314.15647495690467</v>
      </c>
      <c r="R44" s="62">
        <f t="shared" si="0"/>
        <v>607.48980829023799</v>
      </c>
      <c r="S44" s="62">
        <f ca="1">AVERAGE(OFFSET($R$3,0,0,'Données projet'!$E$9+1,1))-AVERAGE(OFFSET($H$3,0,0,'Données projet'!$E$9+1,1))</f>
        <v>312.57314929661908</v>
      </c>
      <c r="T44" s="62">
        <f t="shared" si="34"/>
        <v>190.92100876773804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9.0000568014914908</v>
      </c>
      <c r="AA44" s="23">
        <f>EXP(-LN(2)/25)*AA43+(1-EXP(-LN(2)/25))/(LN(2)/25)*Calculateur!V44*Calculateur!X44*VLOOKUP('Données projet'!$B$9,Paramètres!$A$1:$I$89,3,0)*0.475*44/12</f>
        <v>1.7459470576599623</v>
      </c>
      <c r="AB44" s="23">
        <f>EXP(-LN(2)/2)*AB43+(1-EXP(-LN(2)/2))/(LN(2)/2)*V44*Y44*VLOOKUP('Données projet'!$B$9,Paramètres!$A$1:$I$89,3,0)*0.475*44/12</f>
        <v>2.3868505321189151</v>
      </c>
      <c r="AC44" s="24">
        <f t="shared" si="3"/>
        <v>13.132854391270369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11.4</v>
      </c>
      <c r="AI44" s="14">
        <f>IF('Données projet'!$A$62&gt;35,AI43+AH44-AQ43,IF(A44&lt;'Données projet'!$A$62,$AF$205^A44,IF(A44='Données projet'!$A$62,'Données projet'!$B$62,AI43+AH44-AQ43)))</f>
        <v>158.4</v>
      </c>
      <c r="AJ44" s="14">
        <f>AI44*VLOOKUP('Données projet'!$B$10,Paramètres!$A$1:$I$89,3,0)*VLOOKUP('Données projet'!$B$10,Paramètres!$A$1:$I$89,5,0)</f>
        <v>160.61760000000001</v>
      </c>
      <c r="AK44" s="14">
        <f t="shared" si="35"/>
        <v>40.981785561145074</v>
      </c>
      <c r="AL44" s="22">
        <f t="shared" si="4"/>
        <v>351.11892985232771</v>
      </c>
      <c r="AM44" s="62">
        <f t="shared" si="5"/>
        <v>644.45226318566097</v>
      </c>
      <c r="AN44" s="62">
        <f ca="1">AVERAGE(OFFSET($AM$3,0,0,'Données projet'!$E$10+1,1))-AVERAGE(OFFSET($H$3,0,0,'Données projet'!$E$10+1,1))</f>
        <v>360.56293184044779</v>
      </c>
      <c r="AO44" s="62">
        <f t="shared" si="36"/>
        <v>219.32252911220542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10.086270553395639</v>
      </c>
      <c r="AV44" s="23">
        <f>EXP(-LN(2)/25)*AV43+(1-EXP(-LN(2)/25))/(LN(2)/25)*Calculateur!AQ44*Calculateur!AS44*VLOOKUP('Données projet'!$B$10,Paramètres!$A$1:$I$89,3,0)*0.475*44/12</f>
        <v>1.9566648059982339</v>
      </c>
      <c r="AW44" s="23">
        <f>EXP(-LN(2)/2)*AW43+(1-EXP(-LN(2)/2))/(LN(2)/2)*AQ44*AT44*VLOOKUP('Données projet'!$B$10,Paramètres!$A$1:$I$89,3,0)*0.475*44/12</f>
        <v>2.6749186997884395</v>
      </c>
      <c r="AX44" s="23">
        <f t="shared" si="6"/>
        <v>14.717854059182311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1.1368683772161603E-13</v>
      </c>
      <c r="BE44" s="14">
        <f>BD44*VLOOKUP('Données projet'!$B$11,Paramètres!$A$1:$I$89,3,0)*VLOOKUP('Données projet'!$B$11,Paramètres!$A$1:$I$89,5,0)</f>
        <v>8.3355189417488869E-14</v>
      </c>
      <c r="BF44" s="14">
        <f t="shared" si="37"/>
        <v>1.2790518435140618E-12</v>
      </c>
      <c r="BG44" s="22">
        <f t="shared" si="7"/>
        <v>2.3728589156891171E-12</v>
      </c>
      <c r="BH44" s="62">
        <f t="shared" si="8"/>
        <v>293.3333333333357</v>
      </c>
      <c r="BI44" s="62">
        <f ca="1">AVERAGE(OFFSET($BH$3,0,0,'Données projet'!$E$11+1,1))-AVERAGE(OFFSET($H$3,0,0,'Données projet'!$E$11+1,1))</f>
        <v>182.06733089745194</v>
      </c>
      <c r="BJ44" s="62">
        <f t="shared" si="38"/>
        <v>320.36755413886021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48.052653568008189</v>
      </c>
      <c r="BQ44" s="23">
        <f>EXP(-LN(2)/25)*BQ43+(1-EXP(-LN(2)/25))/(LN(2)/25)*Calculateur!BL44*Calculateur!BN44*VLOOKUP('Données projet'!$B$11,Paramètres!$A$1:$I$89,3,0)*0.475*44/12</f>
        <v>9.3667325638596175</v>
      </c>
      <c r="BR44" s="23">
        <f>EXP(-LN(2)/2)*BR43+(1-EXP(-LN(2)/2))/(LN(2)/2)*BL44*BO44*VLOOKUP('Données projet'!$B$11,Paramètres!$A$1:$I$89,3,0)*0.475*44/12</f>
        <v>16.360333045892027</v>
      </c>
      <c r="BS44" s="24">
        <f t="shared" si="9"/>
        <v>73.77971917775983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10.8</v>
      </c>
      <c r="BY44" s="13">
        <f>IF('Données projet'!$A$114&gt;35,BY43+BX44-CG43,IF(A44&lt;'Données projet'!$A$114,$BV$205^A44,IF(A44='Données projet'!$A$114,'Données projet'!$B$114,BY43+BX44-CG43)))</f>
        <v>163.79999999999995</v>
      </c>
      <c r="BZ44" s="14">
        <f>BY44*VLOOKUP('Données projet'!$B$12,Paramètres!$A$1:$I$89,3,0)*VLOOKUP('Données projet'!$B$12,Paramètres!$A$1:$I$89,5,0)</f>
        <v>143.09567999999999</v>
      </c>
      <c r="CA44" s="14">
        <f t="shared" si="39"/>
        <v>37.005277082542683</v>
      </c>
      <c r="CB44" s="22">
        <f t="shared" si="10"/>
        <v>313.67583358542851</v>
      </c>
      <c r="CC44" s="62">
        <f t="shared" si="11"/>
        <v>607.00916691876182</v>
      </c>
      <c r="CD44" s="62">
        <f ca="1">AVERAGE(OFFSET($CC$3,0,0,'Données projet'!$E$12+1,1))-AVERAGE(OFFSET($H$3,0,0,'Données projet'!$E$12+1,1))</f>
        <v>248.60758320902863</v>
      </c>
      <c r="CE44" s="62">
        <f t="shared" si="40"/>
        <v>222.23585883330111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12.740707606074668</v>
      </c>
      <c r="CL44" s="23">
        <f>EXP(-LN(2)/25)*CL43+(1-EXP(-LN(2)/25))/(LN(2)/25)*Calculateur!CG44*Calculateur!CI44*VLOOKUP('Données projet'!$B$12,Paramètres!$A$1:$I$89,3,0)*0.475*44/12</f>
        <v>7.4565631113851545</v>
      </c>
      <c r="CM44" s="23">
        <f>EXP(-LN(2)/2)*CM43+(1-EXP(-LN(2)/2))/(LN(2)/2)*CG44*CJ44*VLOOKUP('Données projet'!$B$12,Paramètres!$A$1:$I$89,3,0)*0.475*44/12</f>
        <v>4.1182621629970155</v>
      </c>
      <c r="CN44" s="24">
        <f t="shared" si="12"/>
        <v>24.315532880456839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193.99999999999994</v>
      </c>
      <c r="CU44" s="18">
        <f>CT44*VLOOKUP('Données projet'!$B$13,Paramètres!$A$1:$I$89,3,0)*VLOOKUP('Données projet'!$B$13,Paramètres!$A$1:$I$89,5,0)</f>
        <v>105.92399999999998</v>
      </c>
      <c r="CV44" s="14">
        <f t="shared" si="41"/>
        <v>28.36854701055546</v>
      </c>
      <c r="CW44" s="22">
        <f t="shared" si="13"/>
        <v>233.89285271005073</v>
      </c>
      <c r="CX44" s="62">
        <f t="shared" si="14"/>
        <v>527.22618604338402</v>
      </c>
      <c r="CY44" s="62">
        <f ca="1">AVERAGE(OFFSET($CX$3,0,0,'Données projet'!$E$13+1,1))-AVERAGE(OFFSET($H$3,0,0,'Données projet'!$E$13+1,1))</f>
        <v>135.44138026609272</v>
      </c>
      <c r="CZ44" s="62">
        <f t="shared" si="42"/>
        <v>254.77247578425659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53.143662295140835</v>
      </c>
      <c r="DG44" s="23">
        <f>EXP(-LN(2)/25)*DG43+(1-EXP(-LN(2)/25))/(LN(2)/25)*Calculateur!DB44*Calculateur!DD44*VLOOKUP('Données projet'!$B$13,Paramètres!$A$1:$I$89,3,0)*0.475*44/12</f>
        <v>33.345598462059812</v>
      </c>
      <c r="DH44" s="23">
        <f>EXP(-LN(2)/2)*DH43+(1-EXP(-LN(2)/2))/(LN(2)/2)*DB44*DE44*VLOOKUP('Données projet'!$B$13,Paramètres!$A$1:$I$89,3,0)*0.475*44/12</f>
        <v>1.8793932411548797</v>
      </c>
      <c r="DI44" s="24">
        <f t="shared" si="15"/>
        <v>88.368653998355526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10.8</v>
      </c>
      <c r="DO44" s="13">
        <f>IF('Données projet'!$A$166&gt;35,DO43+DN44-DW43,IF(A44&lt;'Données projet'!$A$166,$DL$205^A44,IF(A44='Données projet'!$A$166,'Données projet'!$B$166,DO43+DN44-DW43)))</f>
        <v>219.80000000000007</v>
      </c>
      <c r="DP44" s="18">
        <f>DO44*VLOOKUP('Données projet'!$B$14,Paramètres!$A$1:$I$89,3,0)*VLOOKUP('Données projet'!$B$14,Paramètres!$A$1:$I$89,5,0)</f>
        <v>212.59056000000007</v>
      </c>
      <c r="DQ44" s="14">
        <f t="shared" si="43"/>
        <v>52.501283653296447</v>
      </c>
      <c r="DR44" s="22">
        <f t="shared" si="16"/>
        <v>461.70162769615803</v>
      </c>
      <c r="DS44" s="62">
        <f t="shared" si="17"/>
        <v>755.03496102949134</v>
      </c>
      <c r="DT44" s="62">
        <f ca="1">AVERAGE(OFFSET($DS$3,0,0,'Données projet'!$E$14+1,1))-AVERAGE(OFFSET($H$3,0,0,'Données projet'!$E$14+1,1))</f>
        <v>271.09447278906288</v>
      </c>
      <c r="DU44" s="62">
        <f t="shared" si="44"/>
        <v>325.1094067861851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17.383817837937031</v>
      </c>
      <c r="EB44" s="23">
        <f>EXP(-LN(2)/25)*EB43+(1-EXP(-LN(2)/25))/(LN(2)/25)*Calculateur!DW44*Calculateur!DY44*VLOOKUP('Données projet'!$B$14,Paramètres!$A$1:$I$89,3,0)*0.475*44/12</f>
        <v>3.3263079494272842</v>
      </c>
      <c r="EC44" s="23">
        <f>EXP(-LN(2)/2)*EC43+(1-EXP(-LN(2)/2))/(LN(2)/2)*DW44*DZ44*VLOOKUP('Données projet'!$B$14,Paramètres!$A$1:$I$89,3,0)*0.475*44/12</f>
        <v>3.6631820125278485</v>
      </c>
      <c r="ED44" s="24">
        <f t="shared" si="18"/>
        <v>24.373307799892164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10.8</v>
      </c>
      <c r="EJ44" s="13">
        <f>IF('Données projet'!$A$192&gt;35,EJ43+EI44-ER43,IF(A44&lt;'Données projet'!$A$192,$EG$205^A44,IF(A44='Données projet'!$A$192,'Données projet'!$B$192,EJ43+EI44-ER43)))</f>
        <v>219.80000000000007</v>
      </c>
      <c r="EK44" s="18">
        <f>EJ44*VLOOKUP('Données projet'!$B$15,Paramètres!$A$1:$I$89,3,0)*VLOOKUP('Données projet'!$B$15,Paramètres!$A$1:$I$89,5,0)</f>
        <v>236.59272000000007</v>
      </c>
      <c r="EL44" s="14">
        <f t="shared" si="45"/>
        <v>57.705828638299394</v>
      </c>
      <c r="EM44" s="22">
        <f t="shared" si="19"/>
        <v>512.56997221170479</v>
      </c>
      <c r="EN44" s="62">
        <f t="shared" si="20"/>
        <v>805.90330554503817</v>
      </c>
      <c r="EO44" s="62">
        <f ca="1">AVERAGE(OFFSET($EN$3,0,0,'Données projet'!$E$15+1,1))-AVERAGE(OFFSET($H$3,0,0,'Données projet'!$E$15+1,1))</f>
        <v>306.50593475734655</v>
      </c>
      <c r="EP44" s="62">
        <f t="shared" si="46"/>
        <v>366.48643801375079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19.346506948671852</v>
      </c>
      <c r="EW44" s="23">
        <f>EXP(-LN(2)/25)*EW43+(1-EXP(-LN(2)/25))/(LN(2)/25)*Calculateur!ER44*Calculateur!ET44*VLOOKUP('Données projet'!$B$15,Paramètres!$A$1:$I$89,3,0)*0.475*44/12</f>
        <v>3.7018588469432689</v>
      </c>
      <c r="EX44" s="23">
        <f>EXP(-LN(2)/2)*EX43+(1-EXP(-LN(2)/2))/(LN(2)/2)*ER44*EU44*VLOOKUP('Données projet'!$B$15,Paramètres!$A$1:$I$89,3,0)*0.475*44/12</f>
        <v>4.0767670784584116</v>
      </c>
      <c r="EY44" s="24">
        <f t="shared" si="21"/>
        <v>27.125132874073529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30.7944</v>
      </c>
      <c r="D45" s="12">
        <f t="shared" si="32"/>
        <v>9.5228227376882337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311.22066674706707</v>
      </c>
      <c r="H45" s="70">
        <f t="shared" si="1"/>
        <v>363.55249626814032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11.4</v>
      </c>
      <c r="N45" s="14">
        <f>IF('Données projet'!$A$36&gt;35,N44+M45-V44,IF(A45&lt;'Données projet'!$A$36,$K$205^A45,IF(A45='Données projet'!$A$36,'Données projet'!$B$36,N44+M45-V44)))</f>
        <v>169.8</v>
      </c>
      <c r="O45" s="14">
        <f>N45*VLOOKUP('Données projet'!$B$9,Paramètres!$A$1:$I$89,3,0)*VLOOKUP('Données projet'!$B$9,Paramètres!$A$1:$I$89,5,0)</f>
        <v>153.63504</v>
      </c>
      <c r="P45" s="14">
        <f t="shared" si="33"/>
        <v>39.403506785222667</v>
      </c>
      <c r="Q45" s="22">
        <f t="shared" si="53"/>
        <v>336.20880231759617</v>
      </c>
      <c r="R45" s="62">
        <f t="shared" si="0"/>
        <v>629.54213565092948</v>
      </c>
      <c r="S45" s="62">
        <f ca="1">AVERAGE(OFFSET($R$3,0,0,'Données projet'!$E$9+1,1))-AVERAGE(OFFSET($H$3,0,0,'Données projet'!$E$9+1,1))</f>
        <v>312.57314929661908</v>
      </c>
      <c r="T45" s="62">
        <f t="shared" si="34"/>
        <v>190.92100876773804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8.8235711771068495</v>
      </c>
      <c r="AA45" s="23">
        <f>EXP(-LN(2)/25)*AA44+(1-EXP(-LN(2)/25))/(LN(2)/25)*Calculateur!V45*Calculateur!X45*VLOOKUP('Données projet'!$B$9,Paramètres!$A$1:$I$89,3,0)*0.475*44/12</f>
        <v>1.6982040435528853</v>
      </c>
      <c r="AB45" s="23">
        <f>EXP(-LN(2)/2)*AB44+(1-EXP(-LN(2)/2))/(LN(2)/2)*V45*Y45*VLOOKUP('Données projet'!$B$9,Paramètres!$A$1:$I$89,3,0)*0.475*44/12</f>
        <v>1.6877581969400044</v>
      </c>
      <c r="AC45" s="24">
        <f t="shared" si="3"/>
        <v>12.209533417599738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11.4</v>
      </c>
      <c r="AI45" s="14">
        <f>IF('Données projet'!$A$62&gt;35,AI44+AH45-AQ44,IF(A45&lt;'Données projet'!$A$62,$AF$205^A45,IF(A45='Données projet'!$A$62,'Données projet'!$B$62,AI44+AH45-AQ44)))</f>
        <v>169.8</v>
      </c>
      <c r="AJ45" s="14">
        <f>AI45*VLOOKUP('Données projet'!$B$10,Paramètres!$A$1:$I$89,3,0)*VLOOKUP('Données projet'!$B$10,Paramètres!$A$1:$I$89,5,0)</f>
        <v>172.1772</v>
      </c>
      <c r="AK45" s="14">
        <f t="shared" si="35"/>
        <v>43.577282221917017</v>
      </c>
      <c r="AL45" s="22">
        <f t="shared" si="4"/>
        <v>375.77238986983883</v>
      </c>
      <c r="AM45" s="62">
        <f t="shared" si="5"/>
        <v>669.10572320317215</v>
      </c>
      <c r="AN45" s="62">
        <f ca="1">AVERAGE(OFFSET($AM$3,0,0,'Données projet'!$E$10+1,1))-AVERAGE(OFFSET($H$3,0,0,'Données projet'!$E$10+1,1))</f>
        <v>360.56293184044779</v>
      </c>
      <c r="AO45" s="62">
        <f t="shared" si="36"/>
        <v>219.32252911220542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9.8884849398611276</v>
      </c>
      <c r="AV45" s="23">
        <f>EXP(-LN(2)/25)*AV44+(1-EXP(-LN(2)/25))/(LN(2)/25)*Calculateur!AQ45*Calculateur!AS45*VLOOKUP('Données projet'!$B$10,Paramètres!$A$1:$I$89,3,0)*0.475*44/12</f>
        <v>1.9031597039816821</v>
      </c>
      <c r="AW45" s="23">
        <f>EXP(-LN(2)/2)*AW44+(1-EXP(-LN(2)/2))/(LN(2)/2)*AQ45*AT45*VLOOKUP('Données projet'!$B$10,Paramètres!$A$1:$I$89,3,0)*0.475*44/12</f>
        <v>1.8914531517431084</v>
      </c>
      <c r="AX45" s="23">
        <f t="shared" si="6"/>
        <v>13.683097795585919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1.1368683772161603E-13</v>
      </c>
      <c r="BE45" s="14">
        <f>BD45*VLOOKUP('Données projet'!$B$11,Paramètres!$A$1:$I$89,3,0)*VLOOKUP('Données projet'!$B$11,Paramètres!$A$1:$I$89,5,0)</f>
        <v>8.3355189417488869E-14</v>
      </c>
      <c r="BF45" s="14">
        <f t="shared" si="37"/>
        <v>1.2790518435140618E-12</v>
      </c>
      <c r="BG45" s="22">
        <f t="shared" si="7"/>
        <v>2.3728589156891171E-12</v>
      </c>
      <c r="BH45" s="62">
        <f t="shared" si="8"/>
        <v>293.3333333333357</v>
      </c>
      <c r="BI45" s="62">
        <f ca="1">AVERAGE(OFFSET($BH$3,0,0,'Données projet'!$E$11+1,1))-AVERAGE(OFFSET($H$3,0,0,'Données projet'!$E$11+1,1))</f>
        <v>182.06733089745194</v>
      </c>
      <c r="BJ45" s="62">
        <f t="shared" si="38"/>
        <v>320.36755413886021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47.110370340764177</v>
      </c>
      <c r="BQ45" s="23">
        <f>EXP(-LN(2)/25)*BQ44+(1-EXP(-LN(2)/25))/(LN(2)/25)*Calculateur!BL45*Calculateur!BN45*VLOOKUP('Données projet'!$B$11,Paramètres!$A$1:$I$89,3,0)*0.475*44/12</f>
        <v>9.1105987693258186</v>
      </c>
      <c r="BR45" s="23">
        <f>EXP(-LN(2)/2)*BR44+(1-EXP(-LN(2)/2))/(LN(2)/2)*BL45*BO45*VLOOKUP('Données projet'!$B$11,Paramètres!$A$1:$I$89,3,0)*0.475*44/12</f>
        <v>11.568502439220616</v>
      </c>
      <c r="BS45" s="24">
        <f t="shared" si="9"/>
        <v>67.789471549310605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10.8</v>
      </c>
      <c r="BY45" s="13">
        <f>IF('Données projet'!$A$114&gt;35,BY44+BX45-CG44,IF(A45&lt;'Données projet'!$A$114,$BV$205^A45,IF(A45='Données projet'!$A$114,'Données projet'!$B$114,BY44+BX45-CG44)))</f>
        <v>174.59999999999997</v>
      </c>
      <c r="BZ45" s="14">
        <f>BY45*VLOOKUP('Données projet'!$B$12,Paramètres!$A$1:$I$89,3,0)*VLOOKUP('Données projet'!$B$12,Paramètres!$A$1:$I$89,5,0)</f>
        <v>152.53056000000001</v>
      </c>
      <c r="CA45" s="14">
        <f t="shared" si="39"/>
        <v>39.153103329629708</v>
      </c>
      <c r="CB45" s="22">
        <f t="shared" si="10"/>
        <v>333.84904696577172</v>
      </c>
      <c r="CC45" s="62">
        <f t="shared" si="11"/>
        <v>627.18238029910503</v>
      </c>
      <c r="CD45" s="62">
        <f ca="1">AVERAGE(OFFSET($CC$3,0,0,'Données projet'!$E$12+1,1))-AVERAGE(OFFSET($H$3,0,0,'Données projet'!$E$12+1,1))</f>
        <v>248.60758320902863</v>
      </c>
      <c r="CE45" s="62">
        <f t="shared" si="40"/>
        <v>222.23585883330111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12.490870100983855</v>
      </c>
      <c r="CL45" s="23">
        <f>EXP(-LN(2)/25)*CL44+(1-EXP(-LN(2)/25))/(LN(2)/25)*Calculateur!CG45*Calculateur!CI45*VLOOKUP('Données projet'!$B$12,Paramètres!$A$1:$I$89,3,0)*0.475*44/12</f>
        <v>7.252663000980716</v>
      </c>
      <c r="CM45" s="23">
        <f>EXP(-LN(2)/2)*CM44+(1-EXP(-LN(2)/2))/(LN(2)/2)*CG45*CJ45*VLOOKUP('Données projet'!$B$12,Paramètres!$A$1:$I$89,3,0)*0.475*44/12</f>
        <v>2.9120511021591686</v>
      </c>
      <c r="CN45" s="24">
        <f t="shared" si="12"/>
        <v>22.655584204123741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193.99999999999994</v>
      </c>
      <c r="CU45" s="18">
        <f>CT45*VLOOKUP('Données projet'!$B$13,Paramètres!$A$1:$I$89,3,0)*VLOOKUP('Données projet'!$B$13,Paramètres!$A$1:$I$89,5,0)</f>
        <v>105.92399999999998</v>
      </c>
      <c r="CV45" s="14">
        <f t="shared" si="41"/>
        <v>28.36854701055546</v>
      </c>
      <c r="CW45" s="22">
        <f t="shared" si="13"/>
        <v>233.89285271005073</v>
      </c>
      <c r="CX45" s="62">
        <f t="shared" si="14"/>
        <v>527.22618604338402</v>
      </c>
      <c r="CY45" s="62">
        <f ca="1">AVERAGE(OFFSET($CX$3,0,0,'Données projet'!$E$13+1,1))-AVERAGE(OFFSET($H$3,0,0,'Données projet'!$E$13+1,1))</f>
        <v>135.44138026609272</v>
      </c>
      <c r="CZ45" s="62">
        <f t="shared" si="42"/>
        <v>254.77247578425659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52.101547491966464</v>
      </c>
      <c r="DG45" s="23">
        <f>EXP(-LN(2)/25)*DG44+(1-EXP(-LN(2)/25))/(LN(2)/25)*Calculateur!DB45*Calculateur!DD45*VLOOKUP('Données projet'!$B$13,Paramètres!$A$1:$I$89,3,0)*0.475*44/12</f>
        <v>32.433761318545976</v>
      </c>
      <c r="DH45" s="23">
        <f>EXP(-LN(2)/2)*DH44+(1-EXP(-LN(2)/2))/(LN(2)/2)*DB45*DE45*VLOOKUP('Données projet'!$B$13,Paramètres!$A$1:$I$89,3,0)*0.475*44/12</f>
        <v>1.32893170533678</v>
      </c>
      <c r="DI45" s="24">
        <f t="shared" si="15"/>
        <v>85.864240515849232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10.8</v>
      </c>
      <c r="DO45" s="13">
        <f>IF('Données projet'!$A$166&gt;35,DO44+DN45-DW44,IF(A45&lt;'Données projet'!$A$166,$DL$205^A45,IF(A45='Données projet'!$A$166,'Données projet'!$B$166,DO44+DN45-DW44)))</f>
        <v>230.60000000000008</v>
      </c>
      <c r="DP45" s="18">
        <f>DO45*VLOOKUP('Données projet'!$B$14,Paramètres!$A$1:$I$89,3,0)*VLOOKUP('Données projet'!$B$14,Paramètres!$A$1:$I$89,5,0)</f>
        <v>223.03632000000007</v>
      </c>
      <c r="DQ45" s="14">
        <f t="shared" si="43"/>
        <v>54.774287488959352</v>
      </c>
      <c r="DR45" s="22">
        <f t="shared" si="16"/>
        <v>483.8534747099377</v>
      </c>
      <c r="DS45" s="62">
        <f t="shared" si="17"/>
        <v>777.18680804327096</v>
      </c>
      <c r="DT45" s="62">
        <f ca="1">AVERAGE(OFFSET($DS$3,0,0,'Données projet'!$E$14+1,1))-AVERAGE(OFFSET($H$3,0,0,'Données projet'!$E$14+1,1))</f>
        <v>271.09447278906288</v>
      </c>
      <c r="DU45" s="62">
        <f t="shared" si="44"/>
        <v>325.1094067861851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17.042931773216999</v>
      </c>
      <c r="EB45" s="23">
        <f>EXP(-LN(2)/25)*EB44+(1-EXP(-LN(2)/25))/(LN(2)/25)*Calculateur!DW45*Calculateur!DY45*VLOOKUP('Données projet'!$B$14,Paramètres!$A$1:$I$89,3,0)*0.475*44/12</f>
        <v>3.2353498836272623</v>
      </c>
      <c r="EC45" s="23">
        <f>EXP(-LN(2)/2)*EC44+(1-EXP(-LN(2)/2))/(LN(2)/2)*DW45*DZ45*VLOOKUP('Données projet'!$B$14,Paramètres!$A$1:$I$89,3,0)*0.475*44/12</f>
        <v>2.5902608417790263</v>
      </c>
      <c r="ED45" s="24">
        <f t="shared" si="18"/>
        <v>22.868542498623288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10.8</v>
      </c>
      <c r="EJ45" s="13">
        <f>IF('Données projet'!$A$192&gt;35,EJ44+EI45-ER44,IF(A45&lt;'Données projet'!$A$192,$EG$205^A45,IF(A45='Données projet'!$A$192,'Données projet'!$B$192,EJ44+EI45-ER44)))</f>
        <v>230.60000000000008</v>
      </c>
      <c r="EK45" s="18">
        <f>EJ45*VLOOKUP('Données projet'!$B$15,Paramètres!$A$1:$I$89,3,0)*VLOOKUP('Données projet'!$B$15,Paramètres!$A$1:$I$89,5,0)</f>
        <v>248.21784000000005</v>
      </c>
      <c r="EL45" s="14">
        <f t="shared" si="45"/>
        <v>60.204159359147035</v>
      </c>
      <c r="EM45" s="22">
        <f t="shared" si="19"/>
        <v>537.16831555051442</v>
      </c>
      <c r="EN45" s="62">
        <f t="shared" si="20"/>
        <v>830.50164888384779</v>
      </c>
      <c r="EO45" s="62">
        <f ca="1">AVERAGE(OFFSET($EN$3,0,0,'Données projet'!$E$15+1,1))-AVERAGE(OFFSET($H$3,0,0,'Données projet'!$E$15+1,1))</f>
        <v>306.50593475734655</v>
      </c>
      <c r="EP45" s="62">
        <f t="shared" si="46"/>
        <v>366.48643801375079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18.967133747612461</v>
      </c>
      <c r="EW45" s="23">
        <f>EXP(-LN(2)/25)*EW44+(1-EXP(-LN(2)/25))/(LN(2)/25)*Calculateur!ER45*Calculateur!ET45*VLOOKUP('Données projet'!$B$15,Paramètres!$A$1:$I$89,3,0)*0.475*44/12</f>
        <v>3.6006313221013091</v>
      </c>
      <c r="EX45" s="23">
        <f>EXP(-LN(2)/2)*EX44+(1-EXP(-LN(2)/2))/(LN(2)/2)*ER45*EU45*VLOOKUP('Données projet'!$B$15,Paramètres!$A$1:$I$89,3,0)*0.475*44/12</f>
        <v>2.8827096464960129</v>
      </c>
      <c r="EY45" s="24">
        <f t="shared" si="21"/>
        <v>25.450474716209786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31.5276</v>
      </c>
      <c r="D46" s="12">
        <f t="shared" si="32"/>
        <v>9.7228896017746997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318.42483201369947</v>
      </c>
      <c r="H46" s="70">
        <f t="shared" si="1"/>
        <v>365.17793605642424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11.4</v>
      </c>
      <c r="N46" s="14">
        <f>IF('Données projet'!$A$36&gt;35,N45+M46-V45,IF(A46&lt;'Données projet'!$A$36,$K$205^A46,IF(A46='Données projet'!$A$36,'Données projet'!$B$36,N45+M46-V45)))</f>
        <v>181.20000000000002</v>
      </c>
      <c r="O46" s="14">
        <f>N46*VLOOKUP('Données projet'!$B$9,Paramètres!$A$1:$I$89,3,0)*VLOOKUP('Données projet'!$B$9,Paramètres!$A$1:$I$89,5,0)</f>
        <v>163.94976</v>
      </c>
      <c r="P46" s="14">
        <f t="shared" si="33"/>
        <v>41.732126457893308</v>
      </c>
      <c r="Q46" s="22">
        <f t="shared" si="53"/>
        <v>358.22928558083089</v>
      </c>
      <c r="R46" s="62">
        <f t="shared" si="0"/>
        <v>651.5626189141642</v>
      </c>
      <c r="S46" s="62">
        <f ca="1">AVERAGE(OFFSET($R$3,0,0,'Données projet'!$E$9+1,1))-AVERAGE(OFFSET($H$3,0,0,'Données projet'!$E$9+1,1))</f>
        <v>312.57314929661908</v>
      </c>
      <c r="T46" s="62">
        <f t="shared" si="34"/>
        <v>190.92100876773804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8.6505463281707886</v>
      </c>
      <c r="AA46" s="23">
        <f>EXP(-LN(2)/25)*AA45+(1-EXP(-LN(2)/25))/(LN(2)/25)*Calculateur!V46*Calculateur!X46*VLOOKUP('Données projet'!$B$9,Paramètres!$A$1:$I$89,3,0)*0.475*44/12</f>
        <v>1.6517665646772624</v>
      </c>
      <c r="AB46" s="23">
        <f>EXP(-LN(2)/2)*AB45+(1-EXP(-LN(2)/2))/(LN(2)/2)*V46*Y46*VLOOKUP('Données projet'!$B$9,Paramètres!$A$1:$I$89,3,0)*0.475*44/12</f>
        <v>1.1934252660594578</v>
      </c>
      <c r="AC46" s="24">
        <f t="shared" si="3"/>
        <v>11.495738158907509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11.4</v>
      </c>
      <c r="AI46" s="14">
        <f>IF('Données projet'!$A$62&gt;35,AI45+AH46-AQ45,IF(A46&lt;'Données projet'!$A$62,$AF$205^A46,IF(A46='Données projet'!$A$62,'Données projet'!$B$62,AI45+AH46-AQ45)))</f>
        <v>181.20000000000002</v>
      </c>
      <c r="AJ46" s="14">
        <f>AI46*VLOOKUP('Données projet'!$B$10,Paramètres!$A$1:$I$89,3,0)*VLOOKUP('Données projet'!$B$10,Paramètres!$A$1:$I$89,5,0)</f>
        <v>183.73680000000002</v>
      </c>
      <c r="AK46" s="14">
        <f t="shared" si="35"/>
        <v>46.152558509293854</v>
      </c>
      <c r="AL46" s="22">
        <f t="shared" si="4"/>
        <v>400.3906327370201</v>
      </c>
      <c r="AM46" s="62">
        <f t="shared" si="5"/>
        <v>693.72396607035341</v>
      </c>
      <c r="AN46" s="62">
        <f ca="1">AVERAGE(OFFSET($AM$3,0,0,'Données projet'!$E$10+1,1))-AVERAGE(OFFSET($H$3,0,0,'Données projet'!$E$10+1,1))</f>
        <v>360.56293184044779</v>
      </c>
      <c r="AO46" s="62">
        <f t="shared" si="36"/>
        <v>219.32252911220542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9.6945777815707146</v>
      </c>
      <c r="AV46" s="23">
        <f>EXP(-LN(2)/25)*AV45+(1-EXP(-LN(2)/25))/(LN(2)/25)*Calculateur!AQ46*Calculateur!AS46*VLOOKUP('Données projet'!$B$10,Paramètres!$A$1:$I$89,3,0)*0.475*44/12</f>
        <v>1.8511177017934839</v>
      </c>
      <c r="AW46" s="23">
        <f>EXP(-LN(2)/2)*AW45+(1-EXP(-LN(2)/2))/(LN(2)/2)*AQ46*AT46*VLOOKUP('Données projet'!$B$10,Paramètres!$A$1:$I$89,3,0)*0.475*44/12</f>
        <v>1.3374593498942198</v>
      </c>
      <c r="AX46" s="23">
        <f t="shared" si="6"/>
        <v>12.883154833258418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1.1368683772161603E-13</v>
      </c>
      <c r="BE46" s="14">
        <f>BD46*VLOOKUP('Données projet'!$B$11,Paramètres!$A$1:$I$89,3,0)*VLOOKUP('Données projet'!$B$11,Paramètres!$A$1:$I$89,5,0)</f>
        <v>8.3355189417488869E-14</v>
      </c>
      <c r="BF46" s="14">
        <f t="shared" si="37"/>
        <v>1.2790518435140618E-12</v>
      </c>
      <c r="BG46" s="22">
        <f t="shared" si="7"/>
        <v>2.3728589156891171E-12</v>
      </c>
      <c r="BH46" s="62">
        <f t="shared" si="8"/>
        <v>293.3333333333357</v>
      </c>
      <c r="BI46" s="62">
        <f ca="1">AVERAGE(OFFSET($BH$3,0,0,'Données projet'!$E$11+1,1))-AVERAGE(OFFSET($H$3,0,0,'Données projet'!$E$11+1,1))</f>
        <v>182.06733089745194</v>
      </c>
      <c r="BJ46" s="62">
        <f t="shared" si="38"/>
        <v>320.36755413886021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46.186564712870407</v>
      </c>
      <c r="BQ46" s="23">
        <f>EXP(-LN(2)/25)*BQ45+(1-EXP(-LN(2)/25))/(LN(2)/25)*Calculateur!BL46*Calculateur!BN46*VLOOKUP('Données projet'!$B$11,Paramètres!$A$1:$I$89,3,0)*0.475*44/12</f>
        <v>8.8614689668730371</v>
      </c>
      <c r="BR46" s="23">
        <f>EXP(-LN(2)/2)*BR45+(1-EXP(-LN(2)/2))/(LN(2)/2)*BL46*BO46*VLOOKUP('Données projet'!$B$11,Paramètres!$A$1:$I$89,3,0)*0.475*44/12</f>
        <v>8.1801665229460134</v>
      </c>
      <c r="BS46" s="24">
        <f t="shared" si="9"/>
        <v>63.22820020268945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10.8</v>
      </c>
      <c r="BY46" s="13">
        <f>IF('Données projet'!$A$114&gt;35,BY45+BX46-CG45,IF(A46&lt;'Données projet'!$A$114,$BV$205^A46,IF(A46='Données projet'!$A$114,'Données projet'!$B$114,BY45+BX46-CG45)))</f>
        <v>185.39999999999998</v>
      </c>
      <c r="BZ46" s="14">
        <f>BY46*VLOOKUP('Données projet'!$B$12,Paramètres!$A$1:$I$89,3,0)*VLOOKUP('Données projet'!$B$12,Paramètres!$A$1:$I$89,5,0)</f>
        <v>161.96544</v>
      </c>
      <c r="CA46" s="14">
        <f t="shared" si="39"/>
        <v>41.285510388923619</v>
      </c>
      <c r="CB46" s="22">
        <f t="shared" si="10"/>
        <v>353.99540526070865</v>
      </c>
      <c r="CC46" s="62">
        <f t="shared" si="11"/>
        <v>647.32873859404197</v>
      </c>
      <c r="CD46" s="62">
        <f ca="1">AVERAGE(OFFSET($CC$3,0,0,'Données projet'!$E$12+1,1))-AVERAGE(OFFSET($H$3,0,0,'Données projet'!$E$12+1,1))</f>
        <v>248.60758320902863</v>
      </c>
      <c r="CE46" s="62">
        <f t="shared" si="40"/>
        <v>222.23585883330111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12.245931756982042</v>
      </c>
      <c r="CL46" s="23">
        <f>EXP(-LN(2)/25)*CL45+(1-EXP(-LN(2)/25))/(LN(2)/25)*Calculateur!CG46*Calculateur!CI46*VLOOKUP('Données projet'!$B$12,Paramètres!$A$1:$I$89,3,0)*0.475*44/12</f>
        <v>7.0543385498179276</v>
      </c>
      <c r="CM46" s="23">
        <f>EXP(-LN(2)/2)*CM45+(1-EXP(-LN(2)/2))/(LN(2)/2)*CG46*CJ46*VLOOKUP('Données projet'!$B$12,Paramètres!$A$1:$I$89,3,0)*0.475*44/12</f>
        <v>2.0591310814985078</v>
      </c>
      <c r="CN46" s="24">
        <f t="shared" si="12"/>
        <v>21.359401388298476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193.99999999999994</v>
      </c>
      <c r="CU46" s="18">
        <f>CT46*VLOOKUP('Données projet'!$B$13,Paramètres!$A$1:$I$89,3,0)*VLOOKUP('Données projet'!$B$13,Paramètres!$A$1:$I$89,5,0)</f>
        <v>105.92399999999998</v>
      </c>
      <c r="CV46" s="14">
        <f t="shared" si="41"/>
        <v>28.36854701055546</v>
      </c>
      <c r="CW46" s="22">
        <f t="shared" si="13"/>
        <v>233.89285271005073</v>
      </c>
      <c r="CX46" s="62">
        <f t="shared" si="14"/>
        <v>527.22618604338402</v>
      </c>
      <c r="CY46" s="62">
        <f ca="1">AVERAGE(OFFSET($CX$3,0,0,'Données projet'!$E$13+1,1))-AVERAGE(OFFSET($H$3,0,0,'Données projet'!$E$13+1,1))</f>
        <v>135.44138026609272</v>
      </c>
      <c r="CZ46" s="62">
        <f t="shared" si="42"/>
        <v>254.77247578425659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51.079867924455073</v>
      </c>
      <c r="DG46" s="23">
        <f>EXP(-LN(2)/25)*DG45+(1-EXP(-LN(2)/25))/(LN(2)/25)*Calculateur!DB46*Calculateur!DD46*VLOOKUP('Données projet'!$B$13,Paramètres!$A$1:$I$89,3,0)*0.475*44/12</f>
        <v>31.546858409672957</v>
      </c>
      <c r="DH46" s="23">
        <f>EXP(-LN(2)/2)*DH45+(1-EXP(-LN(2)/2))/(LN(2)/2)*DB46*DE46*VLOOKUP('Données projet'!$B$13,Paramètres!$A$1:$I$89,3,0)*0.475*44/12</f>
        <v>0.93969662057743997</v>
      </c>
      <c r="DI46" s="24">
        <f t="shared" si="15"/>
        <v>83.566422954705459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10.8</v>
      </c>
      <c r="DO46" s="13">
        <f>IF('Données projet'!$A$166&gt;35,DO45+DN46-DW45,IF(A46&lt;'Données projet'!$A$166,$DL$205^A46,IF(A46='Données projet'!$A$166,'Données projet'!$B$166,DO45+DN46-DW45)))</f>
        <v>241.40000000000009</v>
      </c>
      <c r="DP46" s="18">
        <f>DO46*VLOOKUP('Données projet'!$B$14,Paramètres!$A$1:$I$89,3,0)*VLOOKUP('Données projet'!$B$14,Paramètres!$A$1:$I$89,5,0)</f>
        <v>233.48208000000011</v>
      </c>
      <c r="DQ46" s="14">
        <f t="shared" si="43"/>
        <v>57.034928946327504</v>
      </c>
      <c r="DR46" s="22">
        <f t="shared" si="16"/>
        <v>505.98379058152062</v>
      </c>
      <c r="DS46" s="62">
        <f t="shared" si="17"/>
        <v>799.31712391485394</v>
      </c>
      <c r="DT46" s="62">
        <f ca="1">AVERAGE(OFFSET($DS$3,0,0,'Données projet'!$E$14+1,1))-AVERAGE(OFFSET($H$3,0,0,'Données projet'!$E$14+1,1))</f>
        <v>271.09447278906288</v>
      </c>
      <c r="DU46" s="62">
        <f t="shared" si="44"/>
        <v>325.1094067861851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16.708730276306159</v>
      </c>
      <c r="EB46" s="23">
        <f>EXP(-LN(2)/25)*EB45+(1-EXP(-LN(2)/25))/(LN(2)/25)*Calculateur!DW46*Calculateur!DY46*VLOOKUP('Données projet'!$B$14,Paramètres!$A$1:$I$89,3,0)*0.475*44/12</f>
        <v>3.1468790709198191</v>
      </c>
      <c r="EC46" s="23">
        <f>EXP(-LN(2)/2)*EC45+(1-EXP(-LN(2)/2))/(LN(2)/2)*DW46*DZ46*VLOOKUP('Données projet'!$B$14,Paramètres!$A$1:$I$89,3,0)*0.475*44/12</f>
        <v>1.8315910062639245</v>
      </c>
      <c r="ED46" s="24">
        <f t="shared" si="18"/>
        <v>21.687200353489903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10.8</v>
      </c>
      <c r="EJ46" s="13">
        <f>IF('Données projet'!$A$192&gt;35,EJ45+EI46-ER45,IF(A46&lt;'Données projet'!$A$192,$EG$205^A46,IF(A46='Données projet'!$A$192,'Données projet'!$B$192,EJ45+EI46-ER45)))</f>
        <v>241.40000000000009</v>
      </c>
      <c r="EK46" s="18">
        <f>EJ46*VLOOKUP('Données projet'!$B$15,Paramètres!$A$1:$I$89,3,0)*VLOOKUP('Données projet'!$B$15,Paramètres!$A$1:$I$89,5,0)</f>
        <v>259.84296000000012</v>
      </c>
      <c r="EL46" s="14">
        <f t="shared" si="45"/>
        <v>62.688902197302973</v>
      </c>
      <c r="EM46" s="22">
        <f t="shared" si="19"/>
        <v>561.74299332696955</v>
      </c>
      <c r="EN46" s="62">
        <f t="shared" si="20"/>
        <v>855.07632666030281</v>
      </c>
      <c r="EO46" s="62">
        <f ca="1">AVERAGE(OFFSET($EN$3,0,0,'Données projet'!$E$15+1,1))-AVERAGE(OFFSET($H$3,0,0,'Données projet'!$E$15+1,1))</f>
        <v>306.50593475734655</v>
      </c>
      <c r="EP46" s="62">
        <f t="shared" si="46"/>
        <v>366.48643801375079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18.595199823631042</v>
      </c>
      <c r="EW46" s="23">
        <f>EXP(-LN(2)/25)*EW45+(1-EXP(-LN(2)/25))/(LN(2)/25)*Calculateur!ER46*Calculateur!ET46*VLOOKUP('Données projet'!$B$15,Paramètres!$A$1:$I$89,3,0)*0.475*44/12</f>
        <v>3.502171869249477</v>
      </c>
      <c r="EX46" s="23">
        <f>EXP(-LN(2)/2)*EX45+(1-EXP(-LN(2)/2))/(LN(2)/2)*ER46*EU46*VLOOKUP('Données projet'!$B$15,Paramètres!$A$1:$I$89,3,0)*0.475*44/12</f>
        <v>2.0383835392292062</v>
      </c>
      <c r="EY46" s="24">
        <f t="shared" si="21"/>
        <v>24.135755232109723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32.260799999999996</v>
      </c>
      <c r="D47" s="12">
        <f t="shared" si="32"/>
        <v>9.9224155703389041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325.62482194647572</v>
      </c>
      <c r="H47" s="70">
        <f t="shared" si="1"/>
        <v>366.80243378500688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11.4</v>
      </c>
      <c r="N47" s="14">
        <f>IF('Données projet'!$A$36&gt;35,N46+M47-V46,IF(A47&lt;'Données projet'!$A$36,$K$205^A47,IF(A47='Données projet'!$A$36,'Données projet'!$B$36,N46+M47-V46)))</f>
        <v>192.60000000000002</v>
      </c>
      <c r="O47" s="14">
        <f>N47*VLOOKUP('Données projet'!$B$9,Paramètres!$A$1:$I$89,3,0)*VLOOKUP('Données projet'!$B$9,Paramètres!$A$1:$I$89,5,0)</f>
        <v>174.26447999999999</v>
      </c>
      <c r="P47" s="14">
        <f t="shared" si="33"/>
        <v>44.043743683739521</v>
      </c>
      <c r="Q47" s="22">
        <f t="shared" si="53"/>
        <v>380.22015624917964</v>
      </c>
      <c r="R47" s="62">
        <f t="shared" si="0"/>
        <v>673.55348958251295</v>
      </c>
      <c r="S47" s="62">
        <f ca="1">AVERAGE(OFFSET($R$3,0,0,'Données projet'!$E$9+1,1))-AVERAGE(OFFSET($H$3,0,0,'Données projet'!$E$9+1,1))</f>
        <v>312.57314929661908</v>
      </c>
      <c r="T47" s="62">
        <f t="shared" si="34"/>
        <v>190.92100876773804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8.4809143909876266</v>
      </c>
      <c r="AA47" s="23">
        <f>EXP(-LN(2)/25)*AA46+(1-EXP(-LN(2)/25))/(LN(2)/25)*Calculateur!V47*Calculateur!X47*VLOOKUP('Données projet'!$B$9,Paramètres!$A$1:$I$89,3,0)*0.475*44/12</f>
        <v>1.6065989211035341</v>
      </c>
      <c r="AB47" s="23">
        <f>EXP(-LN(2)/2)*AB46+(1-EXP(-LN(2)/2))/(LN(2)/2)*V47*Y47*VLOOKUP('Données projet'!$B$9,Paramètres!$A$1:$I$89,3,0)*0.475*44/12</f>
        <v>0.84387909847000231</v>
      </c>
      <c r="AC47" s="24">
        <f t="shared" si="3"/>
        <v>10.931392410561164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11.4</v>
      </c>
      <c r="AI47" s="14">
        <f>IF('Données projet'!$A$62&gt;35,AI46+AH47-AQ46,IF(A47&lt;'Données projet'!$A$62,$AF$205^A47,IF(A47='Données projet'!$A$62,'Données projet'!$B$62,AI46+AH47-AQ46)))</f>
        <v>192.60000000000002</v>
      </c>
      <c r="AJ47" s="14">
        <f>AI47*VLOOKUP('Données projet'!$B$10,Paramètres!$A$1:$I$89,3,0)*VLOOKUP('Données projet'!$B$10,Paramètres!$A$1:$I$89,5,0)</f>
        <v>195.29640000000003</v>
      </c>
      <c r="AK47" s="14">
        <f t="shared" si="35"/>
        <v>48.709031383366153</v>
      </c>
      <c r="AL47" s="22">
        <f t="shared" si="4"/>
        <v>424.97612632602949</v>
      </c>
      <c r="AM47" s="62">
        <f t="shared" si="5"/>
        <v>718.3094596593628</v>
      </c>
      <c r="AN47" s="62">
        <f ca="1">AVERAGE(OFFSET($AM$3,0,0,'Données projet'!$E$10+1,1))-AVERAGE(OFFSET($H$3,0,0,'Données projet'!$E$10+1,1))</f>
        <v>360.56293184044779</v>
      </c>
      <c r="AO47" s="62">
        <f t="shared" si="36"/>
        <v>219.32252911220542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9.5044730243826887</v>
      </c>
      <c r="AV47" s="23">
        <f>EXP(-LN(2)/25)*AV46+(1-EXP(-LN(2)/25))/(LN(2)/25)*Calculateur!AQ47*Calculateur!AS47*VLOOKUP('Données projet'!$B$10,Paramètres!$A$1:$I$89,3,0)*0.475*44/12</f>
        <v>1.8004987908918919</v>
      </c>
      <c r="AW47" s="23">
        <f>EXP(-LN(2)/2)*AW46+(1-EXP(-LN(2)/2))/(LN(2)/2)*AQ47*AT47*VLOOKUP('Données projet'!$B$10,Paramètres!$A$1:$I$89,3,0)*0.475*44/12</f>
        <v>0.94572657587155418</v>
      </c>
      <c r="AX47" s="23">
        <f t="shared" si="6"/>
        <v>12.250698391146134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1.1368683772161603E-13</v>
      </c>
      <c r="BE47" s="14">
        <f>BD47*VLOOKUP('Données projet'!$B$11,Paramètres!$A$1:$I$89,3,0)*VLOOKUP('Données projet'!$B$11,Paramètres!$A$1:$I$89,5,0)</f>
        <v>8.3355189417488869E-14</v>
      </c>
      <c r="BF47" s="14">
        <f t="shared" si="37"/>
        <v>1.2790518435140618E-12</v>
      </c>
      <c r="BG47" s="22">
        <f t="shared" si="7"/>
        <v>2.3728589156891171E-12</v>
      </c>
      <c r="BH47" s="62">
        <f t="shared" si="8"/>
        <v>293.3333333333357</v>
      </c>
      <c r="BI47" s="62">
        <f ca="1">AVERAGE(OFFSET($BH$3,0,0,'Données projet'!$E$11+1,1))-AVERAGE(OFFSET($H$3,0,0,'Données projet'!$E$11+1,1))</f>
        <v>182.06733089745194</v>
      </c>
      <c r="BJ47" s="62">
        <f t="shared" si="38"/>
        <v>320.36755413886021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45.280874349873834</v>
      </c>
      <c r="BQ47" s="23">
        <f>EXP(-LN(2)/25)*BQ46+(1-EXP(-LN(2)/25))/(LN(2)/25)*Calculateur!BL47*Calculateur!BN47*VLOOKUP('Données projet'!$B$11,Paramètres!$A$1:$I$89,3,0)*0.475*44/12</f>
        <v>8.6191516319694941</v>
      </c>
      <c r="BR47" s="23">
        <f>EXP(-LN(2)/2)*BR46+(1-EXP(-LN(2)/2))/(LN(2)/2)*BL47*BO47*VLOOKUP('Données projet'!$B$11,Paramètres!$A$1:$I$89,3,0)*0.475*44/12</f>
        <v>5.784251219610308</v>
      </c>
      <c r="BS47" s="24">
        <f t="shared" si="9"/>
        <v>59.684277201453639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10.8</v>
      </c>
      <c r="BY47" s="13">
        <f>IF('Données projet'!$A$114&gt;35,BY46+BX47-CG46,IF(A47&lt;'Données projet'!$A$114,$BV$205^A47,IF(A47='Données projet'!$A$114,'Données projet'!$B$114,BY46+BX47-CG46)))</f>
        <v>196.2</v>
      </c>
      <c r="BZ47" s="14">
        <f>BY47*VLOOKUP('Données projet'!$B$12,Paramètres!$A$1:$I$89,3,0)*VLOOKUP('Données projet'!$B$12,Paramètres!$A$1:$I$89,5,0)</f>
        <v>171.40031999999999</v>
      </c>
      <c r="CA47" s="14">
        <f t="shared" si="39"/>
        <v>43.403498788621114</v>
      </c>
      <c r="CB47" s="22">
        <f t="shared" si="10"/>
        <v>374.11665105684841</v>
      </c>
      <c r="CC47" s="62">
        <f t="shared" si="11"/>
        <v>667.44998439018173</v>
      </c>
      <c r="CD47" s="62">
        <f ca="1">AVERAGE(OFFSET($CC$3,0,0,'Données projet'!$E$12+1,1))-AVERAGE(OFFSET($H$3,0,0,'Données projet'!$E$12+1,1))</f>
        <v>248.60758320902863</v>
      </c>
      <c r="CE47" s="62">
        <f t="shared" si="40"/>
        <v>222.23585883330111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12.005796504508465</v>
      </c>
      <c r="CL47" s="23">
        <f>EXP(-LN(2)/25)*CL46+(1-EXP(-LN(2)/25))/(LN(2)/25)*Calculateur!CG47*Calculateur!CI47*VLOOKUP('Données projet'!$B$12,Paramètres!$A$1:$I$89,3,0)*0.475*44/12</f>
        <v>6.8614372912016153</v>
      </c>
      <c r="CM47" s="23">
        <f>EXP(-LN(2)/2)*CM46+(1-EXP(-LN(2)/2))/(LN(2)/2)*CG47*CJ47*VLOOKUP('Données projet'!$B$12,Paramètres!$A$1:$I$89,3,0)*0.475*44/12</f>
        <v>1.4560255510795843</v>
      </c>
      <c r="CN47" s="24">
        <f t="shared" si="12"/>
        <v>20.323259346789666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193.99999999999994</v>
      </c>
      <c r="CU47" s="18">
        <f>CT47*VLOOKUP('Données projet'!$B$13,Paramètres!$A$1:$I$89,3,0)*VLOOKUP('Données projet'!$B$13,Paramètres!$A$1:$I$89,5,0)</f>
        <v>105.92399999999998</v>
      </c>
      <c r="CV47" s="14">
        <f t="shared" si="41"/>
        <v>28.36854701055546</v>
      </c>
      <c r="CW47" s="22">
        <f t="shared" si="13"/>
        <v>233.89285271005073</v>
      </c>
      <c r="CX47" s="62">
        <f t="shared" si="14"/>
        <v>527.22618604338402</v>
      </c>
      <c r="CY47" s="62">
        <f ca="1">AVERAGE(OFFSET($CX$3,0,0,'Données projet'!$E$13+1,1))-AVERAGE(OFFSET($H$3,0,0,'Données projet'!$E$13+1,1))</f>
        <v>135.44138026609272</v>
      </c>
      <c r="CZ47" s="62">
        <f t="shared" si="42"/>
        <v>254.77247578425659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50.07822287009958</v>
      </c>
      <c r="DG47" s="23">
        <f>EXP(-LN(2)/25)*DG46+(1-EXP(-LN(2)/25))/(LN(2)/25)*Calculateur!DB47*Calculateur!DD47*VLOOKUP('Données projet'!$B$13,Paramètres!$A$1:$I$89,3,0)*0.475*44/12</f>
        <v>30.684207907483266</v>
      </c>
      <c r="DH47" s="23">
        <f>EXP(-LN(2)/2)*DH46+(1-EXP(-LN(2)/2))/(LN(2)/2)*DB47*DE47*VLOOKUP('Données projet'!$B$13,Paramètres!$A$1:$I$89,3,0)*0.475*44/12</f>
        <v>0.66446585266839009</v>
      </c>
      <c r="DI47" s="24">
        <f t="shared" si="15"/>
        <v>81.426896630251235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10.8</v>
      </c>
      <c r="DO47" s="13">
        <f>IF('Données projet'!$A$166&gt;35,DO46+DN47-DW46,IF(A47&lt;'Données projet'!$A$166,$DL$205^A47,IF(A47='Données projet'!$A$166,'Données projet'!$B$166,DO46+DN47-DW46)))</f>
        <v>252.2000000000001</v>
      </c>
      <c r="DP47" s="18">
        <f>DO47*VLOOKUP('Données projet'!$B$14,Paramètres!$A$1:$I$89,3,0)*VLOOKUP('Données projet'!$B$14,Paramètres!$A$1:$I$89,5,0)</f>
        <v>243.92784000000012</v>
      </c>
      <c r="DQ47" s="14">
        <f t="shared" si="43"/>
        <v>59.283824299708904</v>
      </c>
      <c r="DR47" s="22">
        <f t="shared" si="16"/>
        <v>528.09364865532655</v>
      </c>
      <c r="DS47" s="62">
        <f t="shared" si="17"/>
        <v>821.42698198865992</v>
      </c>
      <c r="DT47" s="62">
        <f ca="1">AVERAGE(OFFSET($DS$3,0,0,'Données projet'!$E$14+1,1))-AVERAGE(OFFSET($H$3,0,0,'Données projet'!$E$14+1,1))</f>
        <v>271.09447278906288</v>
      </c>
      <c r="DU47" s="62">
        <f t="shared" si="44"/>
        <v>325.1094067861851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16.381082266906954</v>
      </c>
      <c r="EB47" s="23">
        <f>EXP(-LN(2)/25)*EB46+(1-EXP(-LN(2)/25))/(LN(2)/25)*Calculateur!DW47*Calculateur!DY47*VLOOKUP('Données projet'!$B$14,Paramètres!$A$1:$I$89,3,0)*0.475*44/12</f>
        <v>3.0608274972383387</v>
      </c>
      <c r="EC47" s="23">
        <f>EXP(-LN(2)/2)*EC46+(1-EXP(-LN(2)/2))/(LN(2)/2)*DW47*DZ47*VLOOKUP('Données projet'!$B$14,Paramètres!$A$1:$I$89,3,0)*0.475*44/12</f>
        <v>1.2951304208895134</v>
      </c>
      <c r="ED47" s="24">
        <f t="shared" si="18"/>
        <v>20.737040185034807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10.8</v>
      </c>
      <c r="EJ47" s="13">
        <f>IF('Données projet'!$A$192&gt;35,EJ46+EI47-ER46,IF(A47&lt;'Données projet'!$A$192,$EG$205^A47,IF(A47='Données projet'!$A$192,'Données projet'!$B$192,EJ46+EI47-ER46)))</f>
        <v>252.2000000000001</v>
      </c>
      <c r="EK47" s="18">
        <f>EJ47*VLOOKUP('Données projet'!$B$15,Paramètres!$A$1:$I$89,3,0)*VLOOKUP('Données projet'!$B$15,Paramètres!$A$1:$I$89,5,0)</f>
        <v>271.4680800000001</v>
      </c>
      <c r="EL47" s="14">
        <f t="shared" si="45"/>
        <v>65.160734519435991</v>
      </c>
      <c r="EM47" s="22">
        <f t="shared" si="19"/>
        <v>586.29518528801782</v>
      </c>
      <c r="EN47" s="62">
        <f t="shared" si="20"/>
        <v>879.62851862135108</v>
      </c>
      <c r="EO47" s="62">
        <f ca="1">AVERAGE(OFFSET($EN$3,0,0,'Données projet'!$E$15+1,1))-AVERAGE(OFFSET($H$3,0,0,'Données projet'!$E$15+1,1))</f>
        <v>306.50593475734655</v>
      </c>
      <c r="EP47" s="62">
        <f t="shared" si="46"/>
        <v>366.48643801375079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18.230559297041605</v>
      </c>
      <c r="EW47" s="23">
        <f>EXP(-LN(2)/25)*EW46+(1-EXP(-LN(2)/25))/(LN(2)/25)*Calculateur!ER47*Calculateur!ET47*VLOOKUP('Données projet'!$B$15,Paramètres!$A$1:$I$89,3,0)*0.475*44/12</f>
        <v>3.4064047953136356</v>
      </c>
      <c r="EX47" s="23">
        <f>EXP(-LN(2)/2)*EX46+(1-EXP(-LN(2)/2))/(LN(2)/2)*ER47*EU47*VLOOKUP('Données projet'!$B$15,Paramètres!$A$1:$I$89,3,0)*0.475*44/12</f>
        <v>1.4413548232480067</v>
      </c>
      <c r="EY47" s="24">
        <f t="shared" si="21"/>
        <v>23.078318915603248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32.993999999999993</v>
      </c>
      <c r="D48" s="12">
        <f t="shared" si="32"/>
        <v>10.121414351623134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332.82074236340662</v>
      </c>
      <c r="H48" s="70">
        <f t="shared" si="1"/>
        <v>368.42601332907691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204</v>
      </c>
      <c r="L48" s="13">
        <f>VLOOKUP(A48,'Données projet'!$A$35:$I$55,9,0)</f>
        <v>11.4</v>
      </c>
      <c r="M48" s="13">
        <f t="array" ref="M48">INDEX(L:L,MIN(IF(ISNUMBER(L48:L244),ROW(L48:L244),"")))</f>
        <v>11.4</v>
      </c>
      <c r="N48" s="14">
        <f>IF('Données projet'!$A$36&gt;35,N47+M48-V47,IF(A48&lt;'Données projet'!$A$36,$K$205^A48,IF(A48='Données projet'!$A$36,'Données projet'!$B$36,N47+M48-V47)))</f>
        <v>204.00000000000003</v>
      </c>
      <c r="O48" s="14">
        <f>N48*VLOOKUP('Données projet'!$B$9,Paramètres!$A$1:$I$89,3,0)*VLOOKUP('Données projet'!$B$9,Paramètres!$A$1:$I$89,5,0)</f>
        <v>184.57920000000001</v>
      </c>
      <c r="P48" s="14">
        <f t="shared" si="33"/>
        <v>46.339479465836661</v>
      </c>
      <c r="Q48" s="22">
        <f t="shared" si="53"/>
        <v>402.18336673633218</v>
      </c>
      <c r="R48" s="62">
        <f t="shared" si="0"/>
        <v>695.51670006966549</v>
      </c>
      <c r="S48" s="62">
        <f ca="1">AVERAGE(OFFSET($R$3,0,0,'Données projet'!$E$9+1,1))-AVERAGE(OFFSET($H$3,0,0,'Données projet'!$E$9+1,1))</f>
        <v>312.57314929661908</v>
      </c>
      <c r="T48" s="62">
        <f t="shared" si="34"/>
        <v>190.92100876773804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28</v>
      </c>
      <c r="W48" s="17">
        <f>IF(ISNA(VLOOKUP(A48,'Données projet'!$A$35:$I$55,5,0)),0%,VLOOKUP(A48,'Données projet'!$A$35:$I$55,5,0)*VLOOKUP('Données projet'!$B$9,Paramètres!$A$1:$I$89,7,0))</f>
        <v>0.25800000000000001</v>
      </c>
      <c r="X48" s="17">
        <f>IF(ISNA(VLOOKUP(A48,'Données projet'!$A$35:$I$55,6,0)),0%,VLOOKUP(A48,'Données projet'!$A$35:$I$55,6,0)*VLOOKUP('Données projet'!$B$9,Paramètres!$A$1:$I$89,7,0))</f>
        <v>1.72E-2</v>
      </c>
      <c r="Y48" s="17">
        <f>IF(ISNA(VLOOKUP(A48,'Données projet'!$A$35:$I$55,7,0)),0%,VLOOKUP(A48,'Données projet'!$A$35:$I$55,7,0))</f>
        <v>0.06</v>
      </c>
      <c r="Z48" s="23">
        <f>EXP(-LN(2)/35)*Z47+(1-EXP(-LN(2)/35))/(LN(2)/35)*V48*W48*VLOOKUP('Données projet'!$B$9,Paramètres!$A$1:$I$89,3,0)*0.475*44/12</f>
        <v>15.54026745870317</v>
      </c>
      <c r="AA48" s="23">
        <f>EXP(-LN(2)/25)*AA47+(1-EXP(-LN(2)/25))/(LN(2)/25)*Calculateur!V48*Calculateur!X48*VLOOKUP('Données projet'!$B$9,Paramètres!$A$1:$I$89,3,0)*0.475*44/12</f>
        <v>2.0424802861101368</v>
      </c>
      <c r="AB48" s="23">
        <f>EXP(-LN(2)/2)*AB47+(1-EXP(-LN(2)/2))/(LN(2)/2)*V48*Y48*VLOOKUP('Données projet'!$B$9,Paramètres!$A$1:$I$89,3,0)*0.475*44/12</f>
        <v>2.0309339289524537</v>
      </c>
      <c r="AC48" s="24">
        <f t="shared" si="3"/>
        <v>19.613681673765761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204</v>
      </c>
      <c r="AG48" s="13">
        <f>VLOOKUP(A48,'Données projet'!$A$61:$I$81,9,0)</f>
        <v>11.4</v>
      </c>
      <c r="AH48" s="13">
        <f t="array" ref="AH48">INDEX(AG:AG,MIN(IF(ISNUMBER(AG48:AG244),ROW(AG48:AG244),"")))</f>
        <v>11.4</v>
      </c>
      <c r="AI48" s="14">
        <f>IF('Données projet'!$A$62&gt;35,AI47+AH48-AQ47,IF(A48&lt;'Données projet'!$A$62,$AF$205^A48,IF(A48='Données projet'!$A$62,'Données projet'!$B$62,AI47+AH48-AQ47)))</f>
        <v>204.00000000000003</v>
      </c>
      <c r="AJ48" s="14">
        <f>AI48*VLOOKUP('Données projet'!$B$10,Paramètres!$A$1:$I$89,3,0)*VLOOKUP('Données projet'!$B$10,Paramètres!$A$1:$I$89,5,0)</f>
        <v>206.85600000000005</v>
      </c>
      <c r="AK48" s="14">
        <f t="shared" si="35"/>
        <v>51.247940588293027</v>
      </c>
      <c r="AL48" s="22">
        <f t="shared" si="4"/>
        <v>449.53102985794379</v>
      </c>
      <c r="AM48" s="62">
        <f t="shared" si="5"/>
        <v>742.86436319127711</v>
      </c>
      <c r="AN48" s="62">
        <f ca="1">AVERAGE(OFFSET($AM$3,0,0,'Données projet'!$E$10+1,1))-AVERAGE(OFFSET($H$3,0,0,'Données projet'!$E$10+1,1))</f>
        <v>360.56293184044779</v>
      </c>
      <c r="AO48" s="62">
        <f t="shared" si="36"/>
        <v>219.32252911220542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28</v>
      </c>
      <c r="AR48" s="17">
        <f>IF(ISNA(VLOOKUP(A48,'Données projet'!$A$61:$I$81,5,0)),0%,VLOOKUP(A48,'Données projet'!$A$61:$I$81,5,0)*VLOOKUP('Données projet'!$B$10,Paramètres!$A$1:$I$89,7,0))</f>
        <v>0.25800000000000001</v>
      </c>
      <c r="AS48" s="17">
        <f>IF(ISNA(VLOOKUP(A48,'Données projet'!$A$61:$I$81,6,0)),0%,VLOOKUP(A48,'Données projet'!$A$61:$I$81,6,0)*VLOOKUP('Données projet'!$B$10,Paramètres!$A$1:$I$89,7,0))</f>
        <v>1.72E-2</v>
      </c>
      <c r="AT48" s="17">
        <f>IF(ISNA(VLOOKUP(A48,'Données projet'!$A$61:$I$81,7,0)),0%,VLOOKUP(A48,'Données projet'!$A$61:$I$81,7,0))</f>
        <v>0.06</v>
      </c>
      <c r="AU48" s="23">
        <f>EXP(-LN(2)/35)*AU47+(1-EXP(-LN(2)/35))/(LN(2)/35)*AQ48*AR48*VLOOKUP('Données projet'!$B$10,Paramètres!$A$1:$I$89,3,0)*0.475*44/12</f>
        <v>17.415816979581145</v>
      </c>
      <c r="AV48" s="23">
        <f>EXP(-LN(2)/25)*AV47+(1-EXP(-LN(2)/25))/(LN(2)/25)*Calculateur!AQ48*Calculateur!AS48*VLOOKUP('Données projet'!$B$10,Paramètres!$A$1:$I$89,3,0)*0.475*44/12</f>
        <v>2.2889865275372228</v>
      </c>
      <c r="AW48" s="23">
        <f>EXP(-LN(2)/2)*AW47+(1-EXP(-LN(2)/2))/(LN(2)/2)*AQ48*AT48*VLOOKUP('Données projet'!$B$10,Paramètres!$A$1:$I$89,3,0)*0.475*44/12</f>
        <v>2.2760466445156808</v>
      </c>
      <c r="AX48" s="23">
        <f t="shared" si="6"/>
        <v>21.980850151634048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1.1368683772161603E-13</v>
      </c>
      <c r="BE48" s="14">
        <f>BD48*VLOOKUP('Données projet'!$B$11,Paramètres!$A$1:$I$89,3,0)*VLOOKUP('Données projet'!$B$11,Paramètres!$A$1:$I$89,5,0)</f>
        <v>8.3355189417488869E-14</v>
      </c>
      <c r="BF48" s="14">
        <f t="shared" si="37"/>
        <v>1.2790518435140618E-12</v>
      </c>
      <c r="BG48" s="22">
        <f t="shared" si="7"/>
        <v>2.3728589156891171E-12</v>
      </c>
      <c r="BH48" s="62">
        <f t="shared" si="8"/>
        <v>293.3333333333357</v>
      </c>
      <c r="BI48" s="62">
        <f ca="1">AVERAGE(OFFSET($BH$3,0,0,'Données projet'!$E$11+1,1))-AVERAGE(OFFSET($H$3,0,0,'Données projet'!$E$11+1,1))</f>
        <v>182.06733089745194</v>
      </c>
      <c r="BJ48" s="62">
        <f t="shared" si="38"/>
        <v>320.36755413886021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44.39294402247905</v>
      </c>
      <c r="BQ48" s="23">
        <f>EXP(-LN(2)/25)*BQ47+(1-EXP(-LN(2)/25))/(LN(2)/25)*Calculateur!BL48*Calculateur!BN48*VLOOKUP('Données projet'!$B$11,Paramètres!$A$1:$I$89,3,0)*0.475*44/12</f>
        <v>8.3834604773318038</v>
      </c>
      <c r="BR48" s="23">
        <f>EXP(-LN(2)/2)*BR47+(1-EXP(-LN(2)/2))/(LN(2)/2)*BL48*BO48*VLOOKUP('Données projet'!$B$11,Paramètres!$A$1:$I$89,3,0)*0.475*44/12</f>
        <v>4.0900832614730067</v>
      </c>
      <c r="BS48" s="24">
        <f t="shared" si="9"/>
        <v>56.866487761283857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207</v>
      </c>
      <c r="BW48" s="13">
        <f>VLOOKUP(A48,'Données projet'!$A$113:$I$133,9,0)</f>
        <v>10.8</v>
      </c>
      <c r="BX48" s="13">
        <f t="array" ref="BX48">INDEX(BW:BW,MIN(IF(ISNUMBER(BW48:BW244),ROW(BW48:BW244),"")))</f>
        <v>10.8</v>
      </c>
      <c r="BY48" s="13">
        <f>IF('Données projet'!$A$114&gt;35,BY47+BX48-CG47,IF(A48&lt;'Données projet'!$A$114,$BV$205^A48,IF(A48='Données projet'!$A$114,'Données projet'!$B$114,BY47+BX48-CG47)))</f>
        <v>207</v>
      </c>
      <c r="BZ48" s="14">
        <f>BY48*VLOOKUP('Données projet'!$B$12,Paramètres!$A$1:$I$89,3,0)*VLOOKUP('Données projet'!$B$12,Paramètres!$A$1:$I$89,5,0)</f>
        <v>180.83520000000004</v>
      </c>
      <c r="CA48" s="14">
        <f t="shared" si="39"/>
        <v>45.507952685945142</v>
      </c>
      <c r="CB48" s="22">
        <f t="shared" si="10"/>
        <v>394.21432426135453</v>
      </c>
      <c r="CC48" s="62">
        <f t="shared" si="11"/>
        <v>687.54765759468785</v>
      </c>
      <c r="CD48" s="62">
        <f ca="1">AVERAGE(OFFSET($CC$3,0,0,'Données projet'!$E$12+1,1))-AVERAGE(OFFSET($H$3,0,0,'Données projet'!$E$12+1,1))</f>
        <v>248.60758320902863</v>
      </c>
      <c r="CE48" s="62">
        <f t="shared" si="40"/>
        <v>222.23585883330111</v>
      </c>
      <c r="CF48" s="16">
        <f>IF(ISNA(VLOOKUP(A48,'Données projet'!$A$113:$I$133,3,0)),0,VLOOKUP(A48,'Données projet'!$A$113:$I$133,3,0))</f>
        <v>6</v>
      </c>
      <c r="CG48" s="16">
        <f>IF(ISNA(VLOOKUP(A48,'Données projet'!$A$113:$I$133,4,0)),0,VLOOKUP(A48,'Données projet'!$A$113:$I$133,4,0))</f>
        <v>32</v>
      </c>
      <c r="CH48" s="17">
        <f>IF(ISNA(VLOOKUP(A48,'Données projet'!$A$113:$I$133,5,0)),0%,VLOOKUP(A48,'Données projet'!$A$113:$I$133,5,0)*VLOOKUP('Données projet'!$B$12,Paramètres!$A$1:$I$89,7,0))</f>
        <v>0.215</v>
      </c>
      <c r="CI48" s="17">
        <f>IF(ISNA(VLOOKUP(A48,'Données projet'!$A$113:$I$133,6,0)),0%,VLOOKUP(A48,'Données projet'!$A$113:$I$133,6,0)*VLOOKUP('Données projet'!$B$12,Paramètres!$A$1:$I$89,7,0))</f>
        <v>4.3000000000000003E-2</v>
      </c>
      <c r="CJ48" s="17">
        <f>IF(ISNA(VLOOKUP(A48,'Données projet'!$A$113:$I$133,7,0)),0%,VLOOKUP(A48,'Données projet'!$A$113:$I$133,7,0))</f>
        <v>0.15</v>
      </c>
      <c r="CK48" s="23">
        <f>EXP(-LN(2)/35)*CK47+(1-EXP(-LN(2)/35))/(LN(2)/35)*CG48*CH48*VLOOKUP('Données projet'!$B$12,Paramètres!$A$1:$I$89,3,0)*0.475*44/12</f>
        <v>18.414653951960553</v>
      </c>
      <c r="CL48" s="23">
        <f>EXP(-LN(2)/25)*CL47+(1-EXP(-LN(2)/25))/(LN(2)/25)*Calculateur!CG48*Calculateur!CI48*VLOOKUP('Données projet'!$B$12,Paramètres!$A$1:$I$89,3,0)*0.475*44/12</f>
        <v>7.997435471071352</v>
      </c>
      <c r="CM48" s="23">
        <f>EXP(-LN(2)/2)*CM47+(1-EXP(-LN(2)/2))/(LN(2)/2)*CG48*CJ48*VLOOKUP('Données projet'!$B$12,Paramètres!$A$1:$I$89,3,0)*0.475*44/12</f>
        <v>4.986038081225737</v>
      </c>
      <c r="CN48" s="24">
        <f t="shared" si="12"/>
        <v>31.398127504257641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193.99999999999994</v>
      </c>
      <c r="CU48" s="18">
        <f>CT48*VLOOKUP('Données projet'!$B$13,Paramètres!$A$1:$I$89,3,0)*VLOOKUP('Données projet'!$B$13,Paramètres!$A$1:$I$89,5,0)</f>
        <v>105.92399999999998</v>
      </c>
      <c r="CV48" s="14">
        <f t="shared" si="41"/>
        <v>28.36854701055546</v>
      </c>
      <c r="CW48" s="22">
        <f t="shared" si="13"/>
        <v>233.89285271005073</v>
      </c>
      <c r="CX48" s="62">
        <f t="shared" si="14"/>
        <v>527.22618604338402</v>
      </c>
      <c r="CY48" s="62">
        <f ca="1">AVERAGE(OFFSET($CX$3,0,0,'Données projet'!$E$13+1,1))-AVERAGE(OFFSET($H$3,0,0,'Données projet'!$E$13+1,1))</f>
        <v>135.44138026609272</v>
      </c>
      <c r="CZ48" s="62">
        <f t="shared" si="42"/>
        <v>254.77247578425659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49.096219464316839</v>
      </c>
      <c r="DG48" s="23">
        <f>EXP(-LN(2)/25)*DG47+(1-EXP(-LN(2)/25))/(LN(2)/25)*Calculateur!DB48*Calculateur!DD48*VLOOKUP('Données projet'!$B$13,Paramètres!$A$1:$I$89,3,0)*0.475*44/12</f>
        <v>29.845146628640773</v>
      </c>
      <c r="DH48" s="23">
        <f>EXP(-LN(2)/2)*DH47+(1-EXP(-LN(2)/2))/(LN(2)/2)*DB48*DE48*VLOOKUP('Données projet'!$B$13,Paramètres!$A$1:$I$89,3,0)*0.475*44/12</f>
        <v>0.46984831028872009</v>
      </c>
      <c r="DI48" s="24">
        <f t="shared" si="15"/>
        <v>79.411214403246333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>
        <f>VLOOKUP(A48,'Données projet'!$A$165:$I$185,2,0)</f>
        <v>263</v>
      </c>
      <c r="DM48" s="13">
        <f>VLOOKUP(A48,'Données projet'!$A$165:$I$185,9,0)</f>
        <v>10.8</v>
      </c>
      <c r="DN48" s="13">
        <f t="array" ref="DN48">INDEX(DM:DM,MIN(IF(ISNUMBER(DM48:DM244),ROW(DM48:DM244),"")))</f>
        <v>10.8</v>
      </c>
      <c r="DO48" s="13">
        <f>IF('Données projet'!$A$166&gt;35,DO47+DN48-DW47,IF(A48&lt;'Données projet'!$A$166,$DL$205^A48,IF(A48='Données projet'!$A$166,'Données projet'!$B$166,DO47+DN48-DW47)))</f>
        <v>263.00000000000011</v>
      </c>
      <c r="DP48" s="18">
        <f>DO48*VLOOKUP('Données projet'!$B$14,Paramètres!$A$1:$I$89,3,0)*VLOOKUP('Données projet'!$B$14,Paramètres!$A$1:$I$89,5,0)</f>
        <v>254.3736000000001</v>
      </c>
      <c r="DQ48" s="14">
        <f t="shared" si="43"/>
        <v>61.521534056516209</v>
      </c>
      <c r="DR48" s="22">
        <f t="shared" si="16"/>
        <v>550.18402514843251</v>
      </c>
      <c r="DS48" s="62">
        <f t="shared" si="17"/>
        <v>843.51735848176577</v>
      </c>
      <c r="DT48" s="62">
        <f ca="1">AVERAGE(OFFSET($DS$3,0,0,'Données projet'!$E$14+1,1))-AVERAGE(OFFSET($H$3,0,0,'Données projet'!$E$14+1,1))</f>
        <v>271.09447278906288</v>
      </c>
      <c r="DU48" s="62">
        <f t="shared" si="44"/>
        <v>325.1094067861851</v>
      </c>
      <c r="DV48" s="16">
        <f>IF(ISNA(VLOOKUP(A48,'Données projet'!$A$165:$I$185,3,0)),0,VLOOKUP(A48,'Données projet'!$A$165:$I$185,3,0))</f>
        <v>6</v>
      </c>
      <c r="DW48" s="16">
        <f>IF(ISNA(VLOOKUP(A48,'Données projet'!$A$165:$I$185,4,0)),0,VLOOKUP(A48,'Données projet'!$A$165:$I$185,4,0))</f>
        <v>36</v>
      </c>
      <c r="DX48" s="17">
        <f>IF(ISNA(VLOOKUP(A48,'Données projet'!$A$165:$I$185,5,0)),0%,VLOOKUP(A48,'Données projet'!$A$165:$I$185,5,0)*VLOOKUP('Données projet'!$B$14,Paramètres!$A$1:$I$89,7,0))</f>
        <v>0.215</v>
      </c>
      <c r="DY48" s="17">
        <f>IF(ISNA(VLOOKUP(A48,'Données projet'!$A$165:$I$185,6,0)),0%,VLOOKUP(A48,'Données projet'!$A$165:$I$185,6,0)*VLOOKUP('Données projet'!$B$14,Paramètres!$A$1:$I$89,7,0))</f>
        <v>4.3000000000000003E-2</v>
      </c>
      <c r="DZ48" s="17">
        <f>IF(ISNA(VLOOKUP(A48,'Données projet'!$A$165:$I$185,7,0)),0%,VLOOKUP(A48,'Données projet'!$A$165:$I$185,7,0))</f>
        <v>0.15</v>
      </c>
      <c r="EA48" s="23">
        <f>EXP(-LN(2)/35)*EA47+(1-EXP(-LN(2)/35))/(LN(2)/35)*DW48*DX48*VLOOKUP('Données projet'!$B$14,Paramètres!$A$1:$I$89,3,0)*0.475*44/12</f>
        <v>24.33555199651876</v>
      </c>
      <c r="EB48" s="23">
        <f>EXP(-LN(2)/25)*EB47+(1-EXP(-LN(2)/25))/(LN(2)/25)*Calculateur!DW48*Calculateur!DY48*VLOOKUP('Données projet'!$B$14,Paramètres!$A$1:$I$89,3,0)*0.475*44/12</f>
        <v>4.6257506495053313</v>
      </c>
      <c r="EC48" s="23">
        <f>EXP(-LN(2)/2)*EC47+(1-EXP(-LN(2)/2))/(LN(2)/2)*DW48*DZ48*VLOOKUP('Données projet'!$B$14,Paramètres!$A$1:$I$89,3,0)*0.475*44/12</f>
        <v>5.8437233548861514</v>
      </c>
      <c r="ED48" s="24">
        <f t="shared" si="18"/>
        <v>34.805026000910246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>
        <f>VLOOKUP(A48,'Données projet'!$A$191:$I$211,2,0)</f>
        <v>263</v>
      </c>
      <c r="EH48" s="13">
        <f>VLOOKUP(A48,'Données projet'!$A$191:$I$211,9,0)</f>
        <v>10.8</v>
      </c>
      <c r="EI48" s="13">
        <f t="array" ref="EI48">INDEX(EH:EH,MIN(IF(ISNUMBER(EH48:EH244),ROW(EH48:EH244),"")))</f>
        <v>10.8</v>
      </c>
      <c r="EJ48" s="13">
        <f>IF('Données projet'!$A$192&gt;35,EJ47+EI48-ER47,IF(A48&lt;'Données projet'!$A$192,$EG$205^A48,IF(A48='Données projet'!$A$192,'Données projet'!$B$192,EJ47+EI48-ER47)))</f>
        <v>263.00000000000011</v>
      </c>
      <c r="EK48" s="18">
        <f>EJ48*VLOOKUP('Données projet'!$B$15,Paramètres!$A$1:$I$89,3,0)*VLOOKUP('Données projet'!$B$15,Paramètres!$A$1:$I$89,5,0)</f>
        <v>283.09320000000008</v>
      </c>
      <c r="EL48" s="14">
        <f t="shared" si="45"/>
        <v>67.620272397048737</v>
      </c>
      <c r="EM48" s="22">
        <f t="shared" si="19"/>
        <v>610.82596442485999</v>
      </c>
      <c r="EN48" s="62">
        <f t="shared" si="20"/>
        <v>904.15929775819336</v>
      </c>
      <c r="EO48" s="62">
        <f ca="1">AVERAGE(OFFSET($EN$3,0,0,'Données projet'!$E$15+1,1))-AVERAGE(OFFSET($H$3,0,0,'Données projet'!$E$15+1,1))</f>
        <v>306.50593475734655</v>
      </c>
      <c r="EP48" s="62">
        <f t="shared" si="46"/>
        <v>366.48643801375079</v>
      </c>
      <c r="EQ48" s="16">
        <f>IF(ISNA(VLOOKUP(A48,'Données projet'!$A$191:$I$211,3,0)),0,VLOOKUP(A48,'Données projet'!$A$191:$I$211,3,0))</f>
        <v>6</v>
      </c>
      <c r="ER48" s="16">
        <f>IF(ISNA(VLOOKUP(A48,'Données projet'!$A$191:$I$211,4,0)),0,VLOOKUP(A48,'Données projet'!$A$191:$I$211,4,0))</f>
        <v>36</v>
      </c>
      <c r="ES48" s="17">
        <f>IF(ISNA(VLOOKUP(A48,'Données projet'!$A$191:$I$211,5,0)),0%,VLOOKUP(A48,'Données projet'!$A$191:$I$211,5,0)*VLOOKUP('Données projet'!$B$15,Paramètres!$A$1:$I$89,7,0))</f>
        <v>0.215</v>
      </c>
      <c r="ET48" s="17">
        <f>IF(ISNA(VLOOKUP(A48,'Données projet'!$A$191:$I$211,6,0)),0%,VLOOKUP(A48,'Données projet'!$A$191:$I$211,6,0)*VLOOKUP('Données projet'!$B$15,Paramètres!$A$1:$I$89,7,0))</f>
        <v>4.3000000000000003E-2</v>
      </c>
      <c r="EU48" s="17">
        <f>IF(ISNA(VLOOKUP(A48,'Données projet'!$A$191:$I$211,7,0)),0%,VLOOKUP(A48,'Données projet'!$A$191:$I$211,7,0))</f>
        <v>0.15</v>
      </c>
      <c r="EV48" s="23">
        <f>EXP(-LN(2)/35)*EV47+(1-EXP(-LN(2)/35))/(LN(2)/35)*ER48*ES48*VLOOKUP('Données projet'!$B$15,Paramètres!$A$1:$I$89,3,0)*0.475*44/12</f>
        <v>27.083114318706357</v>
      </c>
      <c r="EW48" s="23">
        <f>EXP(-LN(2)/25)*EW47+(1-EXP(-LN(2)/25))/(LN(2)/25)*Calculateur!ER48*Calculateur!ET48*VLOOKUP('Données projet'!$B$15,Paramètres!$A$1:$I$89,3,0)*0.475*44/12</f>
        <v>5.1480128196107726</v>
      </c>
      <c r="EX48" s="23">
        <f>EXP(-LN(2)/2)*EX47+(1-EXP(-LN(2)/2))/(LN(2)/2)*ER48*EU48*VLOOKUP('Données projet'!$B$15,Paramètres!$A$1:$I$89,3,0)*0.475*44/12</f>
        <v>6.5034985723732976</v>
      </c>
      <c r="EY48" s="24">
        <f t="shared" si="21"/>
        <v>38.734625710690423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33.727199999999989</v>
      </c>
      <c r="D49" s="12">
        <f t="shared" si="32"/>
        <v>10.319899009829577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340.01269411096507</v>
      </c>
      <c r="H49" s="70">
        <f t="shared" si="1"/>
        <v>370.04869744211982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</v>
      </c>
      <c r="N49" s="14">
        <f>IF('Données projet'!$A$36&gt;35,N48+M49-V48,IF(A49&lt;'Données projet'!$A$36,$K$205^A49,IF(A49='Données projet'!$A$36,'Données projet'!$B$36,N48+M49-V48)))</f>
        <v>187.00000000000003</v>
      </c>
      <c r="O49" s="14">
        <f>N49*VLOOKUP('Données projet'!$B$9,Paramètres!$A$1:$I$89,3,0)*VLOOKUP('Données projet'!$B$9,Paramètres!$A$1:$I$89,5,0)</f>
        <v>169.19760000000002</v>
      </c>
      <c r="P49" s="14">
        <f t="shared" si="33"/>
        <v>42.910263223432885</v>
      </c>
      <c r="Q49" s="22">
        <f t="shared" si="53"/>
        <v>369.42119511414558</v>
      </c>
      <c r="R49" s="62">
        <f t="shared" si="0"/>
        <v>662.75452844747883</v>
      </c>
      <c r="S49" s="62">
        <f ca="1">AVERAGE(OFFSET($R$3,0,0,'Données projet'!$E$9+1,1))-AVERAGE(OFFSET($H$3,0,0,'Données projet'!$E$9+1,1))</f>
        <v>312.57314929661908</v>
      </c>
      <c r="T49" s="62">
        <f t="shared" si="34"/>
        <v>190.92100876773804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15.235532292465214</v>
      </c>
      <c r="AA49" s="23">
        <f>EXP(-LN(2)/25)*AA48+(1-EXP(-LN(2)/25))/(LN(2)/25)*Calculateur!V49*Calculateur!X49*VLOOKUP('Données projet'!$B$9,Paramètres!$A$1:$I$89,3,0)*0.475*44/12</f>
        <v>1.986628555277085</v>
      </c>
      <c r="AB49" s="23">
        <f>EXP(-LN(2)/2)*AB48+(1-EXP(-LN(2)/2))/(LN(2)/2)*V49*Y49*VLOOKUP('Données projet'!$B$9,Paramètres!$A$1:$I$89,3,0)*0.475*44/12</f>
        <v>1.436087153304118</v>
      </c>
      <c r="AC49" s="24">
        <f t="shared" si="3"/>
        <v>18.658248001046417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</v>
      </c>
      <c r="AI49" s="14">
        <f>IF('Données projet'!$A$62&gt;35,AI48+AH49-AQ48,IF(A49&lt;'Données projet'!$A$62,$AF$205^A49,IF(A49='Données projet'!$A$62,'Données projet'!$B$62,AI48+AH49-AQ48)))</f>
        <v>187.00000000000003</v>
      </c>
      <c r="AJ49" s="14">
        <f>AI49*VLOOKUP('Données projet'!$B$10,Paramètres!$A$1:$I$89,3,0)*VLOOKUP('Données projet'!$B$10,Paramètres!$A$1:$I$89,5,0)</f>
        <v>189.61800000000005</v>
      </c>
      <c r="AK49" s="14">
        <f t="shared" si="35"/>
        <v>47.4554881852685</v>
      </c>
      <c r="AL49" s="22">
        <f t="shared" si="4"/>
        <v>412.90299192267599</v>
      </c>
      <c r="AM49" s="62">
        <f t="shared" si="5"/>
        <v>706.23632525600931</v>
      </c>
      <c r="AN49" s="62">
        <f ca="1">AVERAGE(OFFSET($AM$3,0,0,'Données projet'!$E$10+1,1))-AVERAGE(OFFSET($H$3,0,0,'Données projet'!$E$10+1,1))</f>
        <v>360.56293184044779</v>
      </c>
      <c r="AO49" s="62">
        <f t="shared" si="36"/>
        <v>219.32252911220542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17.074303431211021</v>
      </c>
      <c r="AV49" s="23">
        <f>EXP(-LN(2)/25)*AV48+(1-EXP(-LN(2)/25))/(LN(2)/25)*Calculateur!AQ49*Calculateur!AS49*VLOOKUP('Données projet'!$B$10,Paramètres!$A$1:$I$89,3,0)*0.475*44/12</f>
        <v>2.2263940705691474</v>
      </c>
      <c r="AW49" s="23">
        <f>EXP(-LN(2)/2)*AW48+(1-EXP(-LN(2)/2))/(LN(2)/2)*AQ49*AT49*VLOOKUP('Données projet'!$B$10,Paramètres!$A$1:$I$89,3,0)*0.475*44/12</f>
        <v>1.6094080166339253</v>
      </c>
      <c r="AX49" s="23">
        <f t="shared" si="6"/>
        <v>20.910105518414092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1.1368683772161603E-13</v>
      </c>
      <c r="BE49" s="14">
        <f>BD49*VLOOKUP('Données projet'!$B$11,Paramètres!$A$1:$I$89,3,0)*VLOOKUP('Données projet'!$B$11,Paramètres!$A$1:$I$89,5,0)</f>
        <v>8.3355189417488869E-14</v>
      </c>
      <c r="BF49" s="14">
        <f t="shared" si="37"/>
        <v>1.2790518435140618E-12</v>
      </c>
      <c r="BG49" s="22">
        <f t="shared" si="7"/>
        <v>2.3728589156891171E-12</v>
      </c>
      <c r="BH49" s="62">
        <f t="shared" si="8"/>
        <v>293.3333333333357</v>
      </c>
      <c r="BI49" s="62">
        <f ca="1">AVERAGE(OFFSET($BH$3,0,0,'Données projet'!$E$11+1,1))-AVERAGE(OFFSET($H$3,0,0,'Données projet'!$E$11+1,1))</f>
        <v>182.06733089745194</v>
      </c>
      <c r="BJ49" s="62">
        <f t="shared" si="38"/>
        <v>320.36755413886021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43.522425467220458</v>
      </c>
      <c r="BQ49" s="23">
        <f>EXP(-LN(2)/25)*BQ48+(1-EXP(-LN(2)/25))/(LN(2)/25)*Calculateur!BL49*Calculateur!BN49*VLOOKUP('Données projet'!$B$11,Paramètres!$A$1:$I$89,3,0)*0.475*44/12</f>
        <v>8.15421430971214</v>
      </c>
      <c r="BR49" s="23">
        <f>EXP(-LN(2)/2)*BR48+(1-EXP(-LN(2)/2))/(LN(2)/2)*BL49*BO49*VLOOKUP('Données projet'!$B$11,Paramètres!$A$1:$I$89,3,0)*0.475*44/12</f>
        <v>2.892125609805154</v>
      </c>
      <c r="BS49" s="24">
        <f t="shared" si="9"/>
        <v>54.568765386737752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10.6</v>
      </c>
      <c r="BY49" s="13">
        <f>IF('Données projet'!$A$114&gt;35,BY48+BX49-CG48,IF(A49&lt;'Données projet'!$A$114,$BV$205^A49,IF(A49='Données projet'!$A$114,'Données projet'!$B$114,BY48+BX49-CG48)))</f>
        <v>185.6</v>
      </c>
      <c r="BZ49" s="14">
        <f>BY49*VLOOKUP('Données projet'!$B$12,Paramètres!$A$1:$I$89,3,0)*VLOOKUP('Données projet'!$B$12,Paramètres!$A$1:$I$89,5,0)</f>
        <v>162.14016000000001</v>
      </c>
      <c r="CA49" s="14">
        <f t="shared" si="39"/>
        <v>41.324860537333713</v>
      </c>
      <c r="CB49" s="22">
        <f t="shared" si="10"/>
        <v>354.36824410252285</v>
      </c>
      <c r="CC49" s="62">
        <f t="shared" si="11"/>
        <v>647.70157743585617</v>
      </c>
      <c r="CD49" s="62">
        <f ca="1">AVERAGE(OFFSET($CC$3,0,0,'Données projet'!$E$12+1,1))-AVERAGE(OFFSET($H$3,0,0,'Données projet'!$E$12+1,1))</f>
        <v>248.60758320902863</v>
      </c>
      <c r="CE49" s="62">
        <f t="shared" si="40"/>
        <v>222.23585883330111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18.053553819792466</v>
      </c>
      <c r="CL49" s="23">
        <f>EXP(-LN(2)/25)*CL48+(1-EXP(-LN(2)/25))/(LN(2)/25)*Calculateur!CG49*Calculateur!CI49*VLOOKUP('Données projet'!$B$12,Paramètres!$A$1:$I$89,3,0)*0.475*44/12</f>
        <v>7.7787451775480525</v>
      </c>
      <c r="CM49" s="23">
        <f>EXP(-LN(2)/2)*CM48+(1-EXP(-LN(2)/2))/(LN(2)/2)*CG49*CJ49*VLOOKUP('Données projet'!$B$12,Paramètres!$A$1:$I$89,3,0)*0.475*44/12</f>
        <v>3.5256613384890807</v>
      </c>
      <c r="CN49" s="24">
        <f t="shared" si="12"/>
        <v>29.357960335829599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193.99999999999994</v>
      </c>
      <c r="CU49" s="18">
        <f>CT49*VLOOKUP('Données projet'!$B$13,Paramètres!$A$1:$I$89,3,0)*VLOOKUP('Données projet'!$B$13,Paramètres!$A$1:$I$89,5,0)</f>
        <v>105.92399999999998</v>
      </c>
      <c r="CV49" s="14">
        <f t="shared" si="41"/>
        <v>28.36854701055546</v>
      </c>
      <c r="CW49" s="22">
        <f t="shared" si="13"/>
        <v>233.89285271005073</v>
      </c>
      <c r="CX49" s="62">
        <f t="shared" si="14"/>
        <v>527.22618604338402</v>
      </c>
      <c r="CY49" s="62">
        <f ca="1">AVERAGE(OFFSET($CX$3,0,0,'Données projet'!$E$13+1,1))-AVERAGE(OFFSET($H$3,0,0,'Données projet'!$E$13+1,1))</f>
        <v>135.44138026609272</v>
      </c>
      <c r="CZ49" s="62">
        <f t="shared" si="42"/>
        <v>254.77247578425659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48.133472546358561</v>
      </c>
      <c r="DG49" s="23">
        <f>EXP(-LN(2)/25)*DG48+(1-EXP(-LN(2)/25))/(LN(2)/25)*Calculateur!DB49*Calculateur!DD49*VLOOKUP('Données projet'!$B$13,Paramètres!$A$1:$I$89,3,0)*0.475*44/12</f>
        <v>29.029029524592541</v>
      </c>
      <c r="DH49" s="23">
        <f>EXP(-LN(2)/2)*DH48+(1-EXP(-LN(2)/2))/(LN(2)/2)*DB49*DE49*VLOOKUP('Données projet'!$B$13,Paramètres!$A$1:$I$89,3,0)*0.475*44/12</f>
        <v>0.3322329263341951</v>
      </c>
      <c r="DI49" s="24">
        <f t="shared" si="15"/>
        <v>77.494734997285306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11.2</v>
      </c>
      <c r="DO49" s="13">
        <f>IF('Données projet'!$A$166&gt;35,DO48+DN49-DW48,IF(A49&lt;'Données projet'!$A$166,$DL$205^A49,IF(A49='Données projet'!$A$166,'Données projet'!$B$166,DO48+DN49-DW48)))</f>
        <v>238.2000000000001</v>
      </c>
      <c r="DP49" s="18">
        <f>DO49*VLOOKUP('Données projet'!$B$14,Paramètres!$A$1:$I$89,3,0)*VLOOKUP('Données projet'!$B$14,Paramètres!$A$1:$I$89,5,0)</f>
        <v>230.3870400000001</v>
      </c>
      <c r="DQ49" s="14">
        <f t="shared" si="43"/>
        <v>56.366360437123269</v>
      </c>
      <c r="DR49" s="22">
        <f t="shared" si="16"/>
        <v>499.42883909465655</v>
      </c>
      <c r="DS49" s="62">
        <f t="shared" si="17"/>
        <v>792.76217242798987</v>
      </c>
      <c r="DT49" s="62">
        <f ca="1">AVERAGE(OFFSET($DS$3,0,0,'Données projet'!$E$14+1,1))-AVERAGE(OFFSET($H$3,0,0,'Données projet'!$E$14+1,1))</f>
        <v>271.09447278906288</v>
      </c>
      <c r="DU49" s="62">
        <f t="shared" si="44"/>
        <v>325.1094067861851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23.858346665088099</v>
      </c>
      <c r="EB49" s="23">
        <f>EXP(-LN(2)/25)*EB48+(1-EXP(-LN(2)/25))/(LN(2)/25)*Calculateur!DW49*Calculateur!DY49*VLOOKUP('Données projet'!$B$14,Paramètres!$A$1:$I$89,3,0)*0.475*44/12</f>
        <v>4.4992592547369537</v>
      </c>
      <c r="EC49" s="23">
        <f>EXP(-LN(2)/2)*EC48+(1-EXP(-LN(2)/2))/(LN(2)/2)*DW49*DZ49*VLOOKUP('Données projet'!$B$14,Paramètres!$A$1:$I$89,3,0)*0.475*44/12</f>
        <v>4.1321364116181991</v>
      </c>
      <c r="ED49" s="24">
        <f t="shared" si="18"/>
        <v>32.489742331443253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11.2</v>
      </c>
      <c r="EJ49" s="13">
        <f>IF('Données projet'!$A$192&gt;35,EJ48+EI49-ER48,IF(A49&lt;'Données projet'!$A$192,$EG$205^A49,IF(A49='Données projet'!$A$192,'Données projet'!$B$192,EJ48+EI49-ER48)))</f>
        <v>238.2000000000001</v>
      </c>
      <c r="EK49" s="18">
        <f>EJ49*VLOOKUP('Données projet'!$B$15,Paramètres!$A$1:$I$89,3,0)*VLOOKUP('Données projet'!$B$15,Paramètres!$A$1:$I$89,5,0)</f>
        <v>256.39848000000012</v>
      </c>
      <c r="EL49" s="14">
        <f t="shared" si="45"/>
        <v>61.954057310844981</v>
      </c>
      <c r="EM49" s="22">
        <f t="shared" si="19"/>
        <v>554.4640024830552</v>
      </c>
      <c r="EN49" s="62">
        <f t="shared" si="20"/>
        <v>847.79733581638857</v>
      </c>
      <c r="EO49" s="62">
        <f ca="1">AVERAGE(OFFSET($EN$3,0,0,'Données projet'!$E$15+1,1))-AVERAGE(OFFSET($H$3,0,0,'Données projet'!$E$15+1,1))</f>
        <v>306.50593475734655</v>
      </c>
      <c r="EP49" s="62">
        <f t="shared" si="46"/>
        <v>366.48643801375079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26.552030965985139</v>
      </c>
      <c r="EW49" s="23">
        <f>EXP(-LN(2)/25)*EW48+(1-EXP(-LN(2)/25))/(LN(2)/25)*Calculateur!ER49*Calculateur!ET49*VLOOKUP('Données projet'!$B$15,Paramètres!$A$1:$I$89,3,0)*0.475*44/12</f>
        <v>5.0072401383362877</v>
      </c>
      <c r="EX49" s="23">
        <f>EXP(-LN(2)/2)*EX48+(1-EXP(-LN(2)/2))/(LN(2)/2)*ER49*EU49*VLOOKUP('Données projet'!$B$15,Paramètres!$A$1:$I$89,3,0)*0.475*44/12</f>
        <v>4.5986679419621899</v>
      </c>
      <c r="EY49" s="24">
        <f t="shared" si="21"/>
        <v>36.157939046283616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34.460399999999986</v>
      </c>
      <c r="D50" s="12">
        <f t="shared" si="32"/>
        <v>10.517882008711249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347.20077340057793</v>
      </c>
      <c r="H50" s="70">
        <f t="shared" si="1"/>
        <v>371.67050783183868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</v>
      </c>
      <c r="N50" s="14">
        <f>IF('Données projet'!$A$36&gt;35,N49+M50-V49,IF(A50&lt;'Données projet'!$A$36,$K$205^A50,IF(A50='Données projet'!$A$36,'Données projet'!$B$36,N49+M50-V49)))</f>
        <v>198.00000000000003</v>
      </c>
      <c r="O50" s="14">
        <f>N50*VLOOKUP('Données projet'!$B$9,Paramètres!$A$1:$I$89,3,0)*VLOOKUP('Données projet'!$B$9,Paramètres!$A$1:$I$89,5,0)</f>
        <v>179.15040000000002</v>
      </c>
      <c r="P50" s="14">
        <f t="shared" si="33"/>
        <v>45.133113803437304</v>
      </c>
      <c r="Q50" s="22">
        <f t="shared" si="53"/>
        <v>390.62711987431999</v>
      </c>
      <c r="R50" s="62">
        <f t="shared" si="0"/>
        <v>683.96045320765325</v>
      </c>
      <c r="S50" s="62">
        <f ca="1">AVERAGE(OFFSET($R$3,0,0,'Données projet'!$E$9+1,1))-AVERAGE(OFFSET($H$3,0,0,'Données projet'!$E$9+1,1))</f>
        <v>312.57314929661908</v>
      </c>
      <c r="T50" s="62">
        <f t="shared" si="34"/>
        <v>190.92100876773804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14.936772796967086</v>
      </c>
      <c r="AA50" s="23">
        <f>EXP(-LN(2)/25)*AA49+(1-EXP(-LN(2)/25))/(LN(2)/25)*Calculateur!V50*Calculateur!X50*VLOOKUP('Données projet'!$B$9,Paramètres!$A$1:$I$89,3,0)*0.475*44/12</f>
        <v>1.932304092960778</v>
      </c>
      <c r="AB50" s="23">
        <f>EXP(-LN(2)/2)*AB49+(1-EXP(-LN(2)/2))/(LN(2)/2)*V50*Y50*VLOOKUP('Données projet'!$B$9,Paramètres!$A$1:$I$89,3,0)*0.475*44/12</f>
        <v>1.0154669644762269</v>
      </c>
      <c r="AC50" s="24">
        <f t="shared" si="3"/>
        <v>17.884543854404093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</v>
      </c>
      <c r="AI50" s="14">
        <f>IF('Données projet'!$A$62&gt;35,AI49+AH50-AQ49,IF(A50&lt;'Données projet'!$A$62,$AF$205^A50,IF(A50='Données projet'!$A$62,'Données projet'!$B$62,AI49+AH50-AQ49)))</f>
        <v>198.00000000000003</v>
      </c>
      <c r="AJ50" s="14">
        <f>AI50*VLOOKUP('Données projet'!$B$10,Paramètres!$A$1:$I$89,3,0)*VLOOKUP('Données projet'!$B$10,Paramètres!$A$1:$I$89,5,0)</f>
        <v>200.77200000000002</v>
      </c>
      <c r="AK50" s="14">
        <f t="shared" si="35"/>
        <v>49.913791898945412</v>
      </c>
      <c r="AL50" s="22">
        <f t="shared" si="4"/>
        <v>436.61108755732994</v>
      </c>
      <c r="AM50" s="62">
        <f t="shared" si="5"/>
        <v>729.9444208906632</v>
      </c>
      <c r="AN50" s="62">
        <f ca="1">AVERAGE(OFFSET($AM$3,0,0,'Données projet'!$E$10+1,1))-AVERAGE(OFFSET($H$3,0,0,'Données projet'!$E$10+1,1))</f>
        <v>360.56293184044779</v>
      </c>
      <c r="AO50" s="62">
        <f t="shared" si="36"/>
        <v>219.32252911220542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16.739486755221741</v>
      </c>
      <c r="AV50" s="23">
        <f>EXP(-LN(2)/25)*AV49+(1-EXP(-LN(2)/25))/(LN(2)/25)*Calculateur!AQ50*Calculateur!AS50*VLOOKUP('Données projet'!$B$10,Paramètres!$A$1:$I$89,3,0)*0.475*44/12</f>
        <v>2.1655132076284582</v>
      </c>
      <c r="AW50" s="23">
        <f>EXP(-LN(2)/2)*AW49+(1-EXP(-LN(2)/2))/(LN(2)/2)*AQ50*AT50*VLOOKUP('Données projet'!$B$10,Paramètres!$A$1:$I$89,3,0)*0.475*44/12</f>
        <v>1.1380233222578406</v>
      </c>
      <c r="AX50" s="23">
        <f t="shared" si="6"/>
        <v>20.043023285108038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1.1368683772161603E-13</v>
      </c>
      <c r="BE50" s="14">
        <f>BD50*VLOOKUP('Données projet'!$B$11,Paramètres!$A$1:$I$89,3,0)*VLOOKUP('Données projet'!$B$11,Paramètres!$A$1:$I$89,5,0)</f>
        <v>8.3355189417488869E-14</v>
      </c>
      <c r="BF50" s="14">
        <f t="shared" si="37"/>
        <v>1.2790518435140618E-12</v>
      </c>
      <c r="BG50" s="22">
        <f t="shared" si="7"/>
        <v>2.3728589156891171E-12</v>
      </c>
      <c r="BH50" s="62">
        <f t="shared" si="8"/>
        <v>293.3333333333357</v>
      </c>
      <c r="BI50" s="62">
        <f ca="1">AVERAGE(OFFSET($BH$3,0,0,'Données projet'!$E$11+1,1))-AVERAGE(OFFSET($H$3,0,0,'Données projet'!$E$11+1,1))</f>
        <v>182.06733089745194</v>
      </c>
      <c r="BJ50" s="62">
        <f t="shared" si="38"/>
        <v>320.36755413886021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42.668977249866593</v>
      </c>
      <c r="BQ50" s="23">
        <f>EXP(-LN(2)/25)*BQ49+(1-EXP(-LN(2)/25))/(LN(2)/25)*Calculateur!BL50*Calculateur!BN50*VLOOKUP('Données projet'!$B$11,Paramètres!$A$1:$I$89,3,0)*0.475*44/12</f>
        <v>7.9312368906015678</v>
      </c>
      <c r="BR50" s="23">
        <f>EXP(-LN(2)/2)*BR49+(1-EXP(-LN(2)/2))/(LN(2)/2)*BL50*BO50*VLOOKUP('Données projet'!$B$11,Paramètres!$A$1:$I$89,3,0)*0.475*44/12</f>
        <v>2.0450416307365034</v>
      </c>
      <c r="BS50" s="24">
        <f t="shared" si="9"/>
        <v>52.645255771204667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10.6</v>
      </c>
      <c r="BY50" s="13">
        <f>IF('Données projet'!$A$114&gt;35,BY49+BX50-CG49,IF(A50&lt;'Données projet'!$A$114,$BV$205^A50,IF(A50='Données projet'!$A$114,'Données projet'!$B$114,BY49+BX50-CG49)))</f>
        <v>196.2</v>
      </c>
      <c r="BZ50" s="14">
        <f>BY50*VLOOKUP('Données projet'!$B$12,Paramètres!$A$1:$I$89,3,0)*VLOOKUP('Données projet'!$B$12,Paramètres!$A$1:$I$89,5,0)</f>
        <v>171.40031999999999</v>
      </c>
      <c r="CA50" s="14">
        <f t="shared" si="39"/>
        <v>43.403498788621114</v>
      </c>
      <c r="CB50" s="22">
        <f t="shared" si="10"/>
        <v>374.11665105684841</v>
      </c>
      <c r="CC50" s="62">
        <f t="shared" si="11"/>
        <v>667.44998439018173</v>
      </c>
      <c r="CD50" s="62">
        <f ca="1">AVERAGE(OFFSET($CC$3,0,0,'Données projet'!$E$12+1,1))-AVERAGE(OFFSET($H$3,0,0,'Données projet'!$E$12+1,1))</f>
        <v>248.60758320902863</v>
      </c>
      <c r="CE50" s="62">
        <f t="shared" si="40"/>
        <v>222.23585883330111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17.699534640966863</v>
      </c>
      <c r="CL50" s="23">
        <f>EXP(-LN(2)/25)*CL49+(1-EXP(-LN(2)/25))/(LN(2)/25)*Calculateur!CG50*Calculateur!CI50*VLOOKUP('Données projet'!$B$12,Paramètres!$A$1:$I$89,3,0)*0.475*44/12</f>
        <v>7.5660349816015708</v>
      </c>
      <c r="CM50" s="23">
        <f>EXP(-LN(2)/2)*CM49+(1-EXP(-LN(2)/2))/(LN(2)/2)*CG50*CJ50*VLOOKUP('Données projet'!$B$12,Paramètres!$A$1:$I$89,3,0)*0.475*44/12</f>
        <v>2.4930190406128689</v>
      </c>
      <c r="CN50" s="24">
        <f t="shared" si="12"/>
        <v>27.758588663181303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193.99999999999994</v>
      </c>
      <c r="CU50" s="18">
        <f>CT50*VLOOKUP('Données projet'!$B$13,Paramètres!$A$1:$I$89,3,0)*VLOOKUP('Données projet'!$B$13,Paramètres!$A$1:$I$89,5,0)</f>
        <v>105.92399999999998</v>
      </c>
      <c r="CV50" s="14">
        <f t="shared" si="41"/>
        <v>28.36854701055546</v>
      </c>
      <c r="CW50" s="22">
        <f t="shared" si="13"/>
        <v>233.89285271005073</v>
      </c>
      <c r="CX50" s="62">
        <f t="shared" si="14"/>
        <v>527.22618604338402</v>
      </c>
      <c r="CY50" s="62">
        <f ca="1">AVERAGE(OFFSET($CX$3,0,0,'Données projet'!$E$13+1,1))-AVERAGE(OFFSET($H$3,0,0,'Données projet'!$E$13+1,1))</f>
        <v>135.44138026609272</v>
      </c>
      <c r="CZ50" s="62">
        <f t="shared" si="42"/>
        <v>254.77247578425659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47.189604508243811</v>
      </c>
      <c r="DG50" s="23">
        <f>EXP(-LN(2)/25)*DG49+(1-EXP(-LN(2)/25))/(LN(2)/25)*Calculateur!DB50*Calculateur!DD50*VLOOKUP('Données projet'!$B$13,Paramètres!$A$1:$I$89,3,0)*0.475*44/12</f>
        <v>28.235229185672242</v>
      </c>
      <c r="DH50" s="23">
        <f>EXP(-LN(2)/2)*DH49+(1-EXP(-LN(2)/2))/(LN(2)/2)*DB50*DE50*VLOOKUP('Données projet'!$B$13,Paramètres!$A$1:$I$89,3,0)*0.475*44/12</f>
        <v>0.23492415514436008</v>
      </c>
      <c r="DI50" s="24">
        <f t="shared" si="15"/>
        <v>75.659757849060412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11.2</v>
      </c>
      <c r="DO50" s="13">
        <f>IF('Données projet'!$A$166&gt;35,DO49+DN50-DW49,IF(A50&lt;'Données projet'!$A$166,$DL$205^A50,IF(A50='Données projet'!$A$166,'Données projet'!$B$166,DO49+DN50-DW49)))</f>
        <v>249.40000000000009</v>
      </c>
      <c r="DP50" s="18">
        <f>DO50*VLOOKUP('Données projet'!$B$14,Paramètres!$A$1:$I$89,3,0)*VLOOKUP('Données projet'!$B$14,Paramètres!$A$1:$I$89,5,0)</f>
        <v>241.21968000000007</v>
      </c>
      <c r="DQ50" s="14">
        <f t="shared" si="43"/>
        <v>58.701873105526744</v>
      </c>
      <c r="DR50" s="22">
        <f t="shared" si="16"/>
        <v>522.36337165879252</v>
      </c>
      <c r="DS50" s="62">
        <f t="shared" si="17"/>
        <v>815.69670499212589</v>
      </c>
      <c r="DT50" s="62">
        <f ca="1">AVERAGE(OFFSET($DS$3,0,0,'Données projet'!$E$14+1,1))-AVERAGE(OFFSET($H$3,0,0,'Données projet'!$E$14+1,1))</f>
        <v>271.09447278906288</v>
      </c>
      <c r="DU50" s="62">
        <f t="shared" si="44"/>
        <v>325.1094067861851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23.390499039140281</v>
      </c>
      <c r="EB50" s="23">
        <f>EXP(-LN(2)/25)*EB49+(1-EXP(-LN(2)/25))/(LN(2)/25)*Calculateur!DW50*Calculateur!DY50*VLOOKUP('Données projet'!$B$14,Paramètres!$A$1:$I$89,3,0)*0.475*44/12</f>
        <v>4.3762267738104104</v>
      </c>
      <c r="EC50" s="23">
        <f>EXP(-LN(2)/2)*EC49+(1-EXP(-LN(2)/2))/(LN(2)/2)*DW50*DZ50*VLOOKUP('Données projet'!$B$14,Paramètres!$A$1:$I$89,3,0)*0.475*44/12</f>
        <v>2.9218616774430757</v>
      </c>
      <c r="ED50" s="24">
        <f t="shared" si="18"/>
        <v>30.688587490393765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11.2</v>
      </c>
      <c r="EJ50" s="13">
        <f>IF('Données projet'!$A$192&gt;35,EJ49+EI50-ER49,IF(A50&lt;'Données projet'!$A$192,$EG$205^A50,IF(A50='Données projet'!$A$192,'Données projet'!$B$192,EJ49+EI50-ER49)))</f>
        <v>249.40000000000009</v>
      </c>
      <c r="EK50" s="18">
        <f>EJ50*VLOOKUP('Données projet'!$B$15,Paramètres!$A$1:$I$89,3,0)*VLOOKUP('Données projet'!$B$15,Paramètres!$A$1:$I$89,5,0)</f>
        <v>268.45416000000006</v>
      </c>
      <c r="EL50" s="14">
        <f t="shared" si="45"/>
        <v>64.521093475436146</v>
      </c>
      <c r="EM50" s="22">
        <f t="shared" si="19"/>
        <v>579.93189980305135</v>
      </c>
      <c r="EN50" s="62">
        <f t="shared" si="20"/>
        <v>873.26523313638472</v>
      </c>
      <c r="EO50" s="62">
        <f ca="1">AVERAGE(OFFSET($EN$3,0,0,'Données projet'!$E$15+1,1))-AVERAGE(OFFSET($H$3,0,0,'Données projet'!$E$15+1,1))</f>
        <v>306.50593475734655</v>
      </c>
      <c r="EP50" s="62">
        <f t="shared" si="46"/>
        <v>366.48643801375079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26.031361833881924</v>
      </c>
      <c r="EW50" s="23">
        <f>EXP(-LN(2)/25)*EW49+(1-EXP(-LN(2)/25))/(LN(2)/25)*Calculateur!ER50*Calculateur!ET50*VLOOKUP('Données projet'!$B$15,Paramètres!$A$1:$I$89,3,0)*0.475*44/12</f>
        <v>4.8703168934341674</v>
      </c>
      <c r="EX50" s="23">
        <f>EXP(-LN(2)/2)*EX49+(1-EXP(-LN(2)/2))/(LN(2)/2)*ER50*EU50*VLOOKUP('Données projet'!$B$15,Paramètres!$A$1:$I$89,3,0)*0.475*44/12</f>
        <v>3.2517492861866493</v>
      </c>
      <c r="EY50" s="24">
        <f t="shared" si="21"/>
        <v>34.15342801350274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35.193599999999982</v>
      </c>
      <c r="D51" s="12">
        <f t="shared" si="32"/>
        <v>10.715375251348382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354.38507211567162</v>
      </c>
      <c r="H51" s="70">
        <f t="shared" si="1"/>
        <v>373.29146522943171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</v>
      </c>
      <c r="N51" s="14">
        <f>IF('Données projet'!$A$36&gt;35,N50+M51-V50,IF(A51&lt;'Données projet'!$A$36,$K$205^A51,IF(A51='Données projet'!$A$36,'Données projet'!$B$36,N50+M51-V50)))</f>
        <v>209.00000000000003</v>
      </c>
      <c r="O51" s="14">
        <f>N51*VLOOKUP('Données projet'!$B$9,Paramètres!$A$1:$I$89,3,0)*VLOOKUP('Données projet'!$B$9,Paramètres!$A$1:$I$89,5,0)</f>
        <v>189.10320000000002</v>
      </c>
      <c r="P51" s="14">
        <f t="shared" si="33"/>
        <v>47.34162854278712</v>
      </c>
      <c r="Q51" s="22">
        <f t="shared" si="53"/>
        <v>411.80807637868764</v>
      </c>
      <c r="R51" s="62">
        <f t="shared" si="0"/>
        <v>705.14140971202096</v>
      </c>
      <c r="S51" s="62">
        <f ca="1">AVERAGE(OFFSET($R$3,0,0,'Données projet'!$E$9+1,1))-AVERAGE(OFFSET($H$3,0,0,'Données projet'!$E$9+1,1))</f>
        <v>312.57314929661908</v>
      </c>
      <c r="T51" s="62">
        <f t="shared" si="34"/>
        <v>190.92100876773804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14.643871792950376</v>
      </c>
      <c r="AA51" s="23">
        <f>EXP(-LN(2)/25)*AA50+(1-EXP(-LN(2)/25))/(LN(2)/25)*Calculateur!V51*Calculateur!X51*VLOOKUP('Données projet'!$B$9,Paramètres!$A$1:$I$89,3,0)*0.475*44/12</f>
        <v>1.8794651359233097</v>
      </c>
      <c r="AB51" s="23">
        <f>EXP(-LN(2)/2)*AB50+(1-EXP(-LN(2)/2))/(LN(2)/2)*V51*Y51*VLOOKUP('Données projet'!$B$9,Paramètres!$A$1:$I$89,3,0)*0.475*44/12</f>
        <v>0.71804357665205898</v>
      </c>
      <c r="AC51" s="24">
        <f t="shared" si="3"/>
        <v>17.241380505525743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</v>
      </c>
      <c r="AI51" s="14">
        <f>IF('Données projet'!$A$62&gt;35,AI50+AH51-AQ50,IF(A51&lt;'Données projet'!$A$62,$AF$205^A51,IF(A51='Données projet'!$A$62,'Données projet'!$B$62,AI50+AH51-AQ50)))</f>
        <v>209.00000000000003</v>
      </c>
      <c r="AJ51" s="14">
        <f>AI51*VLOOKUP('Données projet'!$B$10,Paramètres!$A$1:$I$89,3,0)*VLOOKUP('Données projet'!$B$10,Paramètres!$A$1:$I$89,5,0)</f>
        <v>211.92600000000004</v>
      </c>
      <c r="AK51" s="14">
        <f t="shared" si="35"/>
        <v>52.356241262970165</v>
      </c>
      <c r="AL51" s="22">
        <f t="shared" si="4"/>
        <v>460.29157019967312</v>
      </c>
      <c r="AM51" s="62">
        <f t="shared" si="5"/>
        <v>753.62490353300643</v>
      </c>
      <c r="AN51" s="62">
        <f ca="1">AVERAGE(OFFSET($AM$3,0,0,'Données projet'!$E$10+1,1))-AVERAGE(OFFSET($H$3,0,0,'Données projet'!$E$10+1,1))</f>
        <v>360.56293184044779</v>
      </c>
      <c r="AO51" s="62">
        <f t="shared" si="36"/>
        <v>219.32252911220542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16.4112356300306</v>
      </c>
      <c r="AV51" s="23">
        <f>EXP(-LN(2)/25)*AV50+(1-EXP(-LN(2)/25))/(LN(2)/25)*Calculateur!AQ51*Calculateur!AS51*VLOOKUP('Données projet'!$B$10,Paramètres!$A$1:$I$89,3,0)*0.475*44/12</f>
        <v>2.1062971350864679</v>
      </c>
      <c r="AW51" s="23">
        <f>EXP(-LN(2)/2)*AW50+(1-EXP(-LN(2)/2))/(LN(2)/2)*AQ51*AT51*VLOOKUP('Données projet'!$B$10,Paramètres!$A$1:$I$89,3,0)*0.475*44/12</f>
        <v>0.80470400831696287</v>
      </c>
      <c r="AX51" s="23">
        <f t="shared" si="6"/>
        <v>19.322236773434032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1.1368683772161603E-13</v>
      </c>
      <c r="BE51" s="14">
        <f>BD51*VLOOKUP('Données projet'!$B$11,Paramètres!$A$1:$I$89,3,0)*VLOOKUP('Données projet'!$B$11,Paramètres!$A$1:$I$89,5,0)</f>
        <v>8.3355189417488869E-14</v>
      </c>
      <c r="BF51" s="14">
        <f t="shared" si="37"/>
        <v>1.2790518435140618E-12</v>
      </c>
      <c r="BG51" s="22">
        <f t="shared" si="7"/>
        <v>2.3728589156891171E-12</v>
      </c>
      <c r="BH51" s="62">
        <f t="shared" si="8"/>
        <v>293.3333333333357</v>
      </c>
      <c r="BI51" s="62">
        <f ca="1">AVERAGE(OFFSET($BH$3,0,0,'Données projet'!$E$11+1,1))-AVERAGE(OFFSET($H$3,0,0,'Données projet'!$E$11+1,1))</f>
        <v>182.06733089745194</v>
      </c>
      <c r="BJ51" s="62">
        <f t="shared" si="38"/>
        <v>320.36755413886021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41.83226463150303</v>
      </c>
      <c r="BQ51" s="23">
        <f>EXP(-LN(2)/25)*BQ50+(1-EXP(-LN(2)/25))/(LN(2)/25)*Calculateur!BL51*Calculateur!BN51*VLOOKUP('Données projet'!$B$11,Paramètres!$A$1:$I$89,3,0)*0.475*44/12</f>
        <v>7.714356800742447</v>
      </c>
      <c r="BR51" s="23">
        <f>EXP(-LN(2)/2)*BR50+(1-EXP(-LN(2)/2))/(LN(2)/2)*BL51*BO51*VLOOKUP('Données projet'!$B$11,Paramètres!$A$1:$I$89,3,0)*0.475*44/12</f>
        <v>1.446062804902577</v>
      </c>
      <c r="BS51" s="24">
        <f t="shared" si="9"/>
        <v>50.992684237148048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10.6</v>
      </c>
      <c r="BY51" s="13">
        <f>IF('Données projet'!$A$114&gt;35,BY50+BX51-CG50,IF(A51&lt;'Données projet'!$A$114,$BV$205^A51,IF(A51='Données projet'!$A$114,'Données projet'!$B$114,BY50+BX51-CG50)))</f>
        <v>206.79999999999998</v>
      </c>
      <c r="BZ51" s="14">
        <f>BY51*VLOOKUP('Données projet'!$B$12,Paramètres!$A$1:$I$89,3,0)*VLOOKUP('Données projet'!$B$12,Paramètres!$A$1:$I$89,5,0)</f>
        <v>180.66048000000001</v>
      </c>
      <c r="CA51" s="14">
        <f t="shared" si="39"/>
        <v>45.469099459918802</v>
      </c>
      <c r="CB51" s="22">
        <f t="shared" si="10"/>
        <v>393.84235089269185</v>
      </c>
      <c r="CC51" s="62">
        <f t="shared" si="11"/>
        <v>687.17568422602517</v>
      </c>
      <c r="CD51" s="62">
        <f ca="1">AVERAGE(OFFSET($CC$3,0,0,'Données projet'!$E$12+1,1))-AVERAGE(OFFSET($H$3,0,0,'Données projet'!$E$12+1,1))</f>
        <v>248.60758320902863</v>
      </c>
      <c r="CE51" s="62">
        <f t="shared" si="40"/>
        <v>222.23585883330111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17.352457562307652</v>
      </c>
      <c r="CL51" s="23">
        <f>EXP(-LN(2)/25)*CL50+(1-EXP(-LN(2)/25))/(LN(2)/25)*Calculateur!CG51*Calculateur!CI51*VLOOKUP('Données projet'!$B$12,Paramètres!$A$1:$I$89,3,0)*0.475*44/12</f>
        <v>7.3591413571491886</v>
      </c>
      <c r="CM51" s="23">
        <f>EXP(-LN(2)/2)*CM50+(1-EXP(-LN(2)/2))/(LN(2)/2)*CG51*CJ51*VLOOKUP('Données projet'!$B$12,Paramètres!$A$1:$I$89,3,0)*0.475*44/12</f>
        <v>1.7628306692445406</v>
      </c>
      <c r="CN51" s="24">
        <f t="shared" si="12"/>
        <v>26.47442958870138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193.99999999999994</v>
      </c>
      <c r="CU51" s="18">
        <f>CT51*VLOOKUP('Données projet'!$B$13,Paramètres!$A$1:$I$89,3,0)*VLOOKUP('Données projet'!$B$13,Paramètres!$A$1:$I$89,5,0)</f>
        <v>105.92399999999998</v>
      </c>
      <c r="CV51" s="14">
        <f t="shared" si="41"/>
        <v>28.36854701055546</v>
      </c>
      <c r="CW51" s="22">
        <f t="shared" si="13"/>
        <v>233.89285271005073</v>
      </c>
      <c r="CX51" s="62">
        <f t="shared" si="14"/>
        <v>527.22618604338402</v>
      </c>
      <c r="CY51" s="62">
        <f ca="1">AVERAGE(OFFSET($CX$3,0,0,'Données projet'!$E$13+1,1))-AVERAGE(OFFSET($H$3,0,0,'Données projet'!$E$13+1,1))</f>
        <v>135.44138026609272</v>
      </c>
      <c r="CZ51" s="62">
        <f t="shared" si="42"/>
        <v>254.77247578425659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46.264245146653835</v>
      </c>
      <c r="DG51" s="23">
        <f>EXP(-LN(2)/25)*DG50+(1-EXP(-LN(2)/25))/(LN(2)/25)*Calculateur!DB51*Calculateur!DD51*VLOOKUP('Données projet'!$B$13,Paramètres!$A$1:$I$89,3,0)*0.475*44/12</f>
        <v>27.463135358763864</v>
      </c>
      <c r="DH51" s="23">
        <f>EXP(-LN(2)/2)*DH50+(1-EXP(-LN(2)/2))/(LN(2)/2)*DB51*DE51*VLOOKUP('Données projet'!$B$13,Paramètres!$A$1:$I$89,3,0)*0.475*44/12</f>
        <v>0.16611646316709758</v>
      </c>
      <c r="DI51" s="24">
        <f t="shared" si="15"/>
        <v>73.893496968584799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11.2</v>
      </c>
      <c r="DO51" s="13">
        <f>IF('Données projet'!$A$166&gt;35,DO50+DN51-DW50,IF(A51&lt;'Données projet'!$A$166,$DL$205^A51,IF(A51='Données projet'!$A$166,'Données projet'!$B$166,DO50+DN51-DW50)))</f>
        <v>260.60000000000008</v>
      </c>
      <c r="DP51" s="18">
        <f>DO51*VLOOKUP('Données projet'!$B$14,Paramètres!$A$1:$I$89,3,0)*VLOOKUP('Données projet'!$B$14,Paramètres!$A$1:$I$89,5,0)</f>
        <v>252.05232000000009</v>
      </c>
      <c r="DQ51" s="14">
        <f t="shared" si="43"/>
        <v>61.025204958609983</v>
      </c>
      <c r="DR51" s="22">
        <f t="shared" si="16"/>
        <v>545.27668930291259</v>
      </c>
      <c r="DS51" s="62">
        <f t="shared" si="17"/>
        <v>838.61002263624596</v>
      </c>
      <c r="DT51" s="62">
        <f ca="1">AVERAGE(OFFSET($DS$3,0,0,'Données projet'!$E$14+1,1))-AVERAGE(OFFSET($H$3,0,0,'Données projet'!$E$14+1,1))</f>
        <v>271.09447278906288</v>
      </c>
      <c r="DU51" s="62">
        <f t="shared" si="44"/>
        <v>325.1094067861851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22.931825619778426</v>
      </c>
      <c r="EB51" s="23">
        <f>EXP(-LN(2)/25)*EB50+(1-EXP(-LN(2)/25))/(LN(2)/25)*Calculateur!DW51*Calculateur!DY51*VLOOKUP('Données projet'!$B$14,Paramètres!$A$1:$I$89,3,0)*0.475*44/12</f>
        <v>4.2565586225448007</v>
      </c>
      <c r="EC51" s="23">
        <f>EXP(-LN(2)/2)*EC50+(1-EXP(-LN(2)/2))/(LN(2)/2)*DW51*DZ51*VLOOKUP('Données projet'!$B$14,Paramètres!$A$1:$I$89,3,0)*0.475*44/12</f>
        <v>2.0660682058090996</v>
      </c>
      <c r="ED51" s="24">
        <f t="shared" si="18"/>
        <v>29.254452448132326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11.2</v>
      </c>
      <c r="EJ51" s="13">
        <f>IF('Données projet'!$A$192&gt;35,EJ50+EI51-ER50,IF(A51&lt;'Données projet'!$A$192,$EG$205^A51,IF(A51='Données projet'!$A$192,'Données projet'!$B$192,EJ50+EI51-ER50)))</f>
        <v>260.60000000000008</v>
      </c>
      <c r="EK51" s="18">
        <f>EJ51*VLOOKUP('Données projet'!$B$15,Paramètres!$A$1:$I$89,3,0)*VLOOKUP('Données projet'!$B$15,Paramètres!$A$1:$I$89,5,0)</f>
        <v>280.50984000000011</v>
      </c>
      <c r="EL51" s="14">
        <f t="shared" si="45"/>
        <v>67.074741318968563</v>
      </c>
      <c r="EM51" s="22">
        <f t="shared" si="19"/>
        <v>605.37647913053706</v>
      </c>
      <c r="EN51" s="62">
        <f t="shared" si="20"/>
        <v>898.70981246387032</v>
      </c>
      <c r="EO51" s="62">
        <f ca="1">AVERAGE(OFFSET($EN$3,0,0,'Données projet'!$E$15+1,1))-AVERAGE(OFFSET($H$3,0,0,'Données projet'!$E$15+1,1))</f>
        <v>306.50593475734655</v>
      </c>
      <c r="EP51" s="62">
        <f t="shared" si="46"/>
        <v>366.48643801375079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25.520902705882438</v>
      </c>
      <c r="EW51" s="23">
        <f>EXP(-LN(2)/25)*EW50+(1-EXP(-LN(2)/25))/(LN(2)/25)*Calculateur!ER51*Calculateur!ET51*VLOOKUP('Données projet'!$B$15,Paramètres!$A$1:$I$89,3,0)*0.475*44/12</f>
        <v>4.7371378218643763</v>
      </c>
      <c r="EX51" s="23">
        <f>EXP(-LN(2)/2)*EX50+(1-EXP(-LN(2)/2))/(LN(2)/2)*ER51*EU51*VLOOKUP('Données projet'!$B$15,Paramètres!$A$1:$I$89,3,0)*0.475*44/12</f>
        <v>2.2993339709810954</v>
      </c>
      <c r="EY51" s="24">
        <f t="shared" si="21"/>
        <v>32.55737449872791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35.926799999999979</v>
      </c>
      <c r="D52" s="12">
        <f t="shared" si="32"/>
        <v>10.912390116516537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361.56567809240823</v>
      </c>
      <c r="H52" s="70">
        <f t="shared" si="1"/>
        <v>374.9115894529329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</v>
      </c>
      <c r="N52" s="14">
        <f>IF('Données projet'!$A$36&gt;35,N51+M52-V51,IF(A52&lt;'Données projet'!$A$36,$K$205^A52,IF(A52='Données projet'!$A$36,'Données projet'!$B$36,N51+M52-V51)))</f>
        <v>220.00000000000003</v>
      </c>
      <c r="O52" s="14">
        <f>N52*VLOOKUP('Données projet'!$B$9,Paramètres!$A$1:$I$89,3,0)*VLOOKUP('Données projet'!$B$9,Paramètres!$A$1:$I$89,5,0)</f>
        <v>199.05600000000001</v>
      </c>
      <c r="P52" s="14">
        <f t="shared" si="33"/>
        <v>49.536648006253934</v>
      </c>
      <c r="Q52" s="22">
        <f t="shared" si="53"/>
        <v>432.96552861089231</v>
      </c>
      <c r="R52" s="62">
        <f t="shared" si="0"/>
        <v>726.29886194422556</v>
      </c>
      <c r="S52" s="62">
        <f ca="1">AVERAGE(OFFSET($R$3,0,0,'Données projet'!$E$9+1,1))-AVERAGE(OFFSET($H$3,0,0,'Données projet'!$E$9+1,1))</f>
        <v>312.57314929661908</v>
      </c>
      <c r="T52" s="62">
        <f t="shared" si="34"/>
        <v>190.92100876773804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14.356714398970464</v>
      </c>
      <c r="AA52" s="23">
        <f>EXP(-LN(2)/25)*AA51+(1-EXP(-LN(2)/25))/(LN(2)/25)*Calculateur!V52*Calculateur!X52*VLOOKUP('Données projet'!$B$9,Paramètres!$A$1:$I$89,3,0)*0.475*44/12</f>
        <v>1.8280710629447108</v>
      </c>
      <c r="AB52" s="23">
        <f>EXP(-LN(2)/2)*AB51+(1-EXP(-LN(2)/2))/(LN(2)/2)*V52*Y52*VLOOKUP('Données projet'!$B$9,Paramètres!$A$1:$I$89,3,0)*0.475*44/12</f>
        <v>0.50773348223811343</v>
      </c>
      <c r="AC52" s="24">
        <f t="shared" si="3"/>
        <v>16.692518944153289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</v>
      </c>
      <c r="AI52" s="14">
        <f>IF('Données projet'!$A$62&gt;35,AI51+AH52-AQ51,IF(A52&lt;'Données projet'!$A$62,$AF$205^A52,IF(A52='Données projet'!$A$62,'Données projet'!$B$62,AI51+AH52-AQ51)))</f>
        <v>220.00000000000003</v>
      </c>
      <c r="AJ52" s="14">
        <f>AI52*VLOOKUP('Données projet'!$B$10,Paramètres!$A$1:$I$89,3,0)*VLOOKUP('Données projet'!$B$10,Paramètres!$A$1:$I$89,5,0)</f>
        <v>223.08000000000004</v>
      </c>
      <c r="AK52" s="14">
        <f t="shared" si="35"/>
        <v>54.783765878062667</v>
      </c>
      <c r="AL52" s="22">
        <f t="shared" si="4"/>
        <v>483.94605890429256</v>
      </c>
      <c r="AM52" s="62">
        <f t="shared" si="5"/>
        <v>777.27939223762587</v>
      </c>
      <c r="AN52" s="62">
        <f ca="1">AVERAGE(OFFSET($AM$3,0,0,'Données projet'!$E$10+1,1))-AVERAGE(OFFSET($H$3,0,0,'Données projet'!$E$10+1,1))</f>
        <v>360.56293184044779</v>
      </c>
      <c r="AO52" s="62">
        <f t="shared" si="36"/>
        <v>219.32252911220542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16.089421309191042</v>
      </c>
      <c r="AV52" s="23">
        <f>EXP(-LN(2)/25)*AV51+(1-EXP(-LN(2)/25))/(LN(2)/25)*Calculateur!AQ52*Calculateur!AS52*VLOOKUP('Données projet'!$B$10,Paramètres!$A$1:$I$89,3,0)*0.475*44/12</f>
        <v>2.0487003291621759</v>
      </c>
      <c r="AW52" s="23">
        <f>EXP(-LN(2)/2)*AW51+(1-EXP(-LN(2)/2))/(LN(2)/2)*AQ52*AT52*VLOOKUP('Données projet'!$B$10,Paramètres!$A$1:$I$89,3,0)*0.475*44/12</f>
        <v>0.56901166112892043</v>
      </c>
      <c r="AX52" s="23">
        <f t="shared" si="6"/>
        <v>18.707133299482141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1.1368683772161603E-13</v>
      </c>
      <c r="BE52" s="14">
        <f>BD52*VLOOKUP('Données projet'!$B$11,Paramètres!$A$1:$I$89,3,0)*VLOOKUP('Données projet'!$B$11,Paramètres!$A$1:$I$89,5,0)</f>
        <v>8.3355189417488869E-14</v>
      </c>
      <c r="BF52" s="14">
        <f t="shared" si="37"/>
        <v>1.2790518435140618E-12</v>
      </c>
      <c r="BG52" s="22">
        <f t="shared" si="7"/>
        <v>2.3728589156891171E-12</v>
      </c>
      <c r="BH52" s="62">
        <f t="shared" si="8"/>
        <v>293.3333333333357</v>
      </c>
      <c r="BI52" s="62">
        <f ca="1">AVERAGE(OFFSET($BH$3,0,0,'Données projet'!$E$11+1,1))-AVERAGE(OFFSET($H$3,0,0,'Données projet'!$E$11+1,1))</f>
        <v>182.06733089745194</v>
      </c>
      <c r="BJ52" s="62">
        <f t="shared" si="38"/>
        <v>320.36755413886021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41.011959437241266</v>
      </c>
      <c r="BQ52" s="23">
        <f>EXP(-LN(2)/25)*BQ51+(1-EXP(-LN(2)/25))/(LN(2)/25)*Calculateur!BL52*Calculateur!BN52*VLOOKUP('Données projet'!$B$11,Paramètres!$A$1:$I$89,3,0)*0.475*44/12</f>
        <v>7.5034073083457518</v>
      </c>
      <c r="BR52" s="23">
        <f>EXP(-LN(2)/2)*BR51+(1-EXP(-LN(2)/2))/(LN(2)/2)*BL52*BO52*VLOOKUP('Données projet'!$B$11,Paramètres!$A$1:$I$89,3,0)*0.475*44/12</f>
        <v>1.0225208153682517</v>
      </c>
      <c r="BS52" s="24">
        <f t="shared" si="9"/>
        <v>49.537887560955269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10.6</v>
      </c>
      <c r="BY52" s="13">
        <f>IF('Données projet'!$A$114&gt;35,BY51+BX52-CG51,IF(A52&lt;'Données projet'!$A$114,$BV$205^A52,IF(A52='Données projet'!$A$114,'Données projet'!$B$114,BY51+BX52-CG51)))</f>
        <v>217.39999999999998</v>
      </c>
      <c r="BZ52" s="14">
        <f>BY52*VLOOKUP('Données projet'!$B$12,Paramètres!$A$1:$I$89,3,0)*VLOOKUP('Données projet'!$B$12,Paramètres!$A$1:$I$89,5,0)</f>
        <v>189.92064000000002</v>
      </c>
      <c r="CA52" s="14">
        <f t="shared" si="39"/>
        <v>47.522407055417723</v>
      </c>
      <c r="CB52" s="22">
        <f t="shared" si="10"/>
        <v>413.54664028818587</v>
      </c>
      <c r="CC52" s="62">
        <f t="shared" si="11"/>
        <v>706.87997362151918</v>
      </c>
      <c r="CD52" s="62">
        <f ca="1">AVERAGE(OFFSET($CC$3,0,0,'Données projet'!$E$12+1,1))-AVERAGE(OFFSET($H$3,0,0,'Données projet'!$E$12+1,1))</f>
        <v>248.60758320902863</v>
      </c>
      <c r="CE52" s="62">
        <f t="shared" si="40"/>
        <v>222.23585883330111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17.012186453464835</v>
      </c>
      <c r="CL52" s="23">
        <f>EXP(-LN(2)/25)*CL51+(1-EXP(-LN(2)/25))/(LN(2)/25)*Calculateur!CG52*Calculateur!CI52*VLOOKUP('Données projet'!$B$12,Paramètres!$A$1:$I$89,3,0)*0.475*44/12</f>
        <v>7.15790524973752</v>
      </c>
      <c r="CM52" s="23">
        <f>EXP(-LN(2)/2)*CM51+(1-EXP(-LN(2)/2))/(LN(2)/2)*CG52*CJ52*VLOOKUP('Données projet'!$B$12,Paramètres!$A$1:$I$89,3,0)*0.475*44/12</f>
        <v>1.2465095203064345</v>
      </c>
      <c r="CN52" s="24">
        <f t="shared" si="12"/>
        <v>25.416601223508792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193.99999999999994</v>
      </c>
      <c r="CU52" s="18">
        <f>CT52*VLOOKUP('Données projet'!$B$13,Paramètres!$A$1:$I$89,3,0)*VLOOKUP('Données projet'!$B$13,Paramètres!$A$1:$I$89,5,0)</f>
        <v>105.92399999999998</v>
      </c>
      <c r="CV52" s="14">
        <f t="shared" si="41"/>
        <v>28.36854701055546</v>
      </c>
      <c r="CW52" s="22">
        <f t="shared" si="13"/>
        <v>233.89285271005073</v>
      </c>
      <c r="CX52" s="62">
        <f t="shared" si="14"/>
        <v>527.22618604338402</v>
      </c>
      <c r="CY52" s="62">
        <f ca="1">AVERAGE(OFFSET($CX$3,0,0,'Données projet'!$E$13+1,1))-AVERAGE(OFFSET($H$3,0,0,'Données projet'!$E$13+1,1))</f>
        <v>135.44138026609272</v>
      </c>
      <c r="CZ52" s="62">
        <f t="shared" si="42"/>
        <v>254.77247578425659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45.357031517731158</v>
      </c>
      <c r="DG52" s="23">
        <f>EXP(-LN(2)/25)*DG51+(1-EXP(-LN(2)/25))/(LN(2)/25)*Calculateur!DB52*Calculateur!DD52*VLOOKUP('Données projet'!$B$13,Paramètres!$A$1:$I$89,3,0)*0.475*44/12</f>
        <v>26.712154478154947</v>
      </c>
      <c r="DH52" s="23">
        <f>EXP(-LN(2)/2)*DH51+(1-EXP(-LN(2)/2))/(LN(2)/2)*DB52*DE52*VLOOKUP('Données projet'!$B$13,Paramètres!$A$1:$I$89,3,0)*0.475*44/12</f>
        <v>0.11746207757218005</v>
      </c>
      <c r="DI52" s="24">
        <f t="shared" si="15"/>
        <v>72.186648073458286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11.2</v>
      </c>
      <c r="DO52" s="13">
        <f>IF('Données projet'!$A$166&gt;35,DO51+DN52-DW51,IF(A52&lt;'Données projet'!$A$166,$DL$205^A52,IF(A52='Données projet'!$A$166,'Données projet'!$B$166,DO51+DN52-DW51)))</f>
        <v>271.80000000000007</v>
      </c>
      <c r="DP52" s="18">
        <f>DO52*VLOOKUP('Données projet'!$B$14,Paramètres!$A$1:$I$89,3,0)*VLOOKUP('Données projet'!$B$14,Paramètres!$A$1:$I$89,5,0)</f>
        <v>262.88496000000009</v>
      </c>
      <c r="DQ52" s="14">
        <f t="shared" si="43"/>
        <v>63.336939343272014</v>
      </c>
      <c r="DR52" s="22">
        <f t="shared" si="16"/>
        <v>568.1698080228656</v>
      </c>
      <c r="DS52" s="62">
        <f t="shared" si="17"/>
        <v>861.50314135619897</v>
      </c>
      <c r="DT52" s="62">
        <f ca="1">AVERAGE(OFFSET($DS$3,0,0,'Données projet'!$E$14+1,1))-AVERAGE(OFFSET($H$3,0,0,'Données projet'!$E$14+1,1))</f>
        <v>271.09447278906288</v>
      </c>
      <c r="DU52" s="62">
        <f t="shared" si="44"/>
        <v>325.1094067861851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22.482146506407094</v>
      </c>
      <c r="EB52" s="23">
        <f>EXP(-LN(2)/25)*EB51+(1-EXP(-LN(2)/25))/(LN(2)/25)*Calculateur!DW52*Calculateur!DY52*VLOOKUP('Données projet'!$B$14,Paramètres!$A$1:$I$89,3,0)*0.475*44/12</f>
        <v>4.1401628031686233</v>
      </c>
      <c r="EC52" s="23">
        <f>EXP(-LN(2)/2)*EC51+(1-EXP(-LN(2)/2))/(LN(2)/2)*DW52*DZ52*VLOOKUP('Données projet'!$B$14,Paramètres!$A$1:$I$89,3,0)*0.475*44/12</f>
        <v>1.4609308387215378</v>
      </c>
      <c r="ED52" s="24">
        <f t="shared" si="18"/>
        <v>28.083240148297257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11.2</v>
      </c>
      <c r="EJ52" s="13">
        <f>IF('Données projet'!$A$192&gt;35,EJ51+EI52-ER51,IF(A52&lt;'Données projet'!$A$192,$EG$205^A52,IF(A52='Données projet'!$A$192,'Données projet'!$B$192,EJ51+EI52-ER51)))</f>
        <v>271.80000000000007</v>
      </c>
      <c r="EK52" s="18">
        <f>EJ52*VLOOKUP('Données projet'!$B$15,Paramètres!$A$1:$I$89,3,0)*VLOOKUP('Données projet'!$B$15,Paramètres!$A$1:$I$89,5,0)</f>
        <v>292.56552000000005</v>
      </c>
      <c r="EL52" s="14">
        <f t="shared" si="45"/>
        <v>69.615642016549756</v>
      </c>
      <c r="EM52" s="22">
        <f t="shared" si="19"/>
        <v>630.79885717882428</v>
      </c>
      <c r="EN52" s="62">
        <f t="shared" si="20"/>
        <v>924.13219051215765</v>
      </c>
      <c r="EO52" s="62">
        <f ca="1">AVERAGE(OFFSET($EN$3,0,0,'Données projet'!$E$15+1,1))-AVERAGE(OFFSET($H$3,0,0,'Données projet'!$E$15+1,1))</f>
        <v>306.50593475734655</v>
      </c>
      <c r="EP52" s="62">
        <f t="shared" si="46"/>
        <v>366.48643801375079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25.0204533700337</v>
      </c>
      <c r="EW52" s="23">
        <f>EXP(-LN(2)/25)*EW51+(1-EXP(-LN(2)/25))/(LN(2)/25)*Calculateur!ER52*Calculateur!ET52*VLOOKUP('Données projet'!$B$15,Paramètres!$A$1:$I$89,3,0)*0.475*44/12</f>
        <v>4.6076005390102441</v>
      </c>
      <c r="EX52" s="23">
        <f>EXP(-LN(2)/2)*EX51+(1-EXP(-LN(2)/2))/(LN(2)/2)*ER52*EU52*VLOOKUP('Données projet'!$B$15,Paramètres!$A$1:$I$89,3,0)*0.475*44/12</f>
        <v>1.6258746430933249</v>
      </c>
      <c r="EY52" s="24">
        <f t="shared" si="21"/>
        <v>31.253928552137268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36.659999999999975</v>
      </c>
      <c r="D53" s="12">
        <f t="shared" si="32"/>
        <v>11.108937492002092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368.74267537685813</v>
      </c>
      <c r="H53" s="70">
        <f t="shared" si="1"/>
        <v>376.53089946523693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231</v>
      </c>
      <c r="L53" s="13">
        <f>VLOOKUP(A53,'Données projet'!$A$35:$I$55,9,0)</f>
        <v>11</v>
      </c>
      <c r="M53" s="13">
        <f t="array" ref="M53">INDEX(L:L,MIN(IF(ISNUMBER(L53:L249),ROW(L53:L249),"")))</f>
        <v>11</v>
      </c>
      <c r="N53" s="14">
        <f>IF('Données projet'!$A$36&gt;35,N52+M53-V52,IF(A53&lt;'Données projet'!$A$36,$K$205^A53,IF(A53='Données projet'!$A$36,'Données projet'!$B$36,N52+M53-V52)))</f>
        <v>231.00000000000003</v>
      </c>
      <c r="O53" s="14">
        <f>N53*VLOOKUP('Données projet'!$B$9,Paramètres!$A$1:$I$89,3,0)*VLOOKUP('Données projet'!$B$9,Paramètres!$A$1:$I$89,5,0)</f>
        <v>209.00880000000004</v>
      </c>
      <c r="P53" s="14">
        <f t="shared" si="33"/>
        <v>51.718923953824252</v>
      </c>
      <c r="Q53" s="22">
        <f t="shared" si="53"/>
        <v>454.10078588624395</v>
      </c>
      <c r="R53" s="62">
        <f t="shared" si="0"/>
        <v>747.43411921957727</v>
      </c>
      <c r="S53" s="62">
        <f ca="1">AVERAGE(OFFSET($R$3,0,0,'Données projet'!$E$9+1,1))-AVERAGE(OFFSET($H$3,0,0,'Données projet'!$E$9+1,1))</f>
        <v>312.57314929661908</v>
      </c>
      <c r="T53" s="62">
        <f t="shared" si="34"/>
        <v>190.92100876773804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28</v>
      </c>
      <c r="W53" s="17">
        <f>IF(ISNA(VLOOKUP(A53,'Données projet'!$A$35:$I$55,5,0)),0%,VLOOKUP(A53,'Données projet'!$A$35:$I$55,5,0)*VLOOKUP('Données projet'!$B$9,Paramètres!$A$1:$I$89,7,0))</f>
        <v>0.25800000000000001</v>
      </c>
      <c r="X53" s="17">
        <f>IF(ISNA(VLOOKUP(A53,'Données projet'!$A$35:$I$55,6,0)),0%,VLOOKUP(A53,'Données projet'!$A$35:$I$55,6,0)*VLOOKUP('Données projet'!$B$9,Paramètres!$A$1:$I$89,7,0))</f>
        <v>1.72E-2</v>
      </c>
      <c r="Y53" s="17">
        <f>IF(ISNA(VLOOKUP(A53,'Données projet'!$A$35:$I$55,7,0)),0%,VLOOKUP(A53,'Données projet'!$A$35:$I$55,7,0))</f>
        <v>0.06</v>
      </c>
      <c r="Z53" s="23">
        <f>EXP(-LN(2)/35)*Z52+(1-EXP(-LN(2)/35))/(LN(2)/35)*V53*W53*VLOOKUP('Données projet'!$B$9,Paramètres!$A$1:$I$89,3,0)*0.475*44/12</f>
        <v>21.30084661241359</v>
      </c>
      <c r="AA53" s="23">
        <f>EXP(-LN(2)/25)*AA52+(1-EXP(-LN(2)/25))/(LN(2)/25)*Calculateur!V53*Calculateur!X53*VLOOKUP('Données projet'!$B$9,Paramètres!$A$1:$I$89,3,0)*0.475*44/12</f>
        <v>2.2578962605859529</v>
      </c>
      <c r="AB53" s="23">
        <f>EXP(-LN(2)/2)*AB52+(1-EXP(-LN(2)/2))/(LN(2)/2)*V53*Y53*VLOOKUP('Données projet'!$B$9,Paramètres!$A$1:$I$89,3,0)*0.475*44/12</f>
        <v>1.7932430842487541</v>
      </c>
      <c r="AC53" s="24">
        <f t="shared" si="3"/>
        <v>25.351985957248296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231</v>
      </c>
      <c r="AG53" s="13">
        <f>VLOOKUP(A53,'Données projet'!$A$61:$I$81,9,0)</f>
        <v>11</v>
      </c>
      <c r="AH53" s="13">
        <f t="array" ref="AH53">INDEX(AG:AG,MIN(IF(ISNUMBER(AG53:AG249),ROW(AG53:AG249),"")))</f>
        <v>11</v>
      </c>
      <c r="AI53" s="14">
        <f>IF('Données projet'!$A$62&gt;35,AI52+AH53-AQ52,IF(A53&lt;'Données projet'!$A$62,$AF$205^A53,IF(A53='Données projet'!$A$62,'Données projet'!$B$62,AI52+AH53-AQ52)))</f>
        <v>231.00000000000003</v>
      </c>
      <c r="AJ53" s="14">
        <f>AI53*VLOOKUP('Données projet'!$B$10,Paramètres!$A$1:$I$89,3,0)*VLOOKUP('Données projet'!$B$10,Paramètres!$A$1:$I$89,5,0)</f>
        <v>234.23400000000007</v>
      </c>
      <c r="AK53" s="14">
        <f t="shared" si="35"/>
        <v>57.197197133603488</v>
      </c>
      <c r="AL53" s="22">
        <f t="shared" si="4"/>
        <v>507.57600167435953</v>
      </c>
      <c r="AM53" s="62">
        <f t="shared" si="5"/>
        <v>800.90933500769279</v>
      </c>
      <c r="AN53" s="62">
        <f ca="1">AVERAGE(OFFSET($AM$3,0,0,'Données projet'!$E$10+1,1))-AVERAGE(OFFSET($H$3,0,0,'Données projet'!$E$10+1,1))</f>
        <v>360.56293184044779</v>
      </c>
      <c r="AO53" s="62">
        <f t="shared" si="36"/>
        <v>219.32252911220542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28</v>
      </c>
      <c r="AR53" s="17">
        <f>IF(ISNA(VLOOKUP(A53,'Données projet'!$A$61:$I$81,5,0)),0%,VLOOKUP(A53,'Données projet'!$A$61:$I$81,5,0)*VLOOKUP('Données projet'!$B$10,Paramètres!$A$1:$I$89,7,0))</f>
        <v>0.25800000000000001</v>
      </c>
      <c r="AS53" s="17">
        <f>IF(ISNA(VLOOKUP(A53,'Données projet'!$A$61:$I$81,6,0)),0%,VLOOKUP(A53,'Données projet'!$A$61:$I$81,6,0)*VLOOKUP('Données projet'!$B$10,Paramètres!$A$1:$I$89,7,0))</f>
        <v>1.72E-2</v>
      </c>
      <c r="AT53" s="17">
        <f>IF(ISNA(VLOOKUP(A53,'Données projet'!$A$61:$I$81,7,0)),0%,VLOOKUP(A53,'Données projet'!$A$61:$I$81,7,0))</f>
        <v>0.06</v>
      </c>
      <c r="AU53" s="23">
        <f>EXP(-LN(2)/35)*AU52+(1-EXP(-LN(2)/35))/(LN(2)/35)*AQ53*AR53*VLOOKUP('Données projet'!$B$10,Paramètres!$A$1:$I$89,3,0)*0.475*44/12</f>
        <v>23.871638444946271</v>
      </c>
      <c r="AV53" s="23">
        <f>EXP(-LN(2)/25)*AV52+(1-EXP(-LN(2)/25))/(LN(2)/25)*Calculateur!AQ53*Calculateur!AS53*VLOOKUP('Données projet'!$B$10,Paramètres!$A$1:$I$89,3,0)*0.475*44/12</f>
        <v>2.5304009816911543</v>
      </c>
      <c r="AW53" s="23">
        <f>EXP(-LN(2)/2)*AW52+(1-EXP(-LN(2)/2))/(LN(2)/2)*AQ53*AT53*VLOOKUP('Données projet'!$B$10,Paramètres!$A$1:$I$89,3,0)*0.475*44/12</f>
        <v>2.0096689737270523</v>
      </c>
      <c r="AX53" s="23">
        <f t="shared" si="6"/>
        <v>28.411708400364478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1.1368683772161603E-13</v>
      </c>
      <c r="BE53" s="14">
        <f>BD53*VLOOKUP('Données projet'!$B$11,Paramètres!$A$1:$I$89,3,0)*VLOOKUP('Données projet'!$B$11,Paramètres!$A$1:$I$89,5,0)</f>
        <v>8.3355189417488869E-14</v>
      </c>
      <c r="BF53" s="14">
        <f t="shared" si="37"/>
        <v>1.2790518435140618E-12</v>
      </c>
      <c r="BG53" s="22">
        <f t="shared" si="7"/>
        <v>2.3728589156891171E-12</v>
      </c>
      <c r="BH53" s="62">
        <f t="shared" si="8"/>
        <v>293.3333333333357</v>
      </c>
      <c r="BI53" s="62">
        <f ca="1">AVERAGE(OFFSET($BH$3,0,0,'Données projet'!$E$11+1,1))-AVERAGE(OFFSET($H$3,0,0,'Données projet'!$E$11+1,1))</f>
        <v>182.06733089745194</v>
      </c>
      <c r="BJ53" s="62">
        <f t="shared" si="38"/>
        <v>320.36755413886021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40.20773992750221</v>
      </c>
      <c r="BQ53" s="23">
        <f>EXP(-LN(2)/25)*BQ52+(1-EXP(-LN(2)/25))/(LN(2)/25)*Calculateur!BL53*Calculateur!BN53*VLOOKUP('Données projet'!$B$11,Paramètres!$A$1:$I$89,3,0)*0.475*44/12</f>
        <v>7.2982262409119958</v>
      </c>
      <c r="BR53" s="23">
        <f>EXP(-LN(2)/2)*BR52+(1-EXP(-LN(2)/2))/(LN(2)/2)*BL53*BO53*VLOOKUP('Données projet'!$B$11,Paramètres!$A$1:$I$89,3,0)*0.475*44/12</f>
        <v>0.7230314024512885</v>
      </c>
      <c r="BS53" s="24">
        <f t="shared" si="9"/>
        <v>48.228997570865495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228</v>
      </c>
      <c r="BW53" s="13">
        <f>VLOOKUP(A53,'Données projet'!$A$113:$I$133,9,0)</f>
        <v>10.6</v>
      </c>
      <c r="BX53" s="13">
        <f t="array" ref="BX53">INDEX(BW:BW,MIN(IF(ISNUMBER(BW53:BW249),ROW(BW53:BW249),"")))</f>
        <v>10.6</v>
      </c>
      <c r="BY53" s="13">
        <f>IF('Données projet'!$A$114&gt;35,BY52+BX53-CG52,IF(A53&lt;'Données projet'!$A$114,$BV$205^A53,IF(A53='Données projet'!$A$114,'Données projet'!$B$114,BY52+BX53-CG52)))</f>
        <v>227.99999999999997</v>
      </c>
      <c r="BZ53" s="14">
        <f>BY53*VLOOKUP('Données projet'!$B$12,Paramètres!$A$1:$I$89,3,0)*VLOOKUP('Données projet'!$B$12,Paramètres!$A$1:$I$89,5,0)</f>
        <v>199.1808</v>
      </c>
      <c r="CA53" s="14">
        <f t="shared" si="39"/>
        <v>49.564089376413683</v>
      </c>
      <c r="CB53" s="22">
        <f t="shared" si="10"/>
        <v>433.23068233058711</v>
      </c>
      <c r="CC53" s="62">
        <f t="shared" si="11"/>
        <v>726.56401566392037</v>
      </c>
      <c r="CD53" s="62">
        <f ca="1">AVERAGE(OFFSET($CC$3,0,0,'Données projet'!$E$12+1,1))-AVERAGE(OFFSET($H$3,0,0,'Données projet'!$E$12+1,1))</f>
        <v>248.60758320902863</v>
      </c>
      <c r="CE53" s="62">
        <f t="shared" si="40"/>
        <v>222.23585883330111</v>
      </c>
      <c r="CF53" s="16">
        <f>IF(ISNA(VLOOKUP(A53,'Données projet'!$A$113:$I$133,3,0)),0,VLOOKUP(A53,'Données projet'!$A$113:$I$133,3,0))</f>
        <v>7</v>
      </c>
      <c r="CG53" s="16">
        <f>IF(ISNA(VLOOKUP(A53,'Données projet'!$A$113:$I$133,4,0)),0,VLOOKUP(A53,'Données projet'!$A$113:$I$133,4,0))</f>
        <v>32</v>
      </c>
      <c r="CH53" s="17">
        <f>IF(ISNA(VLOOKUP(A53,'Données projet'!$A$113:$I$133,5,0)),0%,VLOOKUP(A53,'Données projet'!$A$113:$I$133,5,0)*VLOOKUP('Données projet'!$B$12,Paramètres!$A$1:$I$89,7,0))</f>
        <v>0.215</v>
      </c>
      <c r="CI53" s="17">
        <f>IF(ISNA(VLOOKUP(A53,'Données projet'!$A$113:$I$133,6,0)),0%,VLOOKUP(A53,'Données projet'!$A$113:$I$133,6,0)*VLOOKUP('Données projet'!$B$12,Paramètres!$A$1:$I$89,7,0))</f>
        <v>4.3000000000000003E-2</v>
      </c>
      <c r="CJ53" s="17">
        <f>IF(ISNA(VLOOKUP(A53,'Données projet'!$A$113:$I$133,7,0)),0%,VLOOKUP(A53,'Données projet'!$A$113:$I$133,7,0))</f>
        <v>0.15</v>
      </c>
      <c r="CK53" s="23">
        <f>EXP(-LN(2)/35)*CK52+(1-EXP(-LN(2)/35))/(LN(2)/35)*CG53*CH53*VLOOKUP('Données projet'!$B$12,Paramètres!$A$1:$I$89,3,0)*0.475*44/12</f>
        <v>23.322871647614239</v>
      </c>
      <c r="CL53" s="23">
        <f>EXP(-LN(2)/25)*CL52+(1-EXP(-LN(2)/25))/(LN(2)/25)*Calculateur!CG53*Calculateur!CI53*VLOOKUP('Données projet'!$B$12,Paramètres!$A$1:$I$89,3,0)*0.475*44/12</f>
        <v>8.2857964976905212</v>
      </c>
      <c r="CM53" s="23">
        <f>EXP(-LN(2)/2)*CM52+(1-EXP(-LN(2)/2))/(LN(2)/2)*CG53*CJ53*VLOOKUP('Données projet'!$B$12,Paramètres!$A$1:$I$89,3,0)*0.475*44/12</f>
        <v>4.8378878750987528</v>
      </c>
      <c r="CN53" s="24">
        <f t="shared" si="12"/>
        <v>36.446556020403513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193.99999999999994</v>
      </c>
      <c r="CU53" s="18">
        <f>CT53*VLOOKUP('Données projet'!$B$13,Paramètres!$A$1:$I$89,3,0)*VLOOKUP('Données projet'!$B$13,Paramètres!$A$1:$I$89,5,0)</f>
        <v>105.92399999999998</v>
      </c>
      <c r="CV53" s="14">
        <f t="shared" si="41"/>
        <v>28.36854701055546</v>
      </c>
      <c r="CW53" s="22">
        <f t="shared" si="13"/>
        <v>233.89285271005073</v>
      </c>
      <c r="CX53" s="62">
        <f t="shared" si="14"/>
        <v>527.22618604338402</v>
      </c>
      <c r="CY53" s="62">
        <f ca="1">AVERAGE(OFFSET($CX$3,0,0,'Données projet'!$E$13+1,1))-AVERAGE(OFFSET($H$3,0,0,'Données projet'!$E$13+1,1))</f>
        <v>135.44138026609272</v>
      </c>
      <c r="CZ53" s="62">
        <f t="shared" si="42"/>
        <v>254.77247578425659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44.467607794725978</v>
      </c>
      <c r="DG53" s="23">
        <f>EXP(-LN(2)/25)*DG52+(1-EXP(-LN(2)/25))/(LN(2)/25)*Calculateur!DB53*Calculateur!DD53*VLOOKUP('Données projet'!$B$13,Paramètres!$A$1:$I$89,3,0)*0.475*44/12</f>
        <v>25.981709209218646</v>
      </c>
      <c r="DH53" s="23">
        <f>EXP(-LN(2)/2)*DH52+(1-EXP(-LN(2)/2))/(LN(2)/2)*DB53*DE53*VLOOKUP('Données projet'!$B$13,Paramètres!$A$1:$I$89,3,0)*0.475*44/12</f>
        <v>8.3058231583548803E-2</v>
      </c>
      <c r="DI53" s="24">
        <f t="shared" si="15"/>
        <v>70.532375235528178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>
        <f>VLOOKUP(A53,'Données projet'!$A$165:$I$185,2,0)</f>
        <v>283</v>
      </c>
      <c r="DM53" s="13">
        <f>VLOOKUP(A53,'Données projet'!$A$165:$I$185,9,0)</f>
        <v>11.2</v>
      </c>
      <c r="DN53" s="13">
        <f t="array" ref="DN53">INDEX(DM:DM,MIN(IF(ISNUMBER(DM53:DM249),ROW(DM53:DM249),"")))</f>
        <v>11.2</v>
      </c>
      <c r="DO53" s="13">
        <f>IF('Données projet'!$A$166&gt;35,DO52+DN53-DW52,IF(A53&lt;'Données projet'!$A$166,$DL$205^A53,IF(A53='Données projet'!$A$166,'Données projet'!$B$166,DO52+DN53-DW52)))</f>
        <v>283.00000000000006</v>
      </c>
      <c r="DP53" s="18">
        <f>DO53*VLOOKUP('Données projet'!$B$14,Paramètres!$A$1:$I$89,3,0)*VLOOKUP('Données projet'!$B$14,Paramètres!$A$1:$I$89,5,0)</f>
        <v>273.71760000000006</v>
      </c>
      <c r="DQ53" s="14">
        <f t="shared" si="43"/>
        <v>65.637608810456669</v>
      </c>
      <c r="DR53" s="22">
        <f t="shared" si="16"/>
        <v>591.04365534487874</v>
      </c>
      <c r="DS53" s="62">
        <f t="shared" si="17"/>
        <v>884.376988678212</v>
      </c>
      <c r="DT53" s="62">
        <f ca="1">AVERAGE(OFFSET($DS$3,0,0,'Données projet'!$E$14+1,1))-AVERAGE(OFFSET($H$3,0,0,'Données projet'!$E$14+1,1))</f>
        <v>271.09447278906288</v>
      </c>
      <c r="DU53" s="62">
        <f t="shared" si="44"/>
        <v>325.1094067861851</v>
      </c>
      <c r="DV53" s="16">
        <f>IF(ISNA(VLOOKUP(A53,'Données projet'!$A$165:$I$185,3,0)),0,VLOOKUP(A53,'Données projet'!$A$165:$I$185,3,0))</f>
        <v>7</v>
      </c>
      <c r="DW53" s="16">
        <f>IF(ISNA(VLOOKUP(A53,'Données projet'!$A$165:$I$185,4,0)),0,VLOOKUP(A53,'Données projet'!$A$165:$I$185,4,0))</f>
        <v>35</v>
      </c>
      <c r="DX53" s="17">
        <f>IF(ISNA(VLOOKUP(A53,'Données projet'!$A$165:$I$185,5,0)),0%,VLOOKUP(A53,'Données projet'!$A$165:$I$185,5,0)*VLOOKUP('Données projet'!$B$14,Paramètres!$A$1:$I$89,7,0))</f>
        <v>0.215</v>
      </c>
      <c r="DY53" s="17">
        <f>IF(ISNA(VLOOKUP(A53,'Données projet'!$A$165:$I$185,6,0)),0%,VLOOKUP(A53,'Données projet'!$A$165:$I$185,6,0)*VLOOKUP('Données projet'!$B$14,Paramètres!$A$1:$I$89,7,0))</f>
        <v>4.3000000000000003E-2</v>
      </c>
      <c r="DZ53" s="17">
        <f>IF(ISNA(VLOOKUP(A53,'Données projet'!$A$165:$I$185,7,0)),0%,VLOOKUP(A53,'Données projet'!$A$165:$I$185,7,0))</f>
        <v>0.15</v>
      </c>
      <c r="EA53" s="23">
        <f>EXP(-LN(2)/35)*EA52+(1-EXP(-LN(2)/35))/(LN(2)/35)*DW53*DX53*VLOOKUP('Données projet'!$B$14,Paramètres!$A$1:$I$89,3,0)*0.475*44/12</f>
        <v>30.087097733080927</v>
      </c>
      <c r="EB53" s="23">
        <f>EXP(-LN(2)/25)*EB52+(1-EXP(-LN(2)/25))/(LN(2)/25)*Calculateur!DW53*Calculateur!DY53*VLOOKUP('Données projet'!$B$14,Paramètres!$A$1:$I$89,3,0)*0.475*44/12</f>
        <v>5.6297764291479284</v>
      </c>
      <c r="EC53" s="23">
        <f>EXP(-LN(2)/2)*EC52+(1-EXP(-LN(2)/2))/(LN(2)/2)*DW53*DZ53*VLOOKUP('Données projet'!$B$14,Paramètres!$A$1:$I$89,3,0)*0.475*44/12</f>
        <v>5.8240750698877894</v>
      </c>
      <c r="ED53" s="24">
        <f t="shared" si="18"/>
        <v>41.540949232116645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>
        <f>VLOOKUP(A53,'Données projet'!$A$191:$I$211,2,0)</f>
        <v>283</v>
      </c>
      <c r="EH53" s="13">
        <f>VLOOKUP(A53,'Données projet'!$A$191:$I$211,9,0)</f>
        <v>11.2</v>
      </c>
      <c r="EI53" s="13">
        <f t="array" ref="EI53">INDEX(EH:EH,MIN(IF(ISNUMBER(EH53:EH249),ROW(EH53:EH249),"")))</f>
        <v>11.2</v>
      </c>
      <c r="EJ53" s="13">
        <f>IF('Données projet'!$A$192&gt;35,EJ52+EI53-ER52,IF(A53&lt;'Données projet'!$A$192,$EG$205^A53,IF(A53='Données projet'!$A$192,'Données projet'!$B$192,EJ52+EI53-ER52)))</f>
        <v>283.00000000000006</v>
      </c>
      <c r="EK53" s="18">
        <f>EJ53*VLOOKUP('Données projet'!$B$15,Paramètres!$A$1:$I$89,3,0)*VLOOKUP('Données projet'!$B$15,Paramètres!$A$1:$I$89,5,0)</f>
        <v>304.62120000000004</v>
      </c>
      <c r="EL53" s="14">
        <f t="shared" si="45"/>
        <v>72.144380911839463</v>
      </c>
      <c r="EM53" s="22">
        <f t="shared" si="19"/>
        <v>656.20005342145373</v>
      </c>
      <c r="EN53" s="62">
        <f t="shared" si="20"/>
        <v>949.53338675478699</v>
      </c>
      <c r="EO53" s="62">
        <f ca="1">AVERAGE(OFFSET($EN$3,0,0,'Données projet'!$E$15+1,1))-AVERAGE(OFFSET($H$3,0,0,'Données projet'!$E$15+1,1))</f>
        <v>306.50593475734655</v>
      </c>
      <c r="EP53" s="62">
        <f t="shared" si="46"/>
        <v>366.48643801375079</v>
      </c>
      <c r="EQ53" s="16">
        <f>IF(ISNA(VLOOKUP(A53,'Données projet'!$A$191:$I$211,3,0)),0,VLOOKUP(A53,'Données projet'!$A$191:$I$211,3,0))</f>
        <v>7</v>
      </c>
      <c r="ER53" s="16">
        <f>IF(ISNA(VLOOKUP(A53,'Données projet'!$A$191:$I$211,4,0)),0,VLOOKUP(A53,'Données projet'!$A$191:$I$211,4,0))</f>
        <v>35</v>
      </c>
      <c r="ES53" s="17">
        <f>IF(ISNA(VLOOKUP(A53,'Données projet'!$A$191:$I$211,5,0)),0%,VLOOKUP(A53,'Données projet'!$A$191:$I$211,5,0)*VLOOKUP('Données projet'!$B$15,Paramètres!$A$1:$I$89,7,0))</f>
        <v>0.215</v>
      </c>
      <c r="ET53" s="17">
        <f>IF(ISNA(VLOOKUP(A53,'Données projet'!$A$191:$I$211,6,0)),0%,VLOOKUP(A53,'Données projet'!$A$191:$I$211,6,0)*VLOOKUP('Données projet'!$B$15,Paramètres!$A$1:$I$89,7,0))</f>
        <v>4.3000000000000003E-2</v>
      </c>
      <c r="EU53" s="17">
        <f>IF(ISNA(VLOOKUP(A53,'Données projet'!$A$191:$I$211,7,0)),0%,VLOOKUP(A53,'Données projet'!$A$191:$I$211,7,0))</f>
        <v>0.15</v>
      </c>
      <c r="EV53" s="23">
        <f>EXP(-LN(2)/35)*EV52+(1-EXP(-LN(2)/35))/(LN(2)/35)*ER53*ES53*VLOOKUP('Données projet'!$B$15,Paramètres!$A$1:$I$89,3,0)*0.475*44/12</f>
        <v>33.48402812229974</v>
      </c>
      <c r="EW53" s="23">
        <f>EXP(-LN(2)/25)*EW52+(1-EXP(-LN(2)/25))/(LN(2)/25)*Calculateur!ER53*Calculateur!ET53*VLOOKUP('Données projet'!$B$15,Paramètres!$A$1:$I$89,3,0)*0.475*44/12</f>
        <v>6.2653963485678581</v>
      </c>
      <c r="EX53" s="23">
        <f>EXP(-LN(2)/2)*EX52+(1-EXP(-LN(2)/2))/(LN(2)/2)*ER53*EU53*VLOOKUP('Données projet'!$B$15,Paramètres!$A$1:$I$89,3,0)*0.475*44/12</f>
        <v>6.4816319326170566</v>
      </c>
      <c r="EY53" s="24">
        <f t="shared" si="21"/>
        <v>46.231056403484651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37.393199999999972</v>
      </c>
      <c r="D54" s="12">
        <f t="shared" si="32"/>
        <v>11.305027805177126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375.91614446101624</v>
      </c>
      <c r="H54" s="70">
        <f t="shared" si="1"/>
        <v>378.14941342735011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10.199999999999999</v>
      </c>
      <c r="N54" s="14">
        <f>IF('Données projet'!$A$36&gt;35,N53+M54-V53,IF(A54&lt;'Données projet'!$A$36,$K$205^A54,IF(A54='Données projet'!$A$36,'Données projet'!$B$36,N53+M54-V53)))</f>
        <v>213.20000000000002</v>
      </c>
      <c r="O54" s="14">
        <f>N54*VLOOKUP('Données projet'!$B$9,Paramètres!$A$1:$I$89,3,0)*VLOOKUP('Données projet'!$B$9,Paramètres!$A$1:$I$89,5,0)</f>
        <v>192.90336000000002</v>
      </c>
      <c r="P54" s="14">
        <f t="shared" si="33"/>
        <v>48.181276881765257</v>
      </c>
      <c r="Q54" s="22">
        <f t="shared" si="53"/>
        <v>419.88907590240791</v>
      </c>
      <c r="R54" s="62">
        <f t="shared" si="0"/>
        <v>713.22240923574122</v>
      </c>
      <c r="S54" s="62">
        <f ca="1">AVERAGE(OFFSET($R$3,0,0,'Données projet'!$E$9+1,1))-AVERAGE(OFFSET($H$3,0,0,'Données projet'!$E$9+1,1))</f>
        <v>312.57314929661908</v>
      </c>
      <c r="T54" s="62">
        <f t="shared" si="34"/>
        <v>190.92100876773804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20.883150002577718</v>
      </c>
      <c r="AA54" s="23">
        <f>EXP(-LN(2)/25)*AA53+(1-EXP(-LN(2)/25))/(LN(2)/25)*Calculateur!V54*Calculateur!X54*VLOOKUP('Données projet'!$B$9,Paramètres!$A$1:$I$89,3,0)*0.475*44/12</f>
        <v>2.1961539686026263</v>
      </c>
      <c r="AB54" s="23">
        <f>EXP(-LN(2)/2)*AB53+(1-EXP(-LN(2)/2))/(LN(2)/2)*V54*Y54*VLOOKUP('Données projet'!$B$9,Paramètres!$A$1:$I$89,3,0)*0.475*44/12</f>
        <v>1.2680143451881736</v>
      </c>
      <c r="AC54" s="24">
        <f t="shared" si="3"/>
        <v>24.347318316368519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10.199999999999999</v>
      </c>
      <c r="AI54" s="14">
        <f>IF('Données projet'!$A$62&gt;35,AI53+AH54-AQ53,IF(A54&lt;'Données projet'!$A$62,$AF$205^A54,IF(A54='Données projet'!$A$62,'Données projet'!$B$62,AI53+AH54-AQ53)))</f>
        <v>213.20000000000002</v>
      </c>
      <c r="AJ54" s="14">
        <f>AI54*VLOOKUP('Données projet'!$B$10,Paramètres!$A$1:$I$89,3,0)*VLOOKUP('Données projet'!$B$10,Paramètres!$A$1:$I$89,5,0)</f>
        <v>216.18480000000002</v>
      </c>
      <c r="AK54" s="14">
        <f t="shared" si="35"/>
        <v>53.284828478170375</v>
      </c>
      <c r="AL54" s="22">
        <f t="shared" si="4"/>
        <v>469.3262695994801</v>
      </c>
      <c r="AM54" s="62">
        <f t="shared" si="5"/>
        <v>762.65960293281341</v>
      </c>
      <c r="AN54" s="62">
        <f ca="1">AVERAGE(OFFSET($AM$3,0,0,'Données projet'!$E$10+1,1))-AVERAGE(OFFSET($H$3,0,0,'Données projet'!$E$10+1,1))</f>
        <v>360.56293184044779</v>
      </c>
      <c r="AO54" s="62">
        <f t="shared" si="36"/>
        <v>219.32252911220542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23.40353017530262</v>
      </c>
      <c r="AV54" s="23">
        <f>EXP(-LN(2)/25)*AV53+(1-EXP(-LN(2)/25))/(LN(2)/25)*Calculateur!AQ54*Calculateur!AS54*VLOOKUP('Données projet'!$B$10,Paramètres!$A$1:$I$89,3,0)*0.475*44/12</f>
        <v>2.4612070337788055</v>
      </c>
      <c r="AW54" s="23">
        <f>EXP(-LN(2)/2)*AW53+(1-EXP(-LN(2)/2))/(LN(2)/2)*AQ54*AT54*VLOOKUP('Données projet'!$B$10,Paramètres!$A$1:$I$89,3,0)*0.475*44/12</f>
        <v>1.4210505592626084</v>
      </c>
      <c r="AX54" s="23">
        <f t="shared" si="6"/>
        <v>27.285787768344033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1.1368683772161603E-13</v>
      </c>
      <c r="BE54" s="14">
        <f>BD54*VLOOKUP('Données projet'!$B$11,Paramètres!$A$1:$I$89,3,0)*VLOOKUP('Données projet'!$B$11,Paramètres!$A$1:$I$89,5,0)</f>
        <v>8.3355189417488869E-14</v>
      </c>
      <c r="BF54" s="14">
        <f t="shared" si="37"/>
        <v>1.2790518435140618E-12</v>
      </c>
      <c r="BG54" s="22">
        <f t="shared" si="7"/>
        <v>2.3728589156891171E-12</v>
      </c>
      <c r="BH54" s="62">
        <f t="shared" si="8"/>
        <v>293.3333333333357</v>
      </c>
      <c r="BI54" s="62">
        <f ca="1">AVERAGE(OFFSET($BH$3,0,0,'Données projet'!$E$11+1,1))-AVERAGE(OFFSET($H$3,0,0,'Données projet'!$E$11+1,1))</f>
        <v>182.06733089745194</v>
      </c>
      <c r="BJ54" s="62">
        <f t="shared" si="38"/>
        <v>320.36755413886021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39.419290671823674</v>
      </c>
      <c r="BQ54" s="23">
        <f>EXP(-LN(2)/25)*BQ53+(1-EXP(-LN(2)/25))/(LN(2)/25)*Calculateur!BL54*Calculateur!BN54*VLOOKUP('Données projet'!$B$11,Paramètres!$A$1:$I$89,3,0)*0.475*44/12</f>
        <v>7.0986558605572192</v>
      </c>
      <c r="BR54" s="23">
        <f>EXP(-LN(2)/2)*BR53+(1-EXP(-LN(2)/2))/(LN(2)/2)*BL54*BO54*VLOOKUP('Données projet'!$B$11,Paramètres!$A$1:$I$89,3,0)*0.475*44/12</f>
        <v>0.51126040768412584</v>
      </c>
      <c r="BS54" s="24">
        <f t="shared" si="9"/>
        <v>47.029206940065016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10.6</v>
      </c>
      <c r="BY54" s="13">
        <f>IF('Données projet'!$A$114&gt;35,BY53+BX54-CG53,IF(A54&lt;'Données projet'!$A$114,$BV$205^A54,IF(A54='Données projet'!$A$114,'Données projet'!$B$114,BY53+BX54-CG53)))</f>
        <v>206.59999999999997</v>
      </c>
      <c r="BZ54" s="14">
        <f>BY54*VLOOKUP('Données projet'!$B$12,Paramètres!$A$1:$I$89,3,0)*VLOOKUP('Données projet'!$B$12,Paramètres!$A$1:$I$89,5,0)</f>
        <v>180.48576</v>
      </c>
      <c r="CA54" s="14">
        <f t="shared" si="39"/>
        <v>45.430241859839441</v>
      </c>
      <c r="CB54" s="22">
        <f t="shared" si="10"/>
        <v>393.47036990588703</v>
      </c>
      <c r="CC54" s="62">
        <f t="shared" si="11"/>
        <v>686.80370323922034</v>
      </c>
      <c r="CD54" s="62">
        <f ca="1">AVERAGE(OFFSET($CC$3,0,0,'Données projet'!$E$12+1,1))-AVERAGE(OFFSET($H$3,0,0,'Données projet'!$E$12+1,1))</f>
        <v>248.60758320902863</v>
      </c>
      <c r="CE54" s="62">
        <f t="shared" si="40"/>
        <v>222.23585883330111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22.865524360151571</v>
      </c>
      <c r="CL54" s="23">
        <f>EXP(-LN(2)/25)*CL53+(1-EXP(-LN(2)/25))/(LN(2)/25)*Calculateur!CG54*Calculateur!CI54*VLOOKUP('Données projet'!$B$12,Paramètres!$A$1:$I$89,3,0)*0.475*44/12</f>
        <v>8.0592209567300728</v>
      </c>
      <c r="CM54" s="23">
        <f>EXP(-LN(2)/2)*CM53+(1-EXP(-LN(2)/2))/(LN(2)/2)*CG54*CJ54*VLOOKUP('Données projet'!$B$12,Paramètres!$A$1:$I$89,3,0)*0.475*44/12</f>
        <v>3.4209033231025052</v>
      </c>
      <c r="CN54" s="24">
        <f t="shared" si="12"/>
        <v>34.345648639984148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193.99999999999994</v>
      </c>
      <c r="CU54" s="18">
        <f>CT54*VLOOKUP('Données projet'!$B$13,Paramètres!$A$1:$I$89,3,0)*VLOOKUP('Données projet'!$B$13,Paramètres!$A$1:$I$89,5,0)</f>
        <v>105.92399999999998</v>
      </c>
      <c r="CV54" s="14">
        <f t="shared" si="41"/>
        <v>28.36854701055546</v>
      </c>
      <c r="CW54" s="22">
        <f t="shared" si="13"/>
        <v>233.89285271005073</v>
      </c>
      <c r="CX54" s="62">
        <f t="shared" si="14"/>
        <v>527.22618604338402</v>
      </c>
      <c r="CY54" s="62">
        <f ca="1">AVERAGE(OFFSET($CX$3,0,0,'Données projet'!$E$13+1,1))-AVERAGE(OFFSET($H$3,0,0,'Données projet'!$E$13+1,1))</f>
        <v>135.44138026609272</v>
      </c>
      <c r="CZ54" s="62">
        <f t="shared" si="42"/>
        <v>254.77247578425659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43.59562512843403</v>
      </c>
      <c r="DG54" s="23">
        <f>EXP(-LN(2)/25)*DG53+(1-EXP(-LN(2)/25))/(LN(2)/25)*Calculateur!DB54*Calculateur!DD54*VLOOKUP('Données projet'!$B$13,Paramètres!$A$1:$I$89,3,0)*0.475*44/12</f>
        <v>25.271238004573856</v>
      </c>
      <c r="DH54" s="23">
        <f>EXP(-LN(2)/2)*DH53+(1-EXP(-LN(2)/2))/(LN(2)/2)*DB54*DE54*VLOOKUP('Données projet'!$B$13,Paramètres!$A$1:$I$89,3,0)*0.475*44/12</f>
        <v>5.873103878609004E-2</v>
      </c>
      <c r="DI54" s="24">
        <f t="shared" si="15"/>
        <v>68.925594171793975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9.8000000000000007</v>
      </c>
      <c r="DO54" s="13">
        <f>IF('Données projet'!$A$166&gt;35,DO53+DN54-DW53,IF(A54&lt;'Données projet'!$A$166,$DL$205^A54,IF(A54='Données projet'!$A$166,'Données projet'!$B$166,DO53+DN54-DW53)))</f>
        <v>257.80000000000007</v>
      </c>
      <c r="DP54" s="18">
        <f>DO54*VLOOKUP('Données projet'!$B$14,Paramètres!$A$1:$I$89,3,0)*VLOOKUP('Données projet'!$B$14,Paramètres!$A$1:$I$89,5,0)</f>
        <v>249.34416000000007</v>
      </c>
      <c r="DQ54" s="14">
        <f t="shared" si="43"/>
        <v>60.445481124150966</v>
      </c>
      <c r="DR54" s="22">
        <f t="shared" si="16"/>
        <v>539.5502916245631</v>
      </c>
      <c r="DS54" s="62">
        <f t="shared" si="17"/>
        <v>832.88362495789647</v>
      </c>
      <c r="DT54" s="62">
        <f ca="1">AVERAGE(OFFSET($DS$3,0,0,'Données projet'!$E$14+1,1))-AVERAGE(OFFSET($H$3,0,0,'Données projet'!$E$14+1,1))</f>
        <v>271.09447278906288</v>
      </c>
      <c r="DU54" s="62">
        <f t="shared" si="44"/>
        <v>325.1094067861851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29.497108097852784</v>
      </c>
      <c r="EB54" s="23">
        <f>EXP(-LN(2)/25)*EB53+(1-EXP(-LN(2)/25))/(LN(2)/25)*Calculateur!DW54*Calculateur!DY54*VLOOKUP('Données projet'!$B$14,Paramètres!$A$1:$I$89,3,0)*0.475*44/12</f>
        <v>5.475829896635803</v>
      </c>
      <c r="EC54" s="23">
        <f>EXP(-LN(2)/2)*EC53+(1-EXP(-LN(2)/2))/(LN(2)/2)*DW54*DZ54*VLOOKUP('Données projet'!$B$14,Paramètres!$A$1:$I$89,3,0)*0.475*44/12</f>
        <v>4.1182429760571715</v>
      </c>
      <c r="ED54" s="24">
        <f t="shared" si="18"/>
        <v>39.091180970545764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9.8000000000000007</v>
      </c>
      <c r="EJ54" s="13">
        <f>IF('Données projet'!$A$192&gt;35,EJ53+EI54-ER53,IF(A54&lt;'Données projet'!$A$192,$EG$205^A54,IF(A54='Données projet'!$A$192,'Données projet'!$B$192,EJ53+EI54-ER53)))</f>
        <v>257.80000000000007</v>
      </c>
      <c r="EK54" s="18">
        <f>EJ54*VLOOKUP('Données projet'!$B$15,Paramètres!$A$1:$I$89,3,0)*VLOOKUP('Données projet'!$B$15,Paramètres!$A$1:$I$89,5,0)</f>
        <v>277.49592000000007</v>
      </c>
      <c r="EL54" s="14">
        <f t="shared" si="45"/>
        <v>66.437548436795382</v>
      </c>
      <c r="EM54" s="22">
        <f t="shared" si="19"/>
        <v>599.01745752741874</v>
      </c>
      <c r="EN54" s="62">
        <f t="shared" si="20"/>
        <v>892.35079086075211</v>
      </c>
      <c r="EO54" s="62">
        <f ca="1">AVERAGE(OFFSET($EN$3,0,0,'Données projet'!$E$15+1,1))-AVERAGE(OFFSET($H$3,0,0,'Données projet'!$E$15+1,1))</f>
        <v>306.50593475734655</v>
      </c>
      <c r="EP54" s="62">
        <f t="shared" si="46"/>
        <v>366.48643801375079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32.827426754061968</v>
      </c>
      <c r="EW54" s="23">
        <f>EXP(-LN(2)/25)*EW53+(1-EXP(-LN(2)/25))/(LN(2)/25)*Calculateur!ER54*Calculateur!ET54*VLOOKUP('Données projet'!$B$15,Paramètres!$A$1:$I$89,3,0)*0.475*44/12</f>
        <v>6.0940687559333959</v>
      </c>
      <c r="EX54" s="23">
        <f>EXP(-LN(2)/2)*EX53+(1-EXP(-LN(2)/2))/(LN(2)/2)*ER54*EU54*VLOOKUP('Données projet'!$B$15,Paramètres!$A$1:$I$89,3,0)*0.475*44/12</f>
        <v>4.5832058927087882</v>
      </c>
      <c r="EY54" s="24">
        <f t="shared" si="21"/>
        <v>43.504701402704157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38.126399999999968</v>
      </c>
      <c r="D55" s="12">
        <f t="shared" si="32"/>
        <v>11.500671051108624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383.08616249978564</v>
      </c>
      <c r="H55" s="70">
        <f t="shared" si="1"/>
        <v>379.76714874734745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10.199999999999999</v>
      </c>
      <c r="N55" s="14">
        <f>IF('Données projet'!$A$36&gt;35,N54+M55-V54,IF(A55&lt;'Données projet'!$A$36,$K$205^A55,IF(A55='Données projet'!$A$36,'Données projet'!$B$36,N54+M55-V54)))</f>
        <v>223.4</v>
      </c>
      <c r="O55" s="14">
        <f>N55*VLOOKUP('Données projet'!$B$9,Paramètres!$A$1:$I$89,3,0)*VLOOKUP('Données projet'!$B$9,Paramètres!$A$1:$I$89,5,0)</f>
        <v>202.13232000000002</v>
      </c>
      <c r="P55" s="14">
        <f t="shared" si="33"/>
        <v>50.212497488959627</v>
      </c>
      <c r="Q55" s="22">
        <f t="shared" si="53"/>
        <v>439.50055712660469</v>
      </c>
      <c r="R55" s="62">
        <f t="shared" si="0"/>
        <v>732.83389045993795</v>
      </c>
      <c r="S55" s="62">
        <f ca="1">AVERAGE(OFFSET($R$3,0,0,'Données projet'!$E$9+1,1))-AVERAGE(OFFSET($H$3,0,0,'Données projet'!$E$9+1,1))</f>
        <v>312.57314929661908</v>
      </c>
      <c r="T55" s="62">
        <f t="shared" si="34"/>
        <v>190.92100876773804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20.473644168490949</v>
      </c>
      <c r="AA55" s="23">
        <f>EXP(-LN(2)/25)*AA54+(1-EXP(-LN(2)/25))/(LN(2)/25)*Calculateur!V55*Calculateur!X55*VLOOKUP('Données projet'!$B$9,Paramètres!$A$1:$I$89,3,0)*0.475*44/12</f>
        <v>2.1361000228404698</v>
      </c>
      <c r="AB55" s="23">
        <f>EXP(-LN(2)/2)*AB54+(1-EXP(-LN(2)/2))/(LN(2)/2)*V55*Y55*VLOOKUP('Données projet'!$B$9,Paramètres!$A$1:$I$89,3,0)*0.475*44/12</f>
        <v>0.89662154212437728</v>
      </c>
      <c r="AC55" s="24">
        <f t="shared" si="3"/>
        <v>23.506365733455798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10.199999999999999</v>
      </c>
      <c r="AI55" s="14">
        <f>IF('Données projet'!$A$62&gt;35,AI54+AH55-AQ54,IF(A55&lt;'Données projet'!$A$62,$AF$205^A55,IF(A55='Données projet'!$A$62,'Données projet'!$B$62,AI54+AH55-AQ54)))</f>
        <v>223.4</v>
      </c>
      <c r="AJ55" s="14">
        <f>AI55*VLOOKUP('Données projet'!$B$10,Paramètres!$A$1:$I$89,3,0)*VLOOKUP('Données projet'!$B$10,Paramètres!$A$1:$I$89,5,0)</f>
        <v>226.52760000000001</v>
      </c>
      <c r="AK55" s="14">
        <f t="shared" si="35"/>
        <v>55.531204013656371</v>
      </c>
      <c r="AL55" s="22">
        <f t="shared" si="4"/>
        <v>491.25241699045142</v>
      </c>
      <c r="AM55" s="62">
        <f t="shared" si="5"/>
        <v>784.58575032378474</v>
      </c>
      <c r="AN55" s="62">
        <f ca="1">AVERAGE(OFFSET($AM$3,0,0,'Données projet'!$E$10+1,1))-AVERAGE(OFFSET($H$3,0,0,'Données projet'!$E$10+1,1))</f>
        <v>360.56293184044779</v>
      </c>
      <c r="AO55" s="62">
        <f t="shared" si="36"/>
        <v>219.32252911220542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22.94460122330883</v>
      </c>
      <c r="AV55" s="23">
        <f>EXP(-LN(2)/25)*AV54+(1-EXP(-LN(2)/25))/(LN(2)/25)*Calculateur!AQ55*Calculateur!AS55*VLOOKUP('Données projet'!$B$10,Paramètres!$A$1:$I$89,3,0)*0.475*44/12</f>
        <v>2.3939051980108714</v>
      </c>
      <c r="AW55" s="23">
        <f>EXP(-LN(2)/2)*AW54+(1-EXP(-LN(2)/2))/(LN(2)/2)*AQ55*AT55*VLOOKUP('Données projet'!$B$10,Paramètres!$A$1:$I$89,3,0)*0.475*44/12</f>
        <v>1.0048344868635262</v>
      </c>
      <c r="AX55" s="23">
        <f t="shared" si="6"/>
        <v>26.343340908183226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1.1368683772161603E-13</v>
      </c>
      <c r="BE55" s="14">
        <f>BD55*VLOOKUP('Données projet'!$B$11,Paramètres!$A$1:$I$89,3,0)*VLOOKUP('Données projet'!$B$11,Paramètres!$A$1:$I$89,5,0)</f>
        <v>8.3355189417488869E-14</v>
      </c>
      <c r="BF55" s="14">
        <f t="shared" si="37"/>
        <v>1.2790518435140618E-12</v>
      </c>
      <c r="BG55" s="22">
        <f t="shared" si="7"/>
        <v>2.3728589156891171E-12</v>
      </c>
      <c r="BH55" s="62">
        <f t="shared" si="8"/>
        <v>293.3333333333357</v>
      </c>
      <c r="BI55" s="62">
        <f ca="1">AVERAGE(OFFSET($BH$3,0,0,'Données projet'!$E$11+1,1))-AVERAGE(OFFSET($H$3,0,0,'Données projet'!$E$11+1,1))</f>
        <v>182.06733089745194</v>
      </c>
      <c r="BJ55" s="62">
        <f t="shared" si="38"/>
        <v>320.36755413886021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38.646302425142437</v>
      </c>
      <c r="BQ55" s="23">
        <f>EXP(-LN(2)/25)*BQ54+(1-EXP(-LN(2)/25))/(LN(2)/25)*Calculateur!BL55*Calculateur!BN55*VLOOKUP('Données projet'!$B$11,Paramètres!$A$1:$I$89,3,0)*0.475*44/12</f>
        <v>6.9045427427481947</v>
      </c>
      <c r="BR55" s="23">
        <f>EXP(-LN(2)/2)*BR54+(1-EXP(-LN(2)/2))/(LN(2)/2)*BL55*BO55*VLOOKUP('Données projet'!$B$11,Paramètres!$A$1:$I$89,3,0)*0.475*44/12</f>
        <v>0.36151570122564425</v>
      </c>
      <c r="BS55" s="24">
        <f t="shared" si="9"/>
        <v>45.91236086911627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10.6</v>
      </c>
      <c r="BY55" s="13">
        <f>IF('Données projet'!$A$114&gt;35,BY54+BX55-CG54,IF(A55&lt;'Données projet'!$A$114,$BV$205^A55,IF(A55='Données projet'!$A$114,'Données projet'!$B$114,BY54+BX55-CG54)))</f>
        <v>217.19999999999996</v>
      </c>
      <c r="BZ55" s="14">
        <f>BY55*VLOOKUP('Données projet'!$B$12,Paramètres!$A$1:$I$89,3,0)*VLOOKUP('Données projet'!$B$12,Paramètres!$A$1:$I$89,5,0)</f>
        <v>189.74591999999998</v>
      </c>
      <c r="CA55" s="14">
        <f t="shared" si="39"/>
        <v>47.483774996623204</v>
      </c>
      <c r="CB55" s="22">
        <f t="shared" si="10"/>
        <v>413.17505211911867</v>
      </c>
      <c r="CC55" s="62">
        <f t="shared" si="11"/>
        <v>706.50838545245199</v>
      </c>
      <c r="CD55" s="62">
        <f ca="1">AVERAGE(OFFSET($CC$3,0,0,'Données projet'!$E$12+1,1))-AVERAGE(OFFSET($H$3,0,0,'Données projet'!$E$12+1,1))</f>
        <v>248.60758320902863</v>
      </c>
      <c r="CE55" s="62">
        <f t="shared" si="40"/>
        <v>222.23585883330111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22.417145374041748</v>
      </c>
      <c r="CL55" s="23">
        <f>EXP(-LN(2)/25)*CL54+(1-EXP(-LN(2)/25))/(LN(2)/25)*Calculateur!CG55*Calculateur!CI55*VLOOKUP('Données projet'!$B$12,Paramètres!$A$1:$I$89,3,0)*0.475*44/12</f>
        <v>7.8388411358522783</v>
      </c>
      <c r="CM55" s="23">
        <f>EXP(-LN(2)/2)*CM54+(1-EXP(-LN(2)/2))/(LN(2)/2)*CG55*CJ55*VLOOKUP('Données projet'!$B$12,Paramètres!$A$1:$I$89,3,0)*0.475*44/12</f>
        <v>2.4189439375493764</v>
      </c>
      <c r="CN55" s="24">
        <f t="shared" si="12"/>
        <v>32.674930447443401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193.99999999999994</v>
      </c>
      <c r="CU55" s="18">
        <f>CT55*VLOOKUP('Données projet'!$B$13,Paramètres!$A$1:$I$89,3,0)*VLOOKUP('Données projet'!$B$13,Paramètres!$A$1:$I$89,5,0)</f>
        <v>105.92399999999998</v>
      </c>
      <c r="CV55" s="14">
        <f t="shared" si="41"/>
        <v>28.36854701055546</v>
      </c>
      <c r="CW55" s="22">
        <f t="shared" si="13"/>
        <v>233.89285271005073</v>
      </c>
      <c r="CX55" s="62">
        <f t="shared" si="14"/>
        <v>527.22618604338402</v>
      </c>
      <c r="CY55" s="62">
        <f ca="1">AVERAGE(OFFSET($CX$3,0,0,'Données projet'!$E$13+1,1))-AVERAGE(OFFSET($H$3,0,0,'Données projet'!$E$13+1,1))</f>
        <v>135.44138026609272</v>
      </c>
      <c r="CZ55" s="62">
        <f t="shared" si="42"/>
        <v>254.77247578425659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42.740741510371151</v>
      </c>
      <c r="DG55" s="23">
        <f>EXP(-LN(2)/25)*DG54+(1-EXP(-LN(2)/25))/(LN(2)/25)*Calculateur!DB55*Calculateur!DD55*VLOOKUP('Données projet'!$B$13,Paramètres!$A$1:$I$89,3,0)*0.475*44/12</f>
        <v>24.580194672382135</v>
      </c>
      <c r="DH55" s="23">
        <f>EXP(-LN(2)/2)*DH54+(1-EXP(-LN(2)/2))/(LN(2)/2)*DB55*DE55*VLOOKUP('Données projet'!$B$13,Paramètres!$A$1:$I$89,3,0)*0.475*44/12</f>
        <v>4.1529115791774408E-2</v>
      </c>
      <c r="DI55" s="24">
        <f t="shared" si="15"/>
        <v>67.362465298545061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9.8000000000000007</v>
      </c>
      <c r="DO55" s="13">
        <f>IF('Données projet'!$A$166&gt;35,DO54+DN55-DW54,IF(A55&lt;'Données projet'!$A$166,$DL$205^A55,IF(A55='Données projet'!$A$166,'Données projet'!$B$166,DO54+DN55-DW54)))</f>
        <v>267.60000000000008</v>
      </c>
      <c r="DP55" s="18">
        <f>DO55*VLOOKUP('Données projet'!$B$14,Paramètres!$A$1:$I$89,3,0)*VLOOKUP('Données projet'!$B$14,Paramètres!$A$1:$I$89,5,0)</f>
        <v>258.82272000000006</v>
      </c>
      <c r="DQ55" s="14">
        <f t="shared" si="43"/>
        <v>62.471363191059453</v>
      </c>
      <c r="DR55" s="22">
        <f t="shared" si="16"/>
        <v>559.58719489109524</v>
      </c>
      <c r="DS55" s="62">
        <f t="shared" si="17"/>
        <v>852.92052822442861</v>
      </c>
      <c r="DT55" s="62">
        <f ca="1">AVERAGE(OFFSET($DS$3,0,0,'Données projet'!$E$14+1,1))-AVERAGE(OFFSET($H$3,0,0,'Données projet'!$E$14+1,1))</f>
        <v>271.09447278906288</v>
      </c>
      <c r="DU55" s="62">
        <f t="shared" si="44"/>
        <v>325.1094067861851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28.918687799513322</v>
      </c>
      <c r="EB55" s="23">
        <f>EXP(-LN(2)/25)*EB54+(1-EXP(-LN(2)/25))/(LN(2)/25)*Calculateur!DW55*Calculateur!DY55*VLOOKUP('Données projet'!$B$14,Paramètres!$A$1:$I$89,3,0)*0.475*44/12</f>
        <v>5.3260930401509174</v>
      </c>
      <c r="EC55" s="23">
        <f>EXP(-LN(2)/2)*EC54+(1-EXP(-LN(2)/2))/(LN(2)/2)*DW55*DZ55*VLOOKUP('Données projet'!$B$14,Paramètres!$A$1:$I$89,3,0)*0.475*44/12</f>
        <v>2.9120375349438947</v>
      </c>
      <c r="ED55" s="24">
        <f t="shared" si="18"/>
        <v>37.156818374608129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9.8000000000000007</v>
      </c>
      <c r="EJ55" s="13">
        <f>IF('Données projet'!$A$192&gt;35,EJ54+EI55-ER54,IF(A55&lt;'Données projet'!$A$192,$EG$205^A55,IF(A55='Données projet'!$A$192,'Données projet'!$B$192,EJ54+EI55-ER54)))</f>
        <v>267.60000000000008</v>
      </c>
      <c r="EK55" s="18">
        <f>EJ55*VLOOKUP('Données projet'!$B$15,Paramètres!$A$1:$I$89,3,0)*VLOOKUP('Données projet'!$B$15,Paramètres!$A$1:$I$89,5,0)</f>
        <v>288.04464000000007</v>
      </c>
      <c r="EL55" s="14">
        <f t="shared" si="45"/>
        <v>68.664259771444577</v>
      </c>
      <c r="EM55" s="22">
        <f t="shared" si="19"/>
        <v>621.268000435266</v>
      </c>
      <c r="EN55" s="62">
        <f t="shared" si="20"/>
        <v>914.60133376859926</v>
      </c>
      <c r="EO55" s="62">
        <f ca="1">AVERAGE(OFFSET($EN$3,0,0,'Données projet'!$E$15+1,1))-AVERAGE(OFFSET($H$3,0,0,'Données projet'!$E$15+1,1))</f>
        <v>306.50593475734655</v>
      </c>
      <c r="EP55" s="62">
        <f t="shared" si="46"/>
        <v>366.48643801375079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32.183700938168052</v>
      </c>
      <c r="EW55" s="23">
        <f>EXP(-LN(2)/25)*EW54+(1-EXP(-LN(2)/25))/(LN(2)/25)*Calculateur!ER55*Calculateur!ET55*VLOOKUP('Données projet'!$B$15,Paramètres!$A$1:$I$89,3,0)*0.475*44/12</f>
        <v>5.9274261253292497</v>
      </c>
      <c r="EX55" s="23">
        <f>EXP(-LN(2)/2)*EX54+(1-EXP(-LN(2)/2))/(LN(2)/2)*ER55*EU55*VLOOKUP('Données projet'!$B$15,Paramètres!$A$1:$I$89,3,0)*0.475*44/12</f>
        <v>3.2408159663085283</v>
      </c>
      <c r="EY55" s="24">
        <f t="shared" si="21"/>
        <v>41.351943029805831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38.859599999999965</v>
      </c>
      <c r="D56" s="12">
        <f t="shared" si="32"/>
        <v>11.695876818444219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390.25280351079726</v>
      </c>
      <c r="H56" s="70">
        <f t="shared" si="1"/>
        <v>381.38412212545694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10.199999999999999</v>
      </c>
      <c r="N56" s="14">
        <f>IF('Données projet'!$A$36&gt;35,N55+M56-V55,IF(A56&lt;'Données projet'!$A$36,$K$205^A56,IF(A56='Données projet'!$A$36,'Données projet'!$B$36,N55+M56-V55)))</f>
        <v>233.6</v>
      </c>
      <c r="O56" s="14">
        <f>N56*VLOOKUP('Données projet'!$B$9,Paramètres!$A$1:$I$89,3,0)*VLOOKUP('Données projet'!$B$9,Paramètres!$A$1:$I$89,5,0)</f>
        <v>211.36127999999999</v>
      </c>
      <c r="P56" s="14">
        <f t="shared" si="33"/>
        <v>52.232947669705631</v>
      </c>
      <c r="Q56" s="22">
        <f t="shared" si="53"/>
        <v>459.09327985807062</v>
      </c>
      <c r="R56" s="62">
        <f t="shared" si="0"/>
        <v>752.42661319140393</v>
      </c>
      <c r="S56" s="62">
        <f ca="1">AVERAGE(OFFSET($R$3,0,0,'Données projet'!$E$9+1,1))-AVERAGE(OFFSET($H$3,0,0,'Données projet'!$E$9+1,1))</f>
        <v>312.57314929661908</v>
      </c>
      <c r="T56" s="62">
        <f t="shared" si="34"/>
        <v>190.92100876773804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20.072168494036728</v>
      </c>
      <c r="AA56" s="23">
        <f>EXP(-LN(2)/25)*AA55+(1-EXP(-LN(2)/25))/(LN(2)/25)*Calculateur!V56*Calculateur!X56*VLOOKUP('Données projet'!$B$9,Paramètres!$A$1:$I$89,3,0)*0.475*44/12</f>
        <v>2.0776882553832792</v>
      </c>
      <c r="AB56" s="23">
        <f>EXP(-LN(2)/2)*AB55+(1-EXP(-LN(2)/2))/(LN(2)/2)*V56*Y56*VLOOKUP('Données projet'!$B$9,Paramètres!$A$1:$I$89,3,0)*0.475*44/12</f>
        <v>0.6340071725940869</v>
      </c>
      <c r="AC56" s="24">
        <f t="shared" si="3"/>
        <v>22.783863922014092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10.199999999999999</v>
      </c>
      <c r="AI56" s="14">
        <f>IF('Données projet'!$A$62&gt;35,AI55+AH56-AQ55,IF(A56&lt;'Données projet'!$A$62,$AF$205^A56,IF(A56='Données projet'!$A$62,'Données projet'!$B$62,AI55+AH56-AQ55)))</f>
        <v>233.6</v>
      </c>
      <c r="AJ56" s="14">
        <f>AI56*VLOOKUP('Données projet'!$B$10,Paramètres!$A$1:$I$89,3,0)*VLOOKUP('Données projet'!$B$10,Paramètres!$A$1:$I$89,5,0)</f>
        <v>236.87040000000002</v>
      </c>
      <c r="AK56" s="14">
        <f t="shared" si="35"/>
        <v>57.765668276484661</v>
      </c>
      <c r="AL56" s="22">
        <f t="shared" si="4"/>
        <v>513.15781891487757</v>
      </c>
      <c r="AM56" s="62">
        <f t="shared" si="5"/>
        <v>806.49115224821094</v>
      </c>
      <c r="AN56" s="62">
        <f ca="1">AVERAGE(OFFSET($AM$3,0,0,'Données projet'!$E$10+1,1))-AVERAGE(OFFSET($H$3,0,0,'Données projet'!$E$10+1,1))</f>
        <v>360.56293184044779</v>
      </c>
      <c r="AO56" s="62">
        <f t="shared" si="36"/>
        <v>219.32252911220542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22.494671588144616</v>
      </c>
      <c r="AV56" s="23">
        <f>EXP(-LN(2)/25)*AV55+(1-EXP(-LN(2)/25))/(LN(2)/25)*Calculateur!AQ56*Calculateur!AS56*VLOOKUP('Données projet'!$B$10,Paramètres!$A$1:$I$89,3,0)*0.475*44/12</f>
        <v>2.3284437344812612</v>
      </c>
      <c r="AW56" s="23">
        <f>EXP(-LN(2)/2)*AW55+(1-EXP(-LN(2)/2))/(LN(2)/2)*AQ56*AT56*VLOOKUP('Données projet'!$B$10,Paramètres!$A$1:$I$89,3,0)*0.475*44/12</f>
        <v>0.71052527963130419</v>
      </c>
      <c r="AX56" s="23">
        <f t="shared" si="6"/>
        <v>25.533640602257183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1.1368683772161603E-13</v>
      </c>
      <c r="BE56" s="14">
        <f>BD56*VLOOKUP('Données projet'!$B$11,Paramètres!$A$1:$I$89,3,0)*VLOOKUP('Données projet'!$B$11,Paramètres!$A$1:$I$89,5,0)</f>
        <v>8.3355189417488869E-14</v>
      </c>
      <c r="BF56" s="14">
        <f t="shared" si="37"/>
        <v>1.2790518435140618E-12</v>
      </c>
      <c r="BG56" s="22">
        <f t="shared" si="7"/>
        <v>2.3728589156891171E-12</v>
      </c>
      <c r="BH56" s="62">
        <f t="shared" si="8"/>
        <v>293.3333333333357</v>
      </c>
      <c r="BI56" s="62">
        <f ca="1">AVERAGE(OFFSET($BH$3,0,0,'Données projet'!$E$11+1,1))-AVERAGE(OFFSET($H$3,0,0,'Données projet'!$E$11+1,1))</f>
        <v>182.06733089745194</v>
      </c>
      <c r="BJ56" s="62">
        <f t="shared" si="38"/>
        <v>320.36755413886021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37.88847200650234</v>
      </c>
      <c r="BQ56" s="23">
        <f>EXP(-LN(2)/25)*BQ55+(1-EXP(-LN(2)/25))/(LN(2)/25)*Calculateur!BL56*Calculateur!BN56*VLOOKUP('Données projet'!$B$11,Paramètres!$A$1:$I$89,3,0)*0.475*44/12</f>
        <v>6.715737658353623</v>
      </c>
      <c r="BR56" s="23">
        <f>EXP(-LN(2)/2)*BR55+(1-EXP(-LN(2)/2))/(LN(2)/2)*BL56*BO56*VLOOKUP('Données projet'!$B$11,Paramètres!$A$1:$I$89,3,0)*0.475*44/12</f>
        <v>0.25563020384206292</v>
      </c>
      <c r="BS56" s="24">
        <f t="shared" si="9"/>
        <v>44.859839868698025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10.6</v>
      </c>
      <c r="BY56" s="13">
        <f>IF('Données projet'!$A$114&gt;35,BY55+BX56-CG55,IF(A56&lt;'Données projet'!$A$114,$BV$205^A56,IF(A56='Données projet'!$A$114,'Données projet'!$B$114,BY55+BX56-CG55)))</f>
        <v>227.79999999999995</v>
      </c>
      <c r="BZ56" s="14">
        <f>BY56*VLOOKUP('Données projet'!$B$12,Paramètres!$A$1:$I$89,3,0)*VLOOKUP('Données projet'!$B$12,Paramètres!$A$1:$I$89,5,0)</f>
        <v>199.00607999999997</v>
      </c>
      <c r="CA56" s="14">
        <f t="shared" si="39"/>
        <v>49.525670897515027</v>
      </c>
      <c r="CB56" s="22">
        <f t="shared" si="10"/>
        <v>432.85946614650521</v>
      </c>
      <c r="CC56" s="62">
        <f t="shared" si="11"/>
        <v>726.19279947983853</v>
      </c>
      <c r="CD56" s="62">
        <f ca="1">AVERAGE(OFFSET($CC$3,0,0,'Données projet'!$E$12+1,1))-AVERAGE(OFFSET($H$3,0,0,'Données projet'!$E$12+1,1))</f>
        <v>248.60758320902863</v>
      </c>
      <c r="CE56" s="62">
        <f t="shared" si="40"/>
        <v>222.23585883330111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21.97755882636536</v>
      </c>
      <c r="CL56" s="23">
        <f>EXP(-LN(2)/25)*CL55+(1-EXP(-LN(2)/25))/(LN(2)/25)*Calculateur!CG56*Calculateur!CI56*VLOOKUP('Données projet'!$B$12,Paramètres!$A$1:$I$89,3,0)*0.475*44/12</f>
        <v>7.624487612765658</v>
      </c>
      <c r="CM56" s="23">
        <f>EXP(-LN(2)/2)*CM55+(1-EXP(-LN(2)/2))/(LN(2)/2)*CG56*CJ56*VLOOKUP('Données projet'!$B$12,Paramètres!$A$1:$I$89,3,0)*0.475*44/12</f>
        <v>1.7104516615512526</v>
      </c>
      <c r="CN56" s="24">
        <f t="shared" si="12"/>
        <v>31.312498100682273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193.99999999999994</v>
      </c>
      <c r="CU56" s="18">
        <f>CT56*VLOOKUP('Données projet'!$B$13,Paramètres!$A$1:$I$89,3,0)*VLOOKUP('Données projet'!$B$13,Paramètres!$A$1:$I$89,5,0)</f>
        <v>105.92399999999998</v>
      </c>
      <c r="CV56" s="14">
        <f t="shared" si="41"/>
        <v>28.36854701055546</v>
      </c>
      <c r="CW56" s="22">
        <f t="shared" si="13"/>
        <v>233.89285271005073</v>
      </c>
      <c r="CX56" s="62">
        <f t="shared" si="14"/>
        <v>527.22618604338402</v>
      </c>
      <c r="CY56" s="62">
        <f ca="1">AVERAGE(OFFSET($CX$3,0,0,'Données projet'!$E$13+1,1))-AVERAGE(OFFSET($H$3,0,0,'Données projet'!$E$13+1,1))</f>
        <v>135.44138026609272</v>
      </c>
      <c r="CZ56" s="62">
        <f t="shared" si="42"/>
        <v>254.77247578425659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41.902621638630968</v>
      </c>
      <c r="DG56" s="23">
        <f>EXP(-LN(2)/25)*DG55+(1-EXP(-LN(2)/25))/(LN(2)/25)*Calculateur!DB56*Calculateur!DD56*VLOOKUP('Données projet'!$B$13,Paramètres!$A$1:$I$89,3,0)*0.475*44/12</f>
        <v>23.908047956449586</v>
      </c>
      <c r="DH56" s="23">
        <f>EXP(-LN(2)/2)*DH55+(1-EXP(-LN(2)/2))/(LN(2)/2)*DB56*DE56*VLOOKUP('Données projet'!$B$13,Paramètres!$A$1:$I$89,3,0)*0.475*44/12</f>
        <v>2.9365519393045023E-2</v>
      </c>
      <c r="DI56" s="24">
        <f t="shared" si="15"/>
        <v>65.840035114473594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9.8000000000000007</v>
      </c>
      <c r="DO56" s="13">
        <f>IF('Données projet'!$A$166&gt;35,DO55+DN56-DW55,IF(A56&lt;'Données projet'!$A$166,$DL$205^A56,IF(A56='Données projet'!$A$166,'Données projet'!$B$166,DO55+DN56-DW55)))</f>
        <v>277.40000000000009</v>
      </c>
      <c r="DP56" s="18">
        <f>DO56*VLOOKUP('Données projet'!$B$14,Paramètres!$A$1:$I$89,3,0)*VLOOKUP('Données projet'!$B$14,Paramètres!$A$1:$I$89,5,0)</f>
        <v>268.30128000000008</v>
      </c>
      <c r="DQ56" s="14">
        <f t="shared" si="43"/>
        <v>64.488625713042069</v>
      </c>
      <c r="DR56" s="22">
        <f t="shared" si="16"/>
        <v>579.60908578354827</v>
      </c>
      <c r="DS56" s="62">
        <f t="shared" si="17"/>
        <v>872.94241911688164</v>
      </c>
      <c r="DT56" s="62">
        <f ca="1">AVERAGE(OFFSET($DS$3,0,0,'Données projet'!$E$14+1,1))-AVERAGE(OFFSET($H$3,0,0,'Données projet'!$E$14+1,1))</f>
        <v>271.09447278906288</v>
      </c>
      <c r="DU56" s="62">
        <f t="shared" si="44"/>
        <v>325.1094067861851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28.35160997042275</v>
      </c>
      <c r="EB56" s="23">
        <f>EXP(-LN(2)/25)*EB55+(1-EXP(-LN(2)/25))/(LN(2)/25)*Calculateur!DW56*Calculateur!DY56*VLOOKUP('Données projet'!$B$14,Paramètres!$A$1:$I$89,3,0)*0.475*44/12</f>
        <v>5.1804507458809308</v>
      </c>
      <c r="EC56" s="23">
        <f>EXP(-LN(2)/2)*EC55+(1-EXP(-LN(2)/2))/(LN(2)/2)*DW56*DZ56*VLOOKUP('Données projet'!$B$14,Paramètres!$A$1:$I$89,3,0)*0.475*44/12</f>
        <v>2.0591214880285857</v>
      </c>
      <c r="ED56" s="24">
        <f t="shared" si="18"/>
        <v>35.59118220433227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9.8000000000000007</v>
      </c>
      <c r="EJ56" s="13">
        <f>IF('Données projet'!$A$192&gt;35,EJ55+EI56-ER55,IF(A56&lt;'Données projet'!$A$192,$EG$205^A56,IF(A56='Données projet'!$A$192,'Données projet'!$B$192,EJ55+EI56-ER55)))</f>
        <v>277.40000000000009</v>
      </c>
      <c r="EK56" s="18">
        <f>EJ56*VLOOKUP('Données projet'!$B$15,Paramètres!$A$1:$I$89,3,0)*VLOOKUP('Données projet'!$B$15,Paramètres!$A$1:$I$89,5,0)</f>
        <v>298.59336000000008</v>
      </c>
      <c r="EL56" s="14">
        <f t="shared" si="45"/>
        <v>70.88149709045409</v>
      </c>
      <c r="EM56" s="22">
        <f t="shared" si="19"/>
        <v>643.50204276587431</v>
      </c>
      <c r="EN56" s="62">
        <f t="shared" si="20"/>
        <v>936.83537609920768</v>
      </c>
      <c r="EO56" s="62">
        <f ca="1">AVERAGE(OFFSET($EN$3,0,0,'Données projet'!$E$15+1,1))-AVERAGE(OFFSET($H$3,0,0,'Données projet'!$E$15+1,1))</f>
        <v>306.50593475734655</v>
      </c>
      <c r="EP56" s="62">
        <f t="shared" si="46"/>
        <v>366.48643801375079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31.552598192889835</v>
      </c>
      <c r="EW56" s="23">
        <f>EXP(-LN(2)/25)*EW55+(1-EXP(-LN(2)/25))/(LN(2)/25)*Calculateur!ER56*Calculateur!ET56*VLOOKUP('Données projet'!$B$15,Paramètres!$A$1:$I$89,3,0)*0.475*44/12</f>
        <v>5.7653403462223292</v>
      </c>
      <c r="EX56" s="23">
        <f>EXP(-LN(2)/2)*EX55+(1-EXP(-LN(2)/2))/(LN(2)/2)*ER56*EU56*VLOOKUP('Données projet'!$B$15,Paramètres!$A$1:$I$89,3,0)*0.475*44/12</f>
        <v>2.2916029463543941</v>
      </c>
      <c r="EY56" s="24">
        <f t="shared" si="21"/>
        <v>39.609541485466558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39.592799999999961</v>
      </c>
      <c r="D57" s="12">
        <f t="shared" si="32"/>
        <v>11.890654313289092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397.41613855872248</v>
      </c>
      <c r="H57" s="70">
        <f t="shared" si="1"/>
        <v>383.0003495956451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10.199999999999999</v>
      </c>
      <c r="N57" s="14">
        <f>IF('Données projet'!$A$36&gt;35,N56+M57-V56,IF(A57&lt;'Données projet'!$A$36,$K$205^A57,IF(A57='Données projet'!$A$36,'Données projet'!$B$36,N56+M57-V56)))</f>
        <v>243.79999999999998</v>
      </c>
      <c r="O57" s="14">
        <f>N57*VLOOKUP('Données projet'!$B$9,Paramètres!$A$1:$I$89,3,0)*VLOOKUP('Données projet'!$B$9,Paramètres!$A$1:$I$89,5,0)</f>
        <v>220.59023999999997</v>
      </c>
      <c r="P57" s="14">
        <f t="shared" si="33"/>
        <v>54.24315145708789</v>
      </c>
      <c r="Q57" s="22">
        <f t="shared" si="53"/>
        <v>478.66815678776129</v>
      </c>
      <c r="R57" s="62">
        <f t="shared" si="0"/>
        <v>772.00149012109455</v>
      </c>
      <c r="S57" s="62">
        <f ca="1">AVERAGE(OFFSET($R$3,0,0,'Données projet'!$E$9+1,1))-AVERAGE(OFFSET($H$3,0,0,'Données projet'!$E$9+1,1))</f>
        <v>312.57314929661908</v>
      </c>
      <c r="T57" s="62">
        <f t="shared" si="34"/>
        <v>190.92100876773804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19.678565512682571</v>
      </c>
      <c r="AA57" s="23">
        <f>EXP(-LN(2)/25)*AA56+(1-EXP(-LN(2)/25))/(LN(2)/25)*Calculateur!V57*Calculateur!X57*VLOOKUP('Données projet'!$B$9,Paramètres!$A$1:$I$89,3,0)*0.475*44/12</f>
        <v>2.0208737607789469</v>
      </c>
      <c r="AB57" s="23">
        <f>EXP(-LN(2)/2)*AB56+(1-EXP(-LN(2)/2))/(LN(2)/2)*V57*Y57*VLOOKUP('Données projet'!$B$9,Paramètres!$A$1:$I$89,3,0)*0.475*44/12</f>
        <v>0.4483107710621887</v>
      </c>
      <c r="AC57" s="24">
        <f t="shared" si="3"/>
        <v>22.147750044523708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10.199999999999999</v>
      </c>
      <c r="AI57" s="14">
        <f>IF('Données projet'!$A$62&gt;35,AI56+AH57-AQ56,IF(A57&lt;'Données projet'!$A$62,$AF$205^A57,IF(A57='Données projet'!$A$62,'Données projet'!$B$62,AI56+AH57-AQ56)))</f>
        <v>243.79999999999998</v>
      </c>
      <c r="AJ57" s="14">
        <f>AI57*VLOOKUP('Données projet'!$B$10,Paramètres!$A$1:$I$89,3,0)*VLOOKUP('Données projet'!$B$10,Paramètres!$A$1:$I$89,5,0)</f>
        <v>247.2132</v>
      </c>
      <c r="AK57" s="14">
        <f t="shared" si="35"/>
        <v>59.988800807398761</v>
      </c>
      <c r="AL57" s="22">
        <f t="shared" si="4"/>
        <v>535.04348473955281</v>
      </c>
      <c r="AM57" s="62">
        <f t="shared" si="5"/>
        <v>828.37681807288618</v>
      </c>
      <c r="AN57" s="62">
        <f ca="1">AVERAGE(OFFSET($AM$3,0,0,'Données projet'!$E$10+1,1))-AVERAGE(OFFSET($H$3,0,0,'Données projet'!$E$10+1,1))</f>
        <v>360.56293184044779</v>
      </c>
      <c r="AO57" s="62">
        <f t="shared" si="36"/>
        <v>219.32252911220542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22.053564798695991</v>
      </c>
      <c r="AV57" s="23">
        <f>EXP(-LN(2)/25)*AV56+(1-EXP(-LN(2)/25))/(LN(2)/25)*Calculateur!AQ57*Calculateur!AS57*VLOOKUP('Données projet'!$B$10,Paramètres!$A$1:$I$89,3,0)*0.475*44/12</f>
        <v>2.2647723181143369</v>
      </c>
      <c r="AW57" s="23">
        <f>EXP(-LN(2)/2)*AW56+(1-EXP(-LN(2)/2))/(LN(2)/2)*AQ57*AT57*VLOOKUP('Données projet'!$B$10,Paramètres!$A$1:$I$89,3,0)*0.475*44/12</f>
        <v>0.50241724343176308</v>
      </c>
      <c r="AX57" s="23">
        <f t="shared" si="6"/>
        <v>24.820754360242091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1.1368683772161603E-13</v>
      </c>
      <c r="BE57" s="14">
        <f>BD57*VLOOKUP('Données projet'!$B$11,Paramètres!$A$1:$I$89,3,0)*VLOOKUP('Données projet'!$B$11,Paramètres!$A$1:$I$89,5,0)</f>
        <v>8.3355189417488869E-14</v>
      </c>
      <c r="BF57" s="14">
        <f t="shared" si="37"/>
        <v>1.2790518435140618E-12</v>
      </c>
      <c r="BG57" s="22">
        <f t="shared" si="7"/>
        <v>2.3728589156891171E-12</v>
      </c>
      <c r="BH57" s="62">
        <f t="shared" si="8"/>
        <v>293.3333333333357</v>
      </c>
      <c r="BI57" s="62">
        <f ca="1">AVERAGE(OFFSET($BH$3,0,0,'Données projet'!$E$11+1,1))-AVERAGE(OFFSET($H$3,0,0,'Données projet'!$E$11+1,1))</f>
        <v>182.06733089745194</v>
      </c>
      <c r="BJ57" s="62">
        <f t="shared" si="38"/>
        <v>320.36755413886021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37.145502180140859</v>
      </c>
      <c r="BQ57" s="23">
        <f>EXP(-LN(2)/25)*BQ56+(1-EXP(-LN(2)/25))/(LN(2)/25)*Calculateur!BL57*Calculateur!BN57*VLOOKUP('Données projet'!$B$11,Paramètres!$A$1:$I$89,3,0)*0.475*44/12</f>
        <v>6.532095458920649</v>
      </c>
      <c r="BR57" s="23">
        <f>EXP(-LN(2)/2)*BR56+(1-EXP(-LN(2)/2))/(LN(2)/2)*BL57*BO57*VLOOKUP('Données projet'!$B$11,Paramètres!$A$1:$I$89,3,0)*0.475*44/12</f>
        <v>0.18075785061282212</v>
      </c>
      <c r="BS57" s="24">
        <f t="shared" si="9"/>
        <v>43.858355489674331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10.6</v>
      </c>
      <c r="BY57" s="13">
        <f>IF('Données projet'!$A$114&gt;35,BY56+BX57-CG56,IF(A57&lt;'Données projet'!$A$114,$BV$205^A57,IF(A57='Données projet'!$A$114,'Données projet'!$B$114,BY56+BX57-CG56)))</f>
        <v>238.39999999999995</v>
      </c>
      <c r="BZ57" s="14">
        <f>BY57*VLOOKUP('Données projet'!$B$12,Paramètres!$A$1:$I$89,3,0)*VLOOKUP('Données projet'!$B$12,Paramètres!$A$1:$I$89,5,0)</f>
        <v>208.26623999999998</v>
      </c>
      <c r="CA57" s="14">
        <f t="shared" si="39"/>
        <v>51.556532908951887</v>
      </c>
      <c r="CB57" s="22">
        <f t="shared" si="10"/>
        <v>452.5246628164245</v>
      </c>
      <c r="CC57" s="62">
        <f t="shared" si="11"/>
        <v>745.85799614975781</v>
      </c>
      <c r="CD57" s="62">
        <f ca="1">AVERAGE(OFFSET($CC$3,0,0,'Données projet'!$E$12+1,1))-AVERAGE(OFFSET($H$3,0,0,'Données projet'!$E$12+1,1))</f>
        <v>248.60758320902863</v>
      </c>
      <c r="CE57" s="62">
        <f t="shared" si="40"/>
        <v>222.23585883330111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21.546592302767586</v>
      </c>
      <c r="CL57" s="23">
        <f>EXP(-LN(2)/25)*CL56+(1-EXP(-LN(2)/25))/(LN(2)/25)*Calculateur!CG57*Calculateur!CI57*VLOOKUP('Données projet'!$B$12,Paramètres!$A$1:$I$89,3,0)*0.475*44/12</f>
        <v>7.4159955980402037</v>
      </c>
      <c r="CM57" s="23">
        <f>EXP(-LN(2)/2)*CM56+(1-EXP(-LN(2)/2))/(LN(2)/2)*CG57*CJ57*VLOOKUP('Données projet'!$B$12,Paramètres!$A$1:$I$89,3,0)*0.475*44/12</f>
        <v>1.2094719687746882</v>
      </c>
      <c r="CN57" s="24">
        <f t="shared" si="12"/>
        <v>30.17205986958248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193.99999999999994</v>
      </c>
      <c r="CU57" s="18">
        <f>CT57*VLOOKUP('Données projet'!$B$13,Paramètres!$A$1:$I$89,3,0)*VLOOKUP('Données projet'!$B$13,Paramètres!$A$1:$I$89,5,0)</f>
        <v>105.92399999999998</v>
      </c>
      <c r="CV57" s="14">
        <f t="shared" si="41"/>
        <v>28.36854701055546</v>
      </c>
      <c r="CW57" s="22">
        <f t="shared" si="13"/>
        <v>233.89285271005073</v>
      </c>
      <c r="CX57" s="62">
        <f t="shared" si="14"/>
        <v>527.22618604338402</v>
      </c>
      <c r="CY57" s="62">
        <f ca="1">AVERAGE(OFFSET($CX$3,0,0,'Données projet'!$E$13+1,1))-AVERAGE(OFFSET($H$3,0,0,'Données projet'!$E$13+1,1))</f>
        <v>135.44138026609272</v>
      </c>
      <c r="CZ57" s="62">
        <f t="shared" si="42"/>
        <v>254.77247578425659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41.080936786372966</v>
      </c>
      <c r="DG57" s="23">
        <f>EXP(-LN(2)/25)*DG56+(1-EXP(-LN(2)/25))/(LN(2)/25)*Calculateur!DB57*Calculateur!DD57*VLOOKUP('Données projet'!$B$13,Paramètres!$A$1:$I$89,3,0)*0.475*44/12</f>
        <v>23.254281127810874</v>
      </c>
      <c r="DH57" s="23">
        <f>EXP(-LN(2)/2)*DH56+(1-EXP(-LN(2)/2))/(LN(2)/2)*DB57*DE57*VLOOKUP('Données projet'!$B$13,Paramètres!$A$1:$I$89,3,0)*0.475*44/12</f>
        <v>2.0764557895887208E-2</v>
      </c>
      <c r="DI57" s="24">
        <f t="shared" si="15"/>
        <v>64.355982472079731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9.8000000000000007</v>
      </c>
      <c r="DO57" s="13">
        <f>IF('Données projet'!$A$166&gt;35,DO56+DN57-DW56,IF(A57&lt;'Données projet'!$A$166,$DL$205^A57,IF(A57='Données projet'!$A$166,'Données projet'!$B$166,DO56+DN57-DW56)))</f>
        <v>287.2000000000001</v>
      </c>
      <c r="DP57" s="18">
        <f>DO57*VLOOKUP('Données projet'!$B$14,Paramètres!$A$1:$I$89,3,0)*VLOOKUP('Données projet'!$B$14,Paramètres!$A$1:$I$89,5,0)</f>
        <v>277.77984000000009</v>
      </c>
      <c r="DQ57" s="14">
        <f t="shared" si="43"/>
        <v>66.497608092453177</v>
      </c>
      <c r="DR57" s="22">
        <f t="shared" si="16"/>
        <v>599.61655542768938</v>
      </c>
      <c r="DS57" s="62">
        <f t="shared" si="17"/>
        <v>892.94988876102275</v>
      </c>
      <c r="DT57" s="62">
        <f ca="1">AVERAGE(OFFSET($DS$3,0,0,'Données projet'!$E$14+1,1))-AVERAGE(OFFSET($H$3,0,0,'Données projet'!$E$14+1,1))</f>
        <v>271.09447278906288</v>
      </c>
      <c r="DU57" s="62">
        <f t="shared" si="44"/>
        <v>325.1094067861851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27.795652191677323</v>
      </c>
      <c r="EB57" s="23">
        <f>EXP(-LN(2)/25)*EB56+(1-EXP(-LN(2)/25))/(LN(2)/25)*Calculateur!DW57*Calculateur!DY57*VLOOKUP('Données projet'!$B$14,Paramètres!$A$1:$I$89,3,0)*0.475*44/12</f>
        <v>5.0387910478067521</v>
      </c>
      <c r="EC57" s="23">
        <f>EXP(-LN(2)/2)*EC56+(1-EXP(-LN(2)/2))/(LN(2)/2)*DW57*DZ57*VLOOKUP('Données projet'!$B$14,Paramètres!$A$1:$I$89,3,0)*0.475*44/12</f>
        <v>1.4560187674719474</v>
      </c>
      <c r="ED57" s="24">
        <f t="shared" si="18"/>
        <v>34.29046200695602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9.8000000000000007</v>
      </c>
      <c r="EJ57" s="13">
        <f>IF('Données projet'!$A$192&gt;35,EJ56+EI57-ER56,IF(A57&lt;'Données projet'!$A$192,$EG$205^A57,IF(A57='Données projet'!$A$192,'Données projet'!$B$192,EJ56+EI57-ER56)))</f>
        <v>287.2000000000001</v>
      </c>
      <c r="EK57" s="18">
        <f>EJ57*VLOOKUP('Données projet'!$B$15,Paramètres!$A$1:$I$89,3,0)*VLOOKUP('Données projet'!$B$15,Paramètres!$A$1:$I$89,5,0)</f>
        <v>309.14208000000013</v>
      </c>
      <c r="EL57" s="14">
        <f t="shared" si="45"/>
        <v>73.089633441733213</v>
      </c>
      <c r="EM57" s="22">
        <f t="shared" si="19"/>
        <v>665.72023424435224</v>
      </c>
      <c r="EN57" s="62">
        <f t="shared" si="20"/>
        <v>959.0535675776855</v>
      </c>
      <c r="EO57" s="62">
        <f ca="1">AVERAGE(OFFSET($EN$3,0,0,'Données projet'!$E$15+1,1))-AVERAGE(OFFSET($H$3,0,0,'Données projet'!$E$15+1,1))</f>
        <v>306.50593475734655</v>
      </c>
      <c r="EP57" s="62">
        <f t="shared" si="46"/>
        <v>366.48643801375079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30.93387098751186</v>
      </c>
      <c r="EW57" s="23">
        <f>EXP(-LN(2)/25)*EW56+(1-EXP(-LN(2)/25))/(LN(2)/25)*Calculateur!ER57*Calculateur!ET57*VLOOKUP('Données projet'!$B$15,Paramètres!$A$1:$I$89,3,0)*0.475*44/12</f>
        <v>5.6076868112688079</v>
      </c>
      <c r="EX57" s="23">
        <f>EXP(-LN(2)/2)*EX56+(1-EXP(-LN(2)/2))/(LN(2)/2)*ER57*EU57*VLOOKUP('Données projet'!$B$15,Paramètres!$A$1:$I$89,3,0)*0.475*44/12</f>
        <v>1.6204079831542642</v>
      </c>
      <c r="EY57" s="24">
        <f t="shared" si="21"/>
        <v>38.161965781934931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40.325999999999958</v>
      </c>
      <c r="D58" s="12">
        <f t="shared" si="32"/>
        <v>12.085012381264168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404.57623592554768</v>
      </c>
      <c r="H58" s="70">
        <f t="shared" si="1"/>
        <v>384.615846564035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>
        <f>VLOOKUP(A58,'Données projet'!$A$35:$I$55,2,0)</f>
        <v>254</v>
      </c>
      <c r="L58" s="13">
        <f>VLOOKUP(A58,'Données projet'!$A$35:$I$55,9,0)</f>
        <v>10.199999999999999</v>
      </c>
      <c r="M58" s="13">
        <f t="array" ref="M58">INDEX(L:L,MIN(IF(ISNUMBER(L58:L254),ROW(L58:L254),"")))</f>
        <v>10.199999999999999</v>
      </c>
      <c r="N58" s="14">
        <f>IF('Données projet'!$A$36&gt;35,N57+M58-V57,IF(A58&lt;'Données projet'!$A$36,$K$205^A58,IF(A58='Données projet'!$A$36,'Données projet'!$B$36,N57+M58-V57)))</f>
        <v>253.99999999999997</v>
      </c>
      <c r="O58" s="14">
        <f>N58*VLOOKUP('Données projet'!$B$9,Paramètres!$A$1:$I$89,3,0)*VLOOKUP('Données projet'!$B$9,Paramètres!$A$1:$I$89,5,0)</f>
        <v>229.81919999999997</v>
      </c>
      <c r="P58" s="14">
        <f t="shared" si="33"/>
        <v>56.243586554989342</v>
      </c>
      <c r="Q58" s="22">
        <f t="shared" si="53"/>
        <v>498.22601991660639</v>
      </c>
      <c r="R58" s="62">
        <f t="shared" si="0"/>
        <v>791.5593532499397</v>
      </c>
      <c r="S58" s="62">
        <f ca="1">AVERAGE(OFFSET($R$3,0,0,'Données projet'!$E$9+1,1))-AVERAGE(OFFSET($H$3,0,0,'Données projet'!$E$9+1,1))</f>
        <v>312.57314929661908</v>
      </c>
      <c r="T58" s="62">
        <f t="shared" si="34"/>
        <v>190.92100876773804</v>
      </c>
      <c r="U58" s="16">
        <f>IF(ISNA(VLOOKUP(A58,'Données projet'!$A$35:$I$55,3,0)),0,VLOOKUP(A58,'Données projet'!$A$35:$I$55,3,0))</f>
        <v>8</v>
      </c>
      <c r="V58" s="16">
        <f>IF(ISNA(VLOOKUP(A58,'Données projet'!$A$35:$I$55,4,0)),0,VLOOKUP(A58,'Données projet'!$A$35:$I$55,4,0))</f>
        <v>28</v>
      </c>
      <c r="W58" s="17">
        <f>IF(ISNA(VLOOKUP(A58,'Données projet'!$A$35:$I$55,5,0)),0%,VLOOKUP(A58,'Données projet'!$A$35:$I$55,5,0)*VLOOKUP('Données projet'!$B$9,Paramètres!$A$1:$I$89,7,0))</f>
        <v>0.34400000000000003</v>
      </c>
      <c r="X58" s="17">
        <f>IF(ISNA(VLOOKUP(A58,'Données projet'!$A$35:$I$55,6,0)),0%,VLOOKUP(A58,'Données projet'!$A$35:$I$55,6,0)*VLOOKUP('Données projet'!$B$9,Paramètres!$A$1:$I$89,7,0))</f>
        <v>1.72E-2</v>
      </c>
      <c r="Y58" s="17">
        <f>IF(ISNA(VLOOKUP(A58,'Données projet'!$A$35:$I$55,7,0)),0%,VLOOKUP(A58,'Données projet'!$A$35:$I$55,7,0))</f>
        <v>0.06</v>
      </c>
      <c r="Z58" s="23">
        <f>EXP(-LN(2)/35)*Z57+(1-EXP(-LN(2)/35))/(LN(2)/35)*V58*W58*VLOOKUP('Données projet'!$B$9,Paramètres!$A$1:$I$89,3,0)*0.475*44/12</f>
        <v>28.926892347153071</v>
      </c>
      <c r="AA58" s="23">
        <f>EXP(-LN(2)/25)*AA57+(1-EXP(-LN(2)/25))/(LN(2)/25)*Calculateur!V58*Calculateur!X58*VLOOKUP('Données projet'!$B$9,Paramètres!$A$1:$I$89,3,0)*0.475*44/12</f>
        <v>2.4454267585088587</v>
      </c>
      <c r="AB58" s="23">
        <f>EXP(-LN(2)/2)*AB57+(1-EXP(-LN(2)/2))/(LN(2)/2)*V58*Y58*VLOOKUP('Données projet'!$B$9,Paramètres!$A$1:$I$89,3,0)*0.475*44/12</f>
        <v>1.7512248822197682</v>
      </c>
      <c r="AC58" s="24">
        <f t="shared" si="3"/>
        <v>33.123543987881696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254</v>
      </c>
      <c r="AG58" s="13">
        <f>VLOOKUP(A58,'Données projet'!$A$61:$I$81,9,0)</f>
        <v>10.199999999999999</v>
      </c>
      <c r="AH58" s="13">
        <f t="array" ref="AH58">INDEX(AG:AG,MIN(IF(ISNUMBER(AG58:AG254),ROW(AG58:AG254),"")))</f>
        <v>10.199999999999999</v>
      </c>
      <c r="AI58" s="14">
        <f>IF('Données projet'!$A$62&gt;35,AI57+AH58-AQ57,IF(A58&lt;'Données projet'!$A$62,$AF$205^A58,IF(A58='Données projet'!$A$62,'Données projet'!$B$62,AI57+AH58-AQ57)))</f>
        <v>253.99999999999997</v>
      </c>
      <c r="AJ58" s="14">
        <f>AI58*VLOOKUP('Données projet'!$B$10,Paramètres!$A$1:$I$89,3,0)*VLOOKUP('Données projet'!$B$10,Paramètres!$A$1:$I$89,5,0)</f>
        <v>257.55599999999998</v>
      </c>
      <c r="AK58" s="14">
        <f t="shared" si="35"/>
        <v>62.201129910568184</v>
      </c>
      <c r="AL58" s="22">
        <f t="shared" si="4"/>
        <v>556.91033459423954</v>
      </c>
      <c r="AM58" s="62">
        <f t="shared" si="5"/>
        <v>850.24366792757291</v>
      </c>
      <c r="AN58" s="62">
        <f ca="1">AVERAGE(OFFSET($AM$3,0,0,'Données projet'!$E$10+1,1))-AVERAGE(OFFSET($H$3,0,0,'Données projet'!$E$10+1,1))</f>
        <v>360.56293184044779</v>
      </c>
      <c r="AO58" s="62">
        <f t="shared" si="36"/>
        <v>219.32252911220542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28</v>
      </c>
      <c r="AR58" s="17">
        <f>IF(ISNA(VLOOKUP(A58,'Données projet'!$A$61:$I$81,5,0)),0%,VLOOKUP(A58,'Données projet'!$A$61:$I$81,5,0)*VLOOKUP('Données projet'!$B$10,Paramètres!$A$1:$I$89,7,0))</f>
        <v>0.34400000000000003</v>
      </c>
      <c r="AS58" s="17">
        <f>IF(ISNA(VLOOKUP(A58,'Données projet'!$A$61:$I$81,6,0)),0%,VLOOKUP(A58,'Données projet'!$A$61:$I$81,6,0)*VLOOKUP('Données projet'!$B$10,Paramètres!$A$1:$I$89,7,0))</f>
        <v>1.72E-2</v>
      </c>
      <c r="AT58" s="17">
        <f>IF(ISNA(VLOOKUP(A58,'Données projet'!$A$61:$I$81,7,0)),0%,VLOOKUP(A58,'Données projet'!$A$61:$I$81,7,0))</f>
        <v>0.06</v>
      </c>
      <c r="AU58" s="23">
        <f>EXP(-LN(2)/35)*AU57+(1-EXP(-LN(2)/35))/(LN(2)/35)*AQ58*AR58*VLOOKUP('Données projet'!$B$10,Paramètres!$A$1:$I$89,3,0)*0.475*44/12</f>
        <v>32.418069009740513</v>
      </c>
      <c r="AV58" s="23">
        <f>EXP(-LN(2)/25)*AV57+(1-EXP(-LN(2)/25))/(LN(2)/25)*Calculateur!AQ58*Calculateur!AS58*VLOOKUP('Données projet'!$B$10,Paramètres!$A$1:$I$89,3,0)*0.475*44/12</f>
        <v>2.7405644707426862</v>
      </c>
      <c r="AW58" s="23">
        <f>EXP(-LN(2)/2)*AW57+(1-EXP(-LN(2)/2))/(LN(2)/2)*AQ58*AT58*VLOOKUP('Données projet'!$B$10,Paramètres!$A$1:$I$89,3,0)*0.475*44/12</f>
        <v>1.9625796093842229</v>
      </c>
      <c r="AX58" s="23">
        <f t="shared" si="6"/>
        <v>37.121213089867418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1.1368683772161603E-13</v>
      </c>
      <c r="BE58" s="14">
        <f>BD58*VLOOKUP('Données projet'!$B$11,Paramètres!$A$1:$I$89,3,0)*VLOOKUP('Données projet'!$B$11,Paramètres!$A$1:$I$89,5,0)</f>
        <v>8.3355189417488869E-14</v>
      </c>
      <c r="BF58" s="14">
        <f t="shared" si="37"/>
        <v>1.2790518435140618E-12</v>
      </c>
      <c r="BG58" s="22">
        <f t="shared" si="7"/>
        <v>2.3728589156891171E-12</v>
      </c>
      <c r="BH58" s="62">
        <f t="shared" si="8"/>
        <v>293.3333333333357</v>
      </c>
      <c r="BI58" s="62">
        <f ca="1">AVERAGE(OFFSET($BH$3,0,0,'Données projet'!$E$11+1,1))-AVERAGE(OFFSET($H$3,0,0,'Données projet'!$E$11+1,1))</f>
        <v>182.06733089745194</v>
      </c>
      <c r="BJ58" s="62">
        <f t="shared" si="38"/>
        <v>320.36755413886021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36.417101538907481</v>
      </c>
      <c r="BQ58" s="23">
        <f>EXP(-LN(2)/25)*BQ57+(1-EXP(-LN(2)/25))/(LN(2)/25)*Calculateur!BL58*Calculateur!BN58*VLOOKUP('Données projet'!$B$11,Paramètres!$A$1:$I$89,3,0)*0.475*44/12</f>
        <v>6.353474965088493</v>
      </c>
      <c r="BR58" s="23">
        <f>EXP(-LN(2)/2)*BR57+(1-EXP(-LN(2)/2))/(LN(2)/2)*BL58*BO58*VLOOKUP('Données projet'!$B$11,Paramètres!$A$1:$I$89,3,0)*0.475*44/12</f>
        <v>0.12781510192103146</v>
      </c>
      <c r="BS58" s="24">
        <f t="shared" si="9"/>
        <v>42.898391605917006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249</v>
      </c>
      <c r="BW58" s="13">
        <f>VLOOKUP(A58,'Données projet'!$A$113:$I$133,9,0)</f>
        <v>10.6</v>
      </c>
      <c r="BX58" s="13">
        <f t="array" ref="BX58">INDEX(BW:BW,MIN(IF(ISNUMBER(BW58:BW254),ROW(BW58:BW254),"")))</f>
        <v>10.6</v>
      </c>
      <c r="BY58" s="13">
        <f>IF('Données projet'!$A$114&gt;35,BY57+BX58-CG57,IF(A58&lt;'Données projet'!$A$114,$BV$205^A58,IF(A58='Données projet'!$A$114,'Données projet'!$B$114,BY57+BX58-CG57)))</f>
        <v>248.99999999999994</v>
      </c>
      <c r="BZ58" s="14">
        <f>BY58*VLOOKUP('Données projet'!$B$12,Paramètres!$A$1:$I$89,3,0)*VLOOKUP('Données projet'!$B$12,Paramètres!$A$1:$I$89,5,0)</f>
        <v>217.52639999999997</v>
      </c>
      <c r="CA58" s="14">
        <f t="shared" si="39"/>
        <v>53.576907690651254</v>
      </c>
      <c r="CB58" s="22">
        <f t="shared" si="10"/>
        <v>472.1715942278841</v>
      </c>
      <c r="CC58" s="62">
        <f t="shared" si="11"/>
        <v>765.50492756121741</v>
      </c>
      <c r="CD58" s="62">
        <f ca="1">AVERAGE(OFFSET($CC$3,0,0,'Données projet'!$E$12+1,1))-AVERAGE(OFFSET($H$3,0,0,'Données projet'!$E$12+1,1))</f>
        <v>248.60758320902863</v>
      </c>
      <c r="CE58" s="62">
        <f t="shared" si="40"/>
        <v>222.23585883330111</v>
      </c>
      <c r="CF58" s="16">
        <f>IF(ISNA(VLOOKUP(A58,'Données projet'!$A$113:$I$133,3,0)),0,VLOOKUP(A58,'Données projet'!$A$113:$I$133,3,0))</f>
        <v>8</v>
      </c>
      <c r="CG58" s="16">
        <f>IF(ISNA(VLOOKUP(A58,'Données projet'!$A$113:$I$133,4,0)),0,VLOOKUP(A58,'Données projet'!$A$113:$I$133,4,0))</f>
        <v>32</v>
      </c>
      <c r="CH58" s="17">
        <f>IF(ISNA(VLOOKUP(A58,'Données projet'!$A$113:$I$133,5,0)),0%,VLOOKUP(A58,'Données projet'!$A$113:$I$133,5,0)*VLOOKUP('Données projet'!$B$12,Paramètres!$A$1:$I$89,7,0))</f>
        <v>0.215</v>
      </c>
      <c r="CI58" s="17">
        <f>IF(ISNA(VLOOKUP(A58,'Données projet'!$A$113:$I$133,6,0)),0%,VLOOKUP(A58,'Données projet'!$A$113:$I$133,6,0)*VLOOKUP('Données projet'!$B$12,Paramètres!$A$1:$I$89,7,0))</f>
        <v>4.3000000000000003E-2</v>
      </c>
      <c r="CJ58" s="17">
        <f>IF(ISNA(VLOOKUP(A58,'Données projet'!$A$113:$I$133,7,0)),0%,VLOOKUP(A58,'Données projet'!$A$113:$I$133,7,0))</f>
        <v>0.15</v>
      </c>
      <c r="CK58" s="23">
        <f>EXP(-LN(2)/35)*CK57+(1-EXP(-LN(2)/35))/(LN(2)/35)*CG58*CH58*VLOOKUP('Données projet'!$B$12,Paramètres!$A$1:$I$89,3,0)*0.475*44/12</f>
        <v>27.768360563926638</v>
      </c>
      <c r="CL58" s="23">
        <f>EXP(-LN(2)/25)*CL57+(1-EXP(-LN(2)/25))/(LN(2)/25)*Calculateur!CG58*Calculateur!CI58*VLOOKUP('Données projet'!$B$12,Paramètres!$A$1:$I$89,3,0)*0.475*44/12</f>
        <v>8.5368293518464853</v>
      </c>
      <c r="CM58" s="23">
        <f>EXP(-LN(2)/2)*CM57+(1-EXP(-LN(2)/2))/(LN(2)/2)*CG58*CJ58*VLOOKUP('Données projet'!$B$12,Paramètres!$A$1:$I$89,3,0)*0.475*44/12</f>
        <v>4.8116983712521089</v>
      </c>
      <c r="CN58" s="24">
        <f t="shared" si="12"/>
        <v>41.116888287025233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193.99999999999994</v>
      </c>
      <c r="CU58" s="18">
        <f>CT58*VLOOKUP('Données projet'!$B$13,Paramètres!$A$1:$I$89,3,0)*VLOOKUP('Données projet'!$B$13,Paramètres!$A$1:$I$89,5,0)</f>
        <v>105.92399999999998</v>
      </c>
      <c r="CV58" s="14">
        <f t="shared" si="41"/>
        <v>28.36854701055546</v>
      </c>
      <c r="CW58" s="22">
        <f t="shared" si="13"/>
        <v>233.89285271005073</v>
      </c>
      <c r="CX58" s="62">
        <f t="shared" si="14"/>
        <v>527.22618604338402</v>
      </c>
      <c r="CY58" s="62">
        <f ca="1">AVERAGE(OFFSET($CX$3,0,0,'Données projet'!$E$13+1,1))-AVERAGE(OFFSET($H$3,0,0,'Données projet'!$E$13+1,1))</f>
        <v>135.44138026609272</v>
      </c>
      <c r="CZ58" s="62">
        <f t="shared" si="42"/>
        <v>254.77247578425659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40.275364672889467</v>
      </c>
      <c r="DG58" s="23">
        <f>EXP(-LN(2)/25)*DG57+(1-EXP(-LN(2)/25))/(LN(2)/25)*Calculateur!DB58*Calculateur!DD58*VLOOKUP('Données projet'!$B$13,Paramètres!$A$1:$I$89,3,0)*0.475*44/12</f>
        <v>22.618391587481391</v>
      </c>
      <c r="DH58" s="23">
        <f>EXP(-LN(2)/2)*DH57+(1-EXP(-LN(2)/2))/(LN(2)/2)*DB58*DE58*VLOOKUP('Données projet'!$B$13,Paramètres!$A$1:$I$89,3,0)*0.475*44/12</f>
        <v>1.4682759696522515E-2</v>
      </c>
      <c r="DI58" s="24">
        <f t="shared" si="15"/>
        <v>62.908439020067377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>
        <f>VLOOKUP(A58,'Données projet'!$A$165:$I$185,2,0)</f>
        <v>297</v>
      </c>
      <c r="DM58" s="13">
        <f>VLOOKUP(A58,'Données projet'!$A$165:$I$185,9,0)</f>
        <v>9.8000000000000007</v>
      </c>
      <c r="DN58" s="13">
        <f t="array" ref="DN58">INDEX(DM:DM,MIN(IF(ISNUMBER(DM58:DM254),ROW(DM58:DM254),"")))</f>
        <v>9.8000000000000007</v>
      </c>
      <c r="DO58" s="13">
        <f>IF('Données projet'!$A$166&gt;35,DO57+DN58-DW57,IF(A58&lt;'Données projet'!$A$166,$DL$205^A58,IF(A58='Données projet'!$A$166,'Données projet'!$B$166,DO57+DN58-DW57)))</f>
        <v>297.00000000000011</v>
      </c>
      <c r="DP58" s="18">
        <f>DO58*VLOOKUP('Données projet'!$B$14,Paramètres!$A$1:$I$89,3,0)*VLOOKUP('Données projet'!$B$14,Paramètres!$A$1:$I$89,5,0)</f>
        <v>287.25840000000011</v>
      </c>
      <c r="DQ58" s="14">
        <f t="shared" si="43"/>
        <v>68.498625255186909</v>
      </c>
      <c r="DR58" s="22">
        <f t="shared" si="16"/>
        <v>619.61015231945078</v>
      </c>
      <c r="DS58" s="62">
        <f t="shared" si="17"/>
        <v>912.94348565278415</v>
      </c>
      <c r="DT58" s="62">
        <f ca="1">AVERAGE(OFFSET($DS$3,0,0,'Données projet'!$E$14+1,1))-AVERAGE(OFFSET($H$3,0,0,'Données projet'!$E$14+1,1))</f>
        <v>271.09447278906288</v>
      </c>
      <c r="DU58" s="62">
        <f t="shared" si="44"/>
        <v>325.1094067861851</v>
      </c>
      <c r="DV58" s="16">
        <f>IF(ISNA(VLOOKUP(A58,'Données projet'!$A$165:$I$185,3,0)),0,VLOOKUP(A58,'Données projet'!$A$165:$I$185,3,0))</f>
        <v>8</v>
      </c>
      <c r="DW58" s="16">
        <f>IF(ISNA(VLOOKUP(A58,'Données projet'!$A$165:$I$185,4,0)),0,VLOOKUP(A58,'Données projet'!$A$165:$I$185,4,0))</f>
        <v>35</v>
      </c>
      <c r="DX58" s="17">
        <f>IF(ISNA(VLOOKUP(A58,'Données projet'!$A$165:$I$185,5,0)),0%,VLOOKUP(A58,'Données projet'!$A$165:$I$185,5,0)*VLOOKUP('Données projet'!$B$14,Paramètres!$A$1:$I$89,7,0))</f>
        <v>0.215</v>
      </c>
      <c r="DY58" s="17">
        <f>IF(ISNA(VLOOKUP(A58,'Données projet'!$A$165:$I$185,6,0)),0%,VLOOKUP(A58,'Données projet'!$A$165:$I$185,6,0)*VLOOKUP('Données projet'!$B$14,Paramètres!$A$1:$I$89,7,0))</f>
        <v>4.3000000000000003E-2</v>
      </c>
      <c r="DZ58" s="17">
        <f>IF(ISNA(VLOOKUP(A58,'Données projet'!$A$165:$I$185,7,0)),0%,VLOOKUP(A58,'Données projet'!$A$165:$I$185,7,0))</f>
        <v>0.15</v>
      </c>
      <c r="EA58" s="23">
        <f>EXP(-LN(2)/35)*EA57+(1-EXP(-LN(2)/35))/(LN(2)/35)*DW58*DX58*VLOOKUP('Données projet'!$B$14,Paramètres!$A$1:$I$89,3,0)*0.475*44/12</f>
        <v>35.296408812781465</v>
      </c>
      <c r="EB58" s="23">
        <f>EXP(-LN(2)/25)*EB57+(1-EXP(-LN(2)/25))/(LN(2)/25)*Calculateur!DW58*Calculateur!DY58*VLOOKUP('Données projet'!$B$14,Paramètres!$A$1:$I$89,3,0)*0.475*44/12</f>
        <v>6.5038316371796219</v>
      </c>
      <c r="EC58" s="23">
        <f>EXP(-LN(2)/2)*EC57+(1-EXP(-LN(2)/2))/(LN(2)/2)*DW58*DZ58*VLOOKUP('Données projet'!$B$14,Paramètres!$A$1:$I$89,3,0)*0.475*44/12</f>
        <v>5.8206017109975328</v>
      </c>
      <c r="ED58" s="24">
        <f t="shared" si="18"/>
        <v>47.620842160958617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>
        <f>VLOOKUP(A58,'Données projet'!$A$191:$I$211,2,0)</f>
        <v>297</v>
      </c>
      <c r="EH58" s="13">
        <f>VLOOKUP(A58,'Données projet'!$A$191:$I$211,9,0)</f>
        <v>9.8000000000000007</v>
      </c>
      <c r="EI58" s="13">
        <f t="array" ref="EI58">INDEX(EH:EH,MIN(IF(ISNUMBER(EH58:EH254),ROW(EH58:EH254),"")))</f>
        <v>9.8000000000000007</v>
      </c>
      <c r="EJ58" s="13">
        <f>IF('Données projet'!$A$192&gt;35,EJ57+EI58-ER57,IF(A58&lt;'Données projet'!$A$192,$EG$205^A58,IF(A58='Données projet'!$A$192,'Données projet'!$B$192,EJ57+EI58-ER57)))</f>
        <v>297.00000000000011</v>
      </c>
      <c r="EK58" s="18">
        <f>EJ58*VLOOKUP('Données projet'!$B$15,Paramètres!$A$1:$I$89,3,0)*VLOOKUP('Données projet'!$B$15,Paramètres!$A$1:$I$89,5,0)</f>
        <v>319.69080000000014</v>
      </c>
      <c r="EL58" s="14">
        <f t="shared" si="45"/>
        <v>75.289014970336254</v>
      </c>
      <c r="EM58" s="22">
        <f t="shared" si="19"/>
        <v>687.92317774000242</v>
      </c>
      <c r="EN58" s="62">
        <f t="shared" si="20"/>
        <v>981.25651107333579</v>
      </c>
      <c r="EO58" s="62">
        <f ca="1">AVERAGE(OFFSET($EN$3,0,0,'Données projet'!$E$15+1,1))-AVERAGE(OFFSET($H$3,0,0,'Données projet'!$E$15+1,1))</f>
        <v>306.50593475734655</v>
      </c>
      <c r="EP58" s="62">
        <f t="shared" si="46"/>
        <v>366.48643801375079</v>
      </c>
      <c r="EQ58" s="16">
        <f>IF(ISNA(VLOOKUP(A58,'Données projet'!$A$191:$I$211,3,0)),0,VLOOKUP(A58,'Données projet'!$A$191:$I$211,3,0))</f>
        <v>8</v>
      </c>
      <c r="ER58" s="16">
        <f>IF(ISNA(VLOOKUP(A58,'Données projet'!$A$191:$I$211,4,0)),0,VLOOKUP(A58,'Données projet'!$A$191:$I$211,4,0))</f>
        <v>35</v>
      </c>
      <c r="ES58" s="17">
        <f>IF(ISNA(VLOOKUP(A58,'Données projet'!$A$191:$I$211,5,0)),0%,VLOOKUP(A58,'Données projet'!$A$191:$I$211,5,0)*VLOOKUP('Données projet'!$B$15,Paramètres!$A$1:$I$89,7,0))</f>
        <v>0.215</v>
      </c>
      <c r="ET58" s="17">
        <f>IF(ISNA(VLOOKUP(A58,'Données projet'!$A$191:$I$211,6,0)),0%,VLOOKUP(A58,'Données projet'!$A$191:$I$211,6,0)*VLOOKUP('Données projet'!$B$15,Paramètres!$A$1:$I$89,7,0))</f>
        <v>4.3000000000000003E-2</v>
      </c>
      <c r="EU58" s="17">
        <f>IF(ISNA(VLOOKUP(A58,'Données projet'!$A$191:$I$211,7,0)),0%,VLOOKUP(A58,'Données projet'!$A$191:$I$211,7,0))</f>
        <v>0.15</v>
      </c>
      <c r="EV58" s="23">
        <f>EXP(-LN(2)/35)*EV57+(1-EXP(-LN(2)/35))/(LN(2)/35)*ER58*ES58*VLOOKUP('Données projet'!$B$15,Paramètres!$A$1:$I$89,3,0)*0.475*44/12</f>
        <v>39.281487227127755</v>
      </c>
      <c r="EW58" s="23">
        <f>EXP(-LN(2)/25)*EW57+(1-EXP(-LN(2)/25))/(LN(2)/25)*Calculateur!ER58*Calculateur!ET58*VLOOKUP('Données projet'!$B$15,Paramètres!$A$1:$I$89,3,0)*0.475*44/12</f>
        <v>7.2381352091192603</v>
      </c>
      <c r="EX58" s="23">
        <f>EXP(-LN(2)/2)*EX57+(1-EXP(-LN(2)/2))/(LN(2)/2)*ER58*EU58*VLOOKUP('Données projet'!$B$15,Paramètres!$A$1:$I$89,3,0)*0.475*44/12</f>
        <v>6.4777664203037055</v>
      </c>
      <c r="EY58" s="24">
        <f t="shared" si="21"/>
        <v>52.997388856550728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41.059199999999954</v>
      </c>
      <c r="D59" s="12">
        <f t="shared" si="32"/>
        <v>12.278959527914731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411.73316126811329</v>
      </c>
      <c r="H59" s="70">
        <f t="shared" si="1"/>
        <v>386.23062784445136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9.4</v>
      </c>
      <c r="N59" s="14">
        <f>IF('Données projet'!$A$36&gt;35,N58+M59-V58,IF(A59&lt;'Données projet'!$A$36,$K$205^A59,IF(A59='Données projet'!$A$36,'Données projet'!$B$36,N58+M59-V58)))</f>
        <v>235.39999999999998</v>
      </c>
      <c r="O59" s="14">
        <f>N59*VLOOKUP('Données projet'!$B$9,Paramètres!$A$1:$I$89,3,0)*VLOOKUP('Données projet'!$B$9,Paramètres!$A$1:$I$89,5,0)</f>
        <v>212.98991999999998</v>
      </c>
      <c r="P59" s="14">
        <f t="shared" si="33"/>
        <v>52.588419883221171</v>
      </c>
      <c r="Q59" s="22">
        <f t="shared" si="53"/>
        <v>462.54894196327677</v>
      </c>
      <c r="R59" s="62">
        <f t="shared" si="0"/>
        <v>755.88227529661003</v>
      </c>
      <c r="S59" s="62">
        <f ca="1">AVERAGE(OFFSET($R$3,0,0,'Données projet'!$E$9+1,1))-AVERAGE(OFFSET($H$3,0,0,'Données projet'!$E$9+1,1))</f>
        <v>312.57314929661908</v>
      </c>
      <c r="T59" s="62">
        <f t="shared" si="34"/>
        <v>190.92100876773804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28.359653631887564</v>
      </c>
      <c r="AA59" s="23">
        <f>EXP(-LN(2)/25)*AA58+(1-EXP(-LN(2)/25))/(LN(2)/25)*Calculateur!V59*Calculateur!X59*VLOOKUP('Données projet'!$B$9,Paramètres!$A$1:$I$89,3,0)*0.475*44/12</f>
        <v>2.3785564351980297</v>
      </c>
      <c r="AB59" s="23">
        <f>EXP(-LN(2)/2)*AB58+(1-EXP(-LN(2)/2))/(LN(2)/2)*V59*Y59*VLOOKUP('Données projet'!$B$9,Paramètres!$A$1:$I$89,3,0)*0.475*44/12</f>
        <v>1.2383029896002111</v>
      </c>
      <c r="AC59" s="24">
        <f t="shared" si="3"/>
        <v>31.976513056685803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9.4</v>
      </c>
      <c r="AI59" s="14">
        <f>IF('Données projet'!$A$62&gt;35,AI58+AH59-AQ58,IF(A59&lt;'Données projet'!$A$62,$AF$205^A59,IF(A59='Données projet'!$A$62,'Données projet'!$B$62,AI58+AH59-AQ58)))</f>
        <v>235.39999999999998</v>
      </c>
      <c r="AJ59" s="14">
        <f>AI59*VLOOKUP('Données projet'!$B$10,Paramètres!$A$1:$I$89,3,0)*VLOOKUP('Données projet'!$B$10,Paramètres!$A$1:$I$89,5,0)</f>
        <v>238.69559999999998</v>
      </c>
      <c r="AK59" s="14">
        <f t="shared" si="35"/>
        <v>58.158793514165929</v>
      </c>
      <c r="AL59" s="22">
        <f t="shared" si="4"/>
        <v>517.02140203717238</v>
      </c>
      <c r="AM59" s="62">
        <f t="shared" si="5"/>
        <v>810.35473537050575</v>
      </c>
      <c r="AN59" s="62">
        <f ca="1">AVERAGE(OFFSET($AM$3,0,0,'Données projet'!$E$10+1,1))-AVERAGE(OFFSET($H$3,0,0,'Données projet'!$E$10+1,1))</f>
        <v>360.56293184044779</v>
      </c>
      <c r="AO59" s="62">
        <f t="shared" si="36"/>
        <v>219.32252911220542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31.782370449529168</v>
      </c>
      <c r="AV59" s="23">
        <f>EXP(-LN(2)/25)*AV58+(1-EXP(-LN(2)/25))/(LN(2)/25)*Calculateur!AQ59*Calculateur!AS59*VLOOKUP('Données projet'!$B$10,Paramètres!$A$1:$I$89,3,0)*0.475*44/12</f>
        <v>2.6656235911702058</v>
      </c>
      <c r="AW59" s="23">
        <f>EXP(-LN(2)/2)*AW58+(1-EXP(-LN(2)/2))/(LN(2)/2)*AQ59*AT59*VLOOKUP('Données projet'!$B$10,Paramètres!$A$1:$I$89,3,0)*0.475*44/12</f>
        <v>1.3877533504140298</v>
      </c>
      <c r="AX59" s="23">
        <f t="shared" si="6"/>
        <v>35.835747391113401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1.1368683772161603E-13</v>
      </c>
      <c r="BE59" s="14">
        <f>BD59*VLOOKUP('Données projet'!$B$11,Paramètres!$A$1:$I$89,3,0)*VLOOKUP('Données projet'!$B$11,Paramètres!$A$1:$I$89,5,0)</f>
        <v>8.3355189417488869E-14</v>
      </c>
      <c r="BF59" s="14">
        <f t="shared" si="37"/>
        <v>1.2790518435140618E-12</v>
      </c>
      <c r="BG59" s="22">
        <f t="shared" si="7"/>
        <v>2.3728589156891171E-12</v>
      </c>
      <c r="BH59" s="62">
        <f t="shared" si="8"/>
        <v>293.3333333333357</v>
      </c>
      <c r="BI59" s="62">
        <f ca="1">AVERAGE(OFFSET($BH$3,0,0,'Données projet'!$E$11+1,1))-AVERAGE(OFFSET($H$3,0,0,'Données projet'!$E$11+1,1))</f>
        <v>182.06733089745194</v>
      </c>
      <c r="BJ59" s="62">
        <f t="shared" si="38"/>
        <v>320.36755413886021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35.702984389968165</v>
      </c>
      <c r="BQ59" s="23">
        <f>EXP(-LN(2)/25)*BQ58+(1-EXP(-LN(2)/25))/(LN(2)/25)*Calculateur!BL59*Calculateur!BN59*VLOOKUP('Données projet'!$B$11,Paramètres!$A$1:$I$89,3,0)*0.475*44/12</f>
        <v>6.1797388580534207</v>
      </c>
      <c r="BR59" s="23">
        <f>EXP(-LN(2)/2)*BR58+(1-EXP(-LN(2)/2))/(LN(2)/2)*BL59*BO59*VLOOKUP('Données projet'!$B$11,Paramètres!$A$1:$I$89,3,0)*0.475*44/12</f>
        <v>9.0378925306411062E-2</v>
      </c>
      <c r="BS59" s="24">
        <f t="shared" si="9"/>
        <v>41.973102173327995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10.6</v>
      </c>
      <c r="BY59" s="13">
        <f>IF('Données projet'!$A$114&gt;35,BY58+BX59-CG58,IF(A59&lt;'Données projet'!$A$114,$BV$205^A59,IF(A59='Données projet'!$A$114,'Données projet'!$B$114,BY58+BX59-CG58)))</f>
        <v>227.59999999999997</v>
      </c>
      <c r="BZ59" s="14">
        <f>BY59*VLOOKUP('Données projet'!$B$12,Paramètres!$A$1:$I$89,3,0)*VLOOKUP('Données projet'!$B$12,Paramètres!$A$1:$I$89,5,0)</f>
        <v>198.83135999999999</v>
      </c>
      <c r="CA59" s="14">
        <f t="shared" si="39"/>
        <v>49.48724849224233</v>
      </c>
      <c r="CB59" s="22">
        <f t="shared" si="10"/>
        <v>432.4882431239887</v>
      </c>
      <c r="CC59" s="62">
        <f t="shared" si="11"/>
        <v>725.82157645732195</v>
      </c>
      <c r="CD59" s="62">
        <f ca="1">AVERAGE(OFFSET($CC$3,0,0,'Données projet'!$E$12+1,1))-AVERAGE(OFFSET($H$3,0,0,'Données projet'!$E$12+1,1))</f>
        <v>248.60758320902863</v>
      </c>
      <c r="CE59" s="62">
        <f t="shared" si="40"/>
        <v>222.23585883330111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27.223839950295588</v>
      </c>
      <c r="CL59" s="23">
        <f>EXP(-LN(2)/25)*CL58+(1-EXP(-LN(2)/25))/(LN(2)/25)*Calculateur!CG59*Calculateur!CI59*VLOOKUP('Données projet'!$B$12,Paramètres!$A$1:$I$89,3,0)*0.475*44/12</f>
        <v>8.303389304287899</v>
      </c>
      <c r="CM59" s="23">
        <f>EXP(-LN(2)/2)*CM58+(1-EXP(-LN(2)/2))/(LN(2)/2)*CG59*CJ59*VLOOKUP('Données projet'!$B$12,Paramètres!$A$1:$I$89,3,0)*0.475*44/12</f>
        <v>3.4023845473366321</v>
      </c>
      <c r="CN59" s="24">
        <f t="shared" si="12"/>
        <v>38.929613801920119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193.99999999999994</v>
      </c>
      <c r="CU59" s="18">
        <f>CT59*VLOOKUP('Données projet'!$B$13,Paramètres!$A$1:$I$89,3,0)*VLOOKUP('Données projet'!$B$13,Paramètres!$A$1:$I$89,5,0)</f>
        <v>105.92399999999998</v>
      </c>
      <c r="CV59" s="14">
        <f t="shared" si="41"/>
        <v>28.36854701055546</v>
      </c>
      <c r="CW59" s="22">
        <f t="shared" si="13"/>
        <v>233.89285271005073</v>
      </c>
      <c r="CX59" s="62">
        <f t="shared" si="14"/>
        <v>527.22618604338402</v>
      </c>
      <c r="CY59" s="62">
        <f ca="1">AVERAGE(OFFSET($CX$3,0,0,'Données projet'!$E$13+1,1))-AVERAGE(OFFSET($H$3,0,0,'Données projet'!$E$13+1,1))</f>
        <v>135.44138026609272</v>
      </c>
      <c r="CZ59" s="62">
        <f t="shared" si="42"/>
        <v>254.77247578425659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39.485589337200906</v>
      </c>
      <c r="DG59" s="23">
        <f>EXP(-LN(2)/25)*DG58+(1-EXP(-LN(2)/25))/(LN(2)/25)*Calculateur!DB59*Calculateur!DD59*VLOOKUP('Données projet'!$B$13,Paramètres!$A$1:$I$89,3,0)*0.475*44/12</f>
        <v>21.999890480072192</v>
      </c>
      <c r="DH59" s="23">
        <f>EXP(-LN(2)/2)*DH58+(1-EXP(-LN(2)/2))/(LN(2)/2)*DB59*DE59*VLOOKUP('Données projet'!$B$13,Paramètres!$A$1:$I$89,3,0)*0.475*44/12</f>
        <v>1.0382278947943606E-2</v>
      </c>
      <c r="DI59" s="24">
        <f t="shared" si="15"/>
        <v>61.495862096221046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9.6</v>
      </c>
      <c r="DO59" s="13">
        <f>IF('Données projet'!$A$166&gt;35,DO58+DN59-DW58,IF(A59&lt;'Données projet'!$A$166,$DL$205^A59,IF(A59='Données projet'!$A$166,'Données projet'!$B$166,DO58+DN59-DW58)))</f>
        <v>271.60000000000014</v>
      </c>
      <c r="DP59" s="18">
        <f>DO59*VLOOKUP('Données projet'!$B$14,Paramètres!$A$1:$I$89,3,0)*VLOOKUP('Données projet'!$B$14,Paramètres!$A$1:$I$89,5,0)</f>
        <v>262.69152000000014</v>
      </c>
      <c r="DQ59" s="14">
        <f t="shared" si="43"/>
        <v>63.295756917241974</v>
      </c>
      <c r="DR59" s="22">
        <f t="shared" si="16"/>
        <v>567.7611739641967</v>
      </c>
      <c r="DS59" s="62">
        <f t="shared" si="17"/>
        <v>861.09450729753007</v>
      </c>
      <c r="DT59" s="62">
        <f ca="1">AVERAGE(OFFSET($DS$3,0,0,'Données projet'!$E$14+1,1))-AVERAGE(OFFSET($H$3,0,0,'Données projet'!$E$14+1,1))</f>
        <v>271.09447278906288</v>
      </c>
      <c r="DU59" s="62">
        <f t="shared" si="44"/>
        <v>325.1094067861851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34.604267764646416</v>
      </c>
      <c r="EB59" s="23">
        <f>EXP(-LN(2)/25)*EB58+(1-EXP(-LN(2)/25))/(LN(2)/25)*Calculateur!DW59*Calculateur!DY59*VLOOKUP('Données projet'!$B$14,Paramètres!$A$1:$I$89,3,0)*0.475*44/12</f>
        <v>6.3259840190393044</v>
      </c>
      <c r="EC59" s="23">
        <f>EXP(-LN(2)/2)*EC58+(1-EXP(-LN(2)/2))/(LN(2)/2)*DW59*DZ59*VLOOKUP('Données projet'!$B$14,Paramètres!$A$1:$I$89,3,0)*0.475*44/12</f>
        <v>4.1157869404323772</v>
      </c>
      <c r="ED59" s="24">
        <f t="shared" si="18"/>
        <v>45.046038724118098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9.6</v>
      </c>
      <c r="EJ59" s="13">
        <f>IF('Données projet'!$A$192&gt;35,EJ58+EI59-ER58,IF(A59&lt;'Données projet'!$A$192,$EG$205^A59,IF(A59='Données projet'!$A$192,'Données projet'!$B$192,EJ58+EI59-ER58)))</f>
        <v>271.60000000000014</v>
      </c>
      <c r="EK59" s="18">
        <f>EJ59*VLOOKUP('Données projet'!$B$15,Paramètres!$A$1:$I$89,3,0)*VLOOKUP('Données projet'!$B$15,Paramètres!$A$1:$I$89,5,0)</f>
        <v>292.35024000000016</v>
      </c>
      <c r="EL59" s="14">
        <f t="shared" si="45"/>
        <v>69.570377103884212</v>
      </c>
      <c r="EM59" s="22">
        <f t="shared" si="19"/>
        <v>630.34507478926525</v>
      </c>
      <c r="EN59" s="62">
        <f t="shared" si="20"/>
        <v>923.67840812259851</v>
      </c>
      <c r="EO59" s="62">
        <f ca="1">AVERAGE(OFFSET($EN$3,0,0,'Données projet'!$E$15+1,1))-AVERAGE(OFFSET($H$3,0,0,'Données projet'!$E$15+1,1))</f>
        <v>306.50593475734655</v>
      </c>
      <c r="EP59" s="62">
        <f t="shared" si="46"/>
        <v>366.48643801375079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38.5112012219452</v>
      </c>
      <c r="EW59" s="23">
        <f>EXP(-LN(2)/25)*EW58+(1-EXP(-LN(2)/25))/(LN(2)/25)*Calculateur!ER59*Calculateur!ET59*VLOOKUP('Données projet'!$B$15,Paramètres!$A$1:$I$89,3,0)*0.475*44/12</f>
        <v>7.0402080211889064</v>
      </c>
      <c r="EX59" s="23">
        <f>EXP(-LN(2)/2)*EX58+(1-EXP(-LN(2)/2))/(LN(2)/2)*ER59*EU59*VLOOKUP('Données projet'!$B$15,Paramètres!$A$1:$I$89,3,0)*0.475*44/12</f>
        <v>4.5804725627392582</v>
      </c>
      <c r="EY59" s="24">
        <f t="shared" si="21"/>
        <v>50.131881805873363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41.792399999999951</v>
      </c>
      <c r="D60" s="12">
        <f t="shared" si="32"/>
        <v>12.472503937619955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418.8869777640835</v>
      </c>
      <c r="H60" s="70">
        <f t="shared" si="1"/>
        <v>387.84470769135464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9.4</v>
      </c>
      <c r="N60" s="14">
        <f>IF('Données projet'!$A$36&gt;35,N59+M60-V59,IF(A60&lt;'Données projet'!$A$36,$K$205^A60,IF(A60='Données projet'!$A$36,'Données projet'!$B$36,N59+M60-V59)))</f>
        <v>244.79999999999998</v>
      </c>
      <c r="O60" s="14">
        <f>N60*VLOOKUP('Données projet'!$B$9,Paramètres!$A$1:$I$89,3,0)*VLOOKUP('Données projet'!$B$9,Paramètres!$A$1:$I$89,5,0)</f>
        <v>221.49503999999999</v>
      </c>
      <c r="P60" s="14">
        <f t="shared" si="33"/>
        <v>54.439697086174412</v>
      </c>
      <c r="Q60" s="22">
        <f t="shared" si="53"/>
        <v>480.58633375842032</v>
      </c>
      <c r="R60" s="62">
        <f t="shared" si="0"/>
        <v>773.91966709175358</v>
      </c>
      <c r="S60" s="62">
        <f ca="1">AVERAGE(OFFSET($R$3,0,0,'Données projet'!$E$9+1,1))-AVERAGE(OFFSET($H$3,0,0,'Données projet'!$E$9+1,1))</f>
        <v>312.57314929661908</v>
      </c>
      <c r="T60" s="62">
        <f t="shared" si="34"/>
        <v>190.92100876773804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27.803538121846959</v>
      </c>
      <c r="AA60" s="23">
        <f>EXP(-LN(2)/25)*AA59+(1-EXP(-LN(2)/25))/(LN(2)/25)*Calculateur!V60*Calculateur!X60*VLOOKUP('Données projet'!$B$9,Paramètres!$A$1:$I$89,3,0)*0.475*44/12</f>
        <v>2.313514684394693</v>
      </c>
      <c r="AB60" s="23">
        <f>EXP(-LN(2)/2)*AB59+(1-EXP(-LN(2)/2))/(LN(2)/2)*V60*Y60*VLOOKUP('Données projet'!$B$9,Paramètres!$A$1:$I$89,3,0)*0.475*44/12</f>
        <v>0.87561244110988423</v>
      </c>
      <c r="AC60" s="24">
        <f t="shared" si="3"/>
        <v>30.992665247351535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9.4</v>
      </c>
      <c r="AI60" s="14">
        <f>IF('Données projet'!$A$62&gt;35,AI59+AH60-AQ59,IF(A60&lt;'Données projet'!$A$62,$AF$205^A60,IF(A60='Données projet'!$A$62,'Données projet'!$B$62,AI59+AH60-AQ59)))</f>
        <v>244.79999999999998</v>
      </c>
      <c r="AJ60" s="14">
        <f>AI60*VLOOKUP('Données projet'!$B$10,Paramètres!$A$1:$I$89,3,0)*VLOOKUP('Données projet'!$B$10,Paramètres!$A$1:$I$89,5,0)</f>
        <v>248.22720000000001</v>
      </c>
      <c r="AK60" s="14">
        <f t="shared" si="35"/>
        <v>60.20616532763993</v>
      </c>
      <c r="AL60" s="22">
        <f t="shared" si="4"/>
        <v>537.18811127897277</v>
      </c>
      <c r="AM60" s="62">
        <f t="shared" si="5"/>
        <v>830.52144461230614</v>
      </c>
      <c r="AN60" s="62">
        <f ca="1">AVERAGE(OFFSET($AM$3,0,0,'Données projet'!$E$10+1,1))-AVERAGE(OFFSET($H$3,0,0,'Données projet'!$E$10+1,1))</f>
        <v>360.56293184044779</v>
      </c>
      <c r="AO60" s="62">
        <f t="shared" si="36"/>
        <v>219.32252911220542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31.159137550345733</v>
      </c>
      <c r="AV60" s="23">
        <f>EXP(-LN(2)/25)*AV59+(1-EXP(-LN(2)/25))/(LN(2)/25)*Calculateur!AQ60*Calculateur!AS60*VLOOKUP('Données projet'!$B$10,Paramètres!$A$1:$I$89,3,0)*0.475*44/12</f>
        <v>2.5927319738906043</v>
      </c>
      <c r="AW60" s="23">
        <f>EXP(-LN(2)/2)*AW59+(1-EXP(-LN(2)/2))/(LN(2)/2)*AQ60*AT60*VLOOKUP('Données projet'!$B$10,Paramètres!$A$1:$I$89,3,0)*0.475*44/12</f>
        <v>0.98128980469211169</v>
      </c>
      <c r="AX60" s="23">
        <f t="shared" si="6"/>
        <v>34.733159328928451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1.1368683772161603E-13</v>
      </c>
      <c r="BE60" s="14">
        <f>BD60*VLOOKUP('Données projet'!$B$11,Paramètres!$A$1:$I$89,3,0)*VLOOKUP('Données projet'!$B$11,Paramètres!$A$1:$I$89,5,0)</f>
        <v>8.3355189417488869E-14</v>
      </c>
      <c r="BF60" s="14">
        <f t="shared" si="37"/>
        <v>1.2790518435140618E-12</v>
      </c>
      <c r="BG60" s="22">
        <f t="shared" si="7"/>
        <v>2.3728589156891171E-12</v>
      </c>
      <c r="BH60" s="62">
        <f t="shared" si="8"/>
        <v>293.3333333333357</v>
      </c>
      <c r="BI60" s="62">
        <f ca="1">AVERAGE(OFFSET($BH$3,0,0,'Données projet'!$E$11+1,1))-AVERAGE(OFFSET($H$3,0,0,'Données projet'!$E$11+1,1))</f>
        <v>182.06733089745194</v>
      </c>
      <c r="BJ60" s="62">
        <f t="shared" si="38"/>
        <v>320.36755413886021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35.002870642751098</v>
      </c>
      <c r="BQ60" s="23">
        <f>EXP(-LN(2)/25)*BQ59+(1-EXP(-LN(2)/25))/(LN(2)/25)*Calculateur!BL60*Calculateur!BN60*VLOOKUP('Données projet'!$B$11,Paramètres!$A$1:$I$89,3,0)*0.475*44/12</f>
        <v>6.0107535740016074</v>
      </c>
      <c r="BR60" s="23">
        <f>EXP(-LN(2)/2)*BR59+(1-EXP(-LN(2)/2))/(LN(2)/2)*BL60*BO60*VLOOKUP('Données projet'!$B$11,Paramètres!$A$1:$I$89,3,0)*0.475*44/12</f>
        <v>6.390755096051573E-2</v>
      </c>
      <c r="BS60" s="24">
        <f t="shared" si="9"/>
        <v>41.077531767713218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10.6</v>
      </c>
      <c r="BY60" s="13">
        <f>IF('Données projet'!$A$114&gt;35,BY59+BX60-CG59,IF(A60&lt;'Données projet'!$A$114,$BV$205^A60,IF(A60='Données projet'!$A$114,'Données projet'!$B$114,BY59+BX60-CG59)))</f>
        <v>238.19999999999996</v>
      </c>
      <c r="BZ60" s="14">
        <f>BY60*VLOOKUP('Données projet'!$B$12,Paramètres!$A$1:$I$89,3,0)*VLOOKUP('Données projet'!$B$12,Paramètres!$A$1:$I$89,5,0)</f>
        <v>208.09152</v>
      </c>
      <c r="CA60" s="14">
        <f t="shared" si="39"/>
        <v>51.518313464794097</v>
      </c>
      <c r="CB60" s="22">
        <f t="shared" si="10"/>
        <v>452.15379328451644</v>
      </c>
      <c r="CC60" s="62">
        <f t="shared" si="11"/>
        <v>745.48712661784975</v>
      </c>
      <c r="CD60" s="62">
        <f ca="1">AVERAGE(OFFSET($CC$3,0,0,'Données projet'!$E$12+1,1))-AVERAGE(OFFSET($H$3,0,0,'Données projet'!$E$12+1,1))</f>
        <v>248.60758320902863</v>
      </c>
      <c r="CE60" s="62">
        <f t="shared" si="40"/>
        <v>222.23585883330111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26.689997053773062</v>
      </c>
      <c r="CL60" s="23">
        <f>EXP(-LN(2)/25)*CL59+(1-EXP(-LN(2)/25))/(LN(2)/25)*Calculateur!CG60*Calculateur!CI60*VLOOKUP('Données projet'!$B$12,Paramètres!$A$1:$I$89,3,0)*0.475*44/12</f>
        <v>8.0763326871058805</v>
      </c>
      <c r="CM60" s="23">
        <f>EXP(-LN(2)/2)*CM59+(1-EXP(-LN(2)/2))/(LN(2)/2)*CG60*CJ60*VLOOKUP('Données projet'!$B$12,Paramètres!$A$1:$I$89,3,0)*0.475*44/12</f>
        <v>2.4058491856260544</v>
      </c>
      <c r="CN60" s="24">
        <f t="shared" si="12"/>
        <v>37.172178926504998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193.99999999999994</v>
      </c>
      <c r="CU60" s="18">
        <f>CT60*VLOOKUP('Données projet'!$B$13,Paramètres!$A$1:$I$89,3,0)*VLOOKUP('Données projet'!$B$13,Paramètres!$A$1:$I$89,5,0)</f>
        <v>105.92399999999998</v>
      </c>
      <c r="CV60" s="14">
        <f t="shared" si="41"/>
        <v>28.36854701055546</v>
      </c>
      <c r="CW60" s="22">
        <f t="shared" si="13"/>
        <v>233.89285271005073</v>
      </c>
      <c r="CX60" s="62">
        <f t="shared" si="14"/>
        <v>527.22618604338402</v>
      </c>
      <c r="CY60" s="62">
        <f ca="1">AVERAGE(OFFSET($CX$3,0,0,'Données projet'!$E$13+1,1))-AVERAGE(OFFSET($H$3,0,0,'Données projet'!$E$13+1,1))</f>
        <v>135.44138026609272</v>
      </c>
      <c r="CZ60" s="62">
        <f t="shared" si="42"/>
        <v>254.77247578425659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38.711301014129809</v>
      </c>
      <c r="DG60" s="23">
        <f>EXP(-LN(2)/25)*DG59+(1-EXP(-LN(2)/25))/(LN(2)/25)*Calculateur!DB60*Calculateur!DD60*VLOOKUP('Données projet'!$B$13,Paramètres!$A$1:$I$89,3,0)*0.475*44/12</f>
        <v>21.398302317970661</v>
      </c>
      <c r="DH60" s="23">
        <f>EXP(-LN(2)/2)*DH59+(1-EXP(-LN(2)/2))/(LN(2)/2)*DB60*DE60*VLOOKUP('Données projet'!$B$13,Paramètres!$A$1:$I$89,3,0)*0.475*44/12</f>
        <v>7.3413798482612584E-3</v>
      </c>
      <c r="DI60" s="24">
        <f t="shared" si="15"/>
        <v>60.116944711948733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9.6</v>
      </c>
      <c r="DO60" s="13">
        <f>IF('Données projet'!$A$166&gt;35,DO59+DN60-DW59,IF(A60&lt;'Données projet'!$A$166,$DL$205^A60,IF(A60='Données projet'!$A$166,'Données projet'!$B$166,DO59+DN60-DW59)))</f>
        <v>281.20000000000016</v>
      </c>
      <c r="DP60" s="18">
        <f>DO60*VLOOKUP('Données projet'!$B$14,Paramètres!$A$1:$I$89,3,0)*VLOOKUP('Données projet'!$B$14,Paramètres!$A$1:$I$89,5,0)</f>
        <v>271.9766400000002</v>
      </c>
      <c r="DQ60" s="14">
        <f t="shared" si="43"/>
        <v>65.268583932202489</v>
      </c>
      <c r="DR60" s="22">
        <f t="shared" si="16"/>
        <v>587.36876501525296</v>
      </c>
      <c r="DS60" s="62">
        <f t="shared" si="17"/>
        <v>880.70209834858633</v>
      </c>
      <c r="DT60" s="62">
        <f ca="1">AVERAGE(OFFSET($DS$3,0,0,'Données projet'!$E$14+1,1))-AVERAGE(OFFSET($H$3,0,0,'Données projet'!$E$14+1,1))</f>
        <v>271.09447278906288</v>
      </c>
      <c r="DU60" s="62">
        <f t="shared" si="44"/>
        <v>325.1094067861851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33.925699180300938</v>
      </c>
      <c r="EB60" s="23">
        <f>EXP(-LN(2)/25)*EB59+(1-EXP(-LN(2)/25))/(LN(2)/25)*Calculateur!DW60*Calculateur!DY60*VLOOKUP('Données projet'!$B$14,Paramètres!$A$1:$I$89,3,0)*0.475*44/12</f>
        <v>6.1529996533696334</v>
      </c>
      <c r="EC60" s="23">
        <f>EXP(-LN(2)/2)*EC59+(1-EXP(-LN(2)/2))/(LN(2)/2)*DW60*DZ60*VLOOKUP('Données projet'!$B$14,Paramètres!$A$1:$I$89,3,0)*0.475*44/12</f>
        <v>2.9103008554987673</v>
      </c>
      <c r="ED60" s="24">
        <f t="shared" si="18"/>
        <v>42.98899968916934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9.6</v>
      </c>
      <c r="EJ60" s="13">
        <f>IF('Données projet'!$A$192&gt;35,EJ59+EI60-ER59,IF(A60&lt;'Données projet'!$A$192,$EG$205^A60,IF(A60='Données projet'!$A$192,'Données projet'!$B$192,EJ59+EI60-ER59)))</f>
        <v>281.20000000000016</v>
      </c>
      <c r="EK60" s="18">
        <f>EJ60*VLOOKUP('Données projet'!$B$15,Paramètres!$A$1:$I$89,3,0)*VLOOKUP('Données projet'!$B$15,Paramètres!$A$1:$I$89,5,0)</f>
        <v>302.68368000000015</v>
      </c>
      <c r="EL60" s="14">
        <f t="shared" si="45"/>
        <v>71.73877394557104</v>
      </c>
      <c r="EM60" s="22">
        <f t="shared" si="19"/>
        <v>652.11910728853638</v>
      </c>
      <c r="EN60" s="62">
        <f t="shared" si="20"/>
        <v>945.45244062186975</v>
      </c>
      <c r="EO60" s="62">
        <f ca="1">AVERAGE(OFFSET($EN$3,0,0,'Données projet'!$E$15+1,1))-AVERAGE(OFFSET($H$3,0,0,'Données projet'!$E$15+1,1))</f>
        <v>306.50593475734655</v>
      </c>
      <c r="EP60" s="62">
        <f t="shared" si="46"/>
        <v>366.48643801375079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37.756020055496201</v>
      </c>
      <c r="EW60" s="23">
        <f>EXP(-LN(2)/25)*EW59+(1-EXP(-LN(2)/25))/(LN(2)/25)*Calculateur!ER60*Calculateur!ET60*VLOOKUP('Données projet'!$B$15,Paramètres!$A$1:$I$89,3,0)*0.475*44/12</f>
        <v>6.8476931626210469</v>
      </c>
      <c r="EX60" s="23">
        <f>EXP(-LN(2)/2)*EX59+(1-EXP(-LN(2)/2))/(LN(2)/2)*ER60*EU60*VLOOKUP('Données projet'!$B$15,Paramètres!$A$1:$I$89,3,0)*0.475*44/12</f>
        <v>3.2388832101518537</v>
      </c>
      <c r="EY60" s="24">
        <f t="shared" si="21"/>
        <v>47.842596428269104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42.525599999999947</v>
      </c>
      <c r="D61" s="12">
        <f t="shared" si="32"/>
        <v>12.665653491137919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426.03774624738003</v>
      </c>
      <c r="H61" s="70">
        <f t="shared" si="1"/>
        <v>389.4580998303984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9.4</v>
      </c>
      <c r="N61" s="14">
        <f>IF('Données projet'!$A$36&gt;35,N60+M61-V60,IF(A61&lt;'Données projet'!$A$36,$K$205^A61,IF(A61='Données projet'!$A$36,'Données projet'!$B$36,N60+M61-V60)))</f>
        <v>254.2</v>
      </c>
      <c r="O61" s="14">
        <f>N61*VLOOKUP('Données projet'!$B$9,Paramètres!$A$1:$I$89,3,0)*VLOOKUP('Données projet'!$B$9,Paramètres!$A$1:$I$89,5,0)</f>
        <v>230.00015999999997</v>
      </c>
      <c r="P61" s="14">
        <f t="shared" si="33"/>
        <v>56.282716126880423</v>
      </c>
      <c r="Q61" s="22">
        <f t="shared" si="53"/>
        <v>498.60934258765002</v>
      </c>
      <c r="R61" s="62">
        <f t="shared" si="0"/>
        <v>791.94267592098333</v>
      </c>
      <c r="S61" s="62">
        <f ca="1">AVERAGE(OFFSET($R$3,0,0,'Données projet'!$E$9+1,1))-AVERAGE(OFFSET($H$3,0,0,'Données projet'!$E$9+1,1))</f>
        <v>312.57314929661908</v>
      </c>
      <c r="T61" s="62">
        <f t="shared" si="34"/>
        <v>190.92100876773804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27.258327697761285</v>
      </c>
      <c r="AA61" s="23">
        <f>EXP(-LN(2)/25)*AA60+(1-EXP(-LN(2)/25))/(LN(2)/25)*Calculateur!V61*Calculateur!X61*VLOOKUP('Données projet'!$B$9,Paramètres!$A$1:$I$89,3,0)*0.475*44/12</f>
        <v>2.2502515036874704</v>
      </c>
      <c r="AB61" s="23">
        <f>EXP(-LN(2)/2)*AB60+(1-EXP(-LN(2)/2))/(LN(2)/2)*V61*Y61*VLOOKUP('Données projet'!$B$9,Paramètres!$A$1:$I$89,3,0)*0.475*44/12</f>
        <v>0.61915149480010567</v>
      </c>
      <c r="AC61" s="24">
        <f t="shared" si="3"/>
        <v>30.127730696248861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9.4</v>
      </c>
      <c r="AI61" s="14">
        <f>IF('Données projet'!$A$62&gt;35,AI60+AH61-AQ60,IF(A61&lt;'Données projet'!$A$62,$AF$205^A61,IF(A61='Données projet'!$A$62,'Données projet'!$B$62,AI60+AH61-AQ60)))</f>
        <v>254.2</v>
      </c>
      <c r="AJ61" s="14">
        <f>AI61*VLOOKUP('Données projet'!$B$10,Paramètres!$A$1:$I$89,3,0)*VLOOKUP('Données projet'!$B$10,Paramètres!$A$1:$I$89,5,0)</f>
        <v>257.75880000000001</v>
      </c>
      <c r="AK61" s="14">
        <f t="shared" si="35"/>
        <v>62.244404241627407</v>
      </c>
      <c r="AL61" s="22">
        <f t="shared" si="4"/>
        <v>557.33891405416773</v>
      </c>
      <c r="AM61" s="62">
        <f t="shared" si="5"/>
        <v>850.6722473875011</v>
      </c>
      <c r="AN61" s="62">
        <f ca="1">AVERAGE(OFFSET($AM$3,0,0,'Données projet'!$E$10+1,1))-AVERAGE(OFFSET($H$3,0,0,'Données projet'!$E$10+1,1))</f>
        <v>360.56293184044779</v>
      </c>
      <c r="AO61" s="62">
        <f t="shared" si="36"/>
        <v>219.32252911220542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30.548125868180751</v>
      </c>
      <c r="AV61" s="23">
        <f>EXP(-LN(2)/25)*AV60+(1-EXP(-LN(2)/25))/(LN(2)/25)*Calculateur!AQ61*Calculateur!AS61*VLOOKUP('Données projet'!$B$10,Paramètres!$A$1:$I$89,3,0)*0.475*44/12</f>
        <v>2.5218335817187172</v>
      </c>
      <c r="AW61" s="23">
        <f>EXP(-LN(2)/2)*AW60+(1-EXP(-LN(2)/2))/(LN(2)/2)*AQ61*AT61*VLOOKUP('Données projet'!$B$10,Paramètres!$A$1:$I$89,3,0)*0.475*44/12</f>
        <v>0.69387667520701501</v>
      </c>
      <c r="AX61" s="23">
        <f t="shared" si="6"/>
        <v>33.763836125106486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1.1368683772161603E-13</v>
      </c>
      <c r="BE61" s="14">
        <f>BD61*VLOOKUP('Données projet'!$B$11,Paramètres!$A$1:$I$89,3,0)*VLOOKUP('Données projet'!$B$11,Paramètres!$A$1:$I$89,5,0)</f>
        <v>8.3355189417488869E-14</v>
      </c>
      <c r="BF61" s="14">
        <f t="shared" si="37"/>
        <v>1.2790518435140618E-12</v>
      </c>
      <c r="BG61" s="22">
        <f t="shared" si="7"/>
        <v>2.3728589156891171E-12</v>
      </c>
      <c r="BH61" s="62">
        <f t="shared" si="8"/>
        <v>293.3333333333357</v>
      </c>
      <c r="BI61" s="62">
        <f ca="1">AVERAGE(OFFSET($BH$3,0,0,'Données projet'!$E$11+1,1))-AVERAGE(OFFSET($H$3,0,0,'Données projet'!$E$11+1,1))</f>
        <v>182.06733089745194</v>
      </c>
      <c r="BJ61" s="62">
        <f t="shared" si="38"/>
        <v>320.36755413886021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34.316485699089739</v>
      </c>
      <c r="BQ61" s="23">
        <f>EXP(-LN(2)/25)*BQ60+(1-EXP(-LN(2)/25))/(LN(2)/25)*Calculateur!BL61*Calculateur!BN61*VLOOKUP('Données projet'!$B$11,Paramètres!$A$1:$I$89,3,0)*0.475*44/12</f>
        <v>5.8463892014287406</v>
      </c>
      <c r="BR61" s="23">
        <f>EXP(-LN(2)/2)*BR60+(1-EXP(-LN(2)/2))/(LN(2)/2)*BL61*BO61*VLOOKUP('Données projet'!$B$11,Paramètres!$A$1:$I$89,3,0)*0.475*44/12</f>
        <v>4.5189462653205531E-2</v>
      </c>
      <c r="BS61" s="24">
        <f t="shared" si="9"/>
        <v>40.208064363171687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10.6</v>
      </c>
      <c r="BY61" s="13">
        <f>IF('Données projet'!$A$114&gt;35,BY60+BX61-CG60,IF(A61&lt;'Données projet'!$A$114,$BV$205^A61,IF(A61='Données projet'!$A$114,'Données projet'!$B$114,BY60+BX61-CG60)))</f>
        <v>248.79999999999995</v>
      </c>
      <c r="BZ61" s="14">
        <f>BY61*VLOOKUP('Données projet'!$B$12,Paramètres!$A$1:$I$89,3,0)*VLOOKUP('Données projet'!$B$12,Paramètres!$A$1:$I$89,5,0)</f>
        <v>217.35167999999996</v>
      </c>
      <c r="CA61" s="14">
        <f t="shared" si="39"/>
        <v>53.538881369907763</v>
      </c>
      <c r="CB61" s="22">
        <f t="shared" si="10"/>
        <v>471.8010610525892</v>
      </c>
      <c r="CC61" s="62">
        <f t="shared" si="11"/>
        <v>765.13439438592252</v>
      </c>
      <c r="CD61" s="62">
        <f ca="1">AVERAGE(OFFSET($CC$3,0,0,'Données projet'!$E$12+1,1))-AVERAGE(OFFSET($H$3,0,0,'Données projet'!$E$12+1,1))</f>
        <v>248.60758320902863</v>
      </c>
      <c r="CE61" s="62">
        <f t="shared" si="40"/>
        <v>222.23585883330111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26.16662249083933</v>
      </c>
      <c r="CL61" s="23">
        <f>EXP(-LN(2)/25)*CL60+(1-EXP(-LN(2)/25))/(LN(2)/25)*Calculateur!CG61*Calculateur!CI61*VLOOKUP('Données projet'!$B$12,Paramètres!$A$1:$I$89,3,0)*0.475*44/12</f>
        <v>7.8554849450610931</v>
      </c>
      <c r="CM61" s="23">
        <f>EXP(-LN(2)/2)*CM60+(1-EXP(-LN(2)/2))/(LN(2)/2)*CG61*CJ61*VLOOKUP('Données projet'!$B$12,Paramètres!$A$1:$I$89,3,0)*0.475*44/12</f>
        <v>1.701192273668316</v>
      </c>
      <c r="CN61" s="24">
        <f t="shared" si="12"/>
        <v>35.723299709568742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193.99999999999994</v>
      </c>
      <c r="CU61" s="18">
        <f>CT61*VLOOKUP('Données projet'!$B$13,Paramètres!$A$1:$I$89,3,0)*VLOOKUP('Données projet'!$B$13,Paramètres!$A$1:$I$89,5,0)</f>
        <v>105.92399999999998</v>
      </c>
      <c r="CV61" s="14">
        <f t="shared" si="41"/>
        <v>28.36854701055546</v>
      </c>
      <c r="CW61" s="22">
        <f t="shared" si="13"/>
        <v>233.89285271005073</v>
      </c>
      <c r="CX61" s="62">
        <f t="shared" si="14"/>
        <v>527.22618604338402</v>
      </c>
      <c r="CY61" s="62">
        <f ca="1">AVERAGE(OFFSET($CX$3,0,0,'Données projet'!$E$13+1,1))-AVERAGE(OFFSET($H$3,0,0,'Données projet'!$E$13+1,1))</f>
        <v>135.44138026609272</v>
      </c>
      <c r="CZ61" s="62">
        <f t="shared" si="42"/>
        <v>254.77247578425659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37.952196012804897</v>
      </c>
      <c r="DG61" s="23">
        <f>EXP(-LN(2)/25)*DG60+(1-EXP(-LN(2)/25))/(LN(2)/25)*Calculateur!DB61*Calculateur!DD61*VLOOKUP('Données projet'!$B$13,Paramètres!$A$1:$I$89,3,0)*0.475*44/12</f>
        <v>20.813164615797941</v>
      </c>
      <c r="DH61" s="23">
        <f>EXP(-LN(2)/2)*DH60+(1-EXP(-LN(2)/2))/(LN(2)/2)*DB61*DE61*VLOOKUP('Données projet'!$B$13,Paramètres!$A$1:$I$89,3,0)*0.475*44/12</f>
        <v>5.1911394739718036E-3</v>
      </c>
      <c r="DI61" s="24">
        <f t="shared" si="15"/>
        <v>58.770551768076807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9.6</v>
      </c>
      <c r="DO61" s="13">
        <f>IF('Données projet'!$A$166&gt;35,DO60+DN61-DW60,IF(A61&lt;'Données projet'!$A$166,$DL$205^A61,IF(A61='Données projet'!$A$166,'Données projet'!$B$166,DO60+DN61-DW60)))</f>
        <v>290.80000000000018</v>
      </c>
      <c r="DP61" s="18">
        <f>DO61*VLOOKUP('Données projet'!$B$14,Paramètres!$A$1:$I$89,3,0)*VLOOKUP('Données projet'!$B$14,Paramètres!$A$1:$I$89,5,0)</f>
        <v>281.26176000000015</v>
      </c>
      <c r="DQ61" s="14">
        <f t="shared" si="43"/>
        <v>67.233585225232389</v>
      </c>
      <c r="DR61" s="22">
        <f t="shared" si="16"/>
        <v>606.96272626727989</v>
      </c>
      <c r="DS61" s="62">
        <f t="shared" si="17"/>
        <v>900.29605960061326</v>
      </c>
      <c r="DT61" s="62">
        <f ca="1">AVERAGE(OFFSET($DS$3,0,0,'Données projet'!$E$14+1,1))-AVERAGE(OFFSET($H$3,0,0,'Données projet'!$E$14+1,1))</f>
        <v>271.09447278906288</v>
      </c>
      <c r="DU61" s="62">
        <f t="shared" si="44"/>
        <v>325.1094067861851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33.260436912008508</v>
      </c>
      <c r="EB61" s="23">
        <f>EXP(-LN(2)/25)*EB60+(1-EXP(-LN(2)/25))/(LN(2)/25)*Calculateur!DW61*Calculateur!DY61*VLOOKUP('Données projet'!$B$14,Paramètres!$A$1:$I$89,3,0)*0.475*44/12</f>
        <v>5.9847455542760519</v>
      </c>
      <c r="EC61" s="23">
        <f>EXP(-LN(2)/2)*EC60+(1-EXP(-LN(2)/2))/(LN(2)/2)*DW61*DZ61*VLOOKUP('Données projet'!$B$14,Paramètres!$A$1:$I$89,3,0)*0.475*44/12</f>
        <v>2.0578934702161891</v>
      </c>
      <c r="ED61" s="24">
        <f t="shared" si="18"/>
        <v>41.303075936500747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9.6</v>
      </c>
      <c r="EJ61" s="13">
        <f>IF('Données projet'!$A$192&gt;35,EJ60+EI61-ER60,IF(A61&lt;'Données projet'!$A$192,$EG$205^A61,IF(A61='Données projet'!$A$192,'Données projet'!$B$192,EJ60+EI61-ER60)))</f>
        <v>290.80000000000018</v>
      </c>
      <c r="EK61" s="18">
        <f>EJ61*VLOOKUP('Données projet'!$B$15,Paramètres!$A$1:$I$89,3,0)*VLOOKUP('Données projet'!$B$15,Paramètres!$A$1:$I$89,5,0)</f>
        <v>313.01712000000015</v>
      </c>
      <c r="EL61" s="14">
        <f t="shared" si="45"/>
        <v>73.898569287689384</v>
      </c>
      <c r="EM61" s="22">
        <f t="shared" si="19"/>
        <v>673.87815884272584</v>
      </c>
      <c r="EN61" s="62">
        <f t="shared" si="20"/>
        <v>967.21149217605921</v>
      </c>
      <c r="EO61" s="62">
        <f ca="1">AVERAGE(OFFSET($EN$3,0,0,'Données projet'!$E$15+1,1))-AVERAGE(OFFSET($H$3,0,0,'Données projet'!$E$15+1,1))</f>
        <v>306.50593475734655</v>
      </c>
      <c r="EP61" s="62">
        <f t="shared" si="46"/>
        <v>366.48643801375079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37.015647531106239</v>
      </c>
      <c r="EW61" s="23">
        <f>EXP(-LN(2)/25)*EW60+(1-EXP(-LN(2)/25))/(LN(2)/25)*Calculateur!ER61*Calculateur!ET61*VLOOKUP('Données projet'!$B$15,Paramètres!$A$1:$I$89,3,0)*0.475*44/12</f>
        <v>6.6604426329846413</v>
      </c>
      <c r="EX61" s="23">
        <f>EXP(-LN(2)/2)*EX60+(1-EXP(-LN(2)/2))/(LN(2)/2)*ER61*EU61*VLOOKUP('Données projet'!$B$15,Paramètres!$A$1:$I$89,3,0)*0.475*44/12</f>
        <v>2.2902362813696295</v>
      </c>
      <c r="EY61" s="24">
        <f t="shared" si="21"/>
        <v>45.96632644546051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43.258799999999944</v>
      </c>
      <c r="D62" s="12">
        <f t="shared" si="32"/>
        <v>12.858415781906336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433.18552533401339</v>
      </c>
      <c r="H62" s="70">
        <f t="shared" si="1"/>
        <v>391.07081748682009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9.4</v>
      </c>
      <c r="N62" s="14">
        <f>IF('Données projet'!$A$36&gt;35,N61+M62-V61,IF(A62&lt;'Données projet'!$A$36,$K$205^A62,IF(A62='Données projet'!$A$36,'Données projet'!$B$36,N61+M62-V61)))</f>
        <v>263.59999999999997</v>
      </c>
      <c r="O62" s="14">
        <f>N62*VLOOKUP('Données projet'!$B$9,Paramètres!$A$1:$I$89,3,0)*VLOOKUP('Données projet'!$B$9,Paramètres!$A$1:$I$89,5,0)</f>
        <v>238.50527999999997</v>
      </c>
      <c r="P62" s="14">
        <f t="shared" si="33"/>
        <v>58.117817352909881</v>
      </c>
      <c r="Q62" s="22">
        <f t="shared" si="53"/>
        <v>516.61856122298457</v>
      </c>
      <c r="R62" s="62">
        <f t="shared" si="0"/>
        <v>809.95189455631794</v>
      </c>
      <c r="S62" s="62">
        <f ca="1">AVERAGE(OFFSET($R$3,0,0,'Données projet'!$E$9+1,1))-AVERAGE(OFFSET($H$3,0,0,'Données projet'!$E$9+1,1))</f>
        <v>312.57314929661908</v>
      </c>
      <c r="T62" s="62">
        <f t="shared" si="34"/>
        <v>190.92100876773804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26.723808517546406</v>
      </c>
      <c r="AA62" s="23">
        <f>EXP(-LN(2)/25)*AA61+(1-EXP(-LN(2)/25))/(LN(2)/25)*Calculateur!V62*Calculateur!X62*VLOOKUP('Données projet'!$B$9,Paramètres!$A$1:$I$89,3,0)*0.475*44/12</f>
        <v>2.1887182579835529</v>
      </c>
      <c r="AB62" s="23">
        <f>EXP(-LN(2)/2)*AB61+(1-EXP(-LN(2)/2))/(LN(2)/2)*V62*Y62*VLOOKUP('Données projet'!$B$9,Paramètres!$A$1:$I$89,3,0)*0.475*44/12</f>
        <v>0.43780622055494217</v>
      </c>
      <c r="AC62" s="24">
        <f t="shared" si="3"/>
        <v>29.350332996084902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9.4</v>
      </c>
      <c r="AI62" s="14">
        <f>IF('Données projet'!$A$62&gt;35,AI61+AH62-AQ61,IF(A62&lt;'Données projet'!$A$62,$AF$205^A62,IF(A62='Données projet'!$A$62,'Données projet'!$B$62,AI61+AH62-AQ61)))</f>
        <v>263.59999999999997</v>
      </c>
      <c r="AJ62" s="14">
        <f>AI62*VLOOKUP('Données projet'!$B$10,Paramètres!$A$1:$I$89,3,0)*VLOOKUP('Données projet'!$B$10,Paramètres!$A$1:$I$89,5,0)</f>
        <v>267.29039999999998</v>
      </c>
      <c r="AK62" s="14">
        <f t="shared" si="35"/>
        <v>64.273886654661325</v>
      </c>
      <c r="AL62" s="22">
        <f t="shared" si="4"/>
        <v>577.47446592353515</v>
      </c>
      <c r="AM62" s="62">
        <f t="shared" si="5"/>
        <v>870.80779925686852</v>
      </c>
      <c r="AN62" s="62">
        <f ca="1">AVERAGE(OFFSET($AM$3,0,0,'Données projet'!$E$10+1,1))-AVERAGE(OFFSET($H$3,0,0,'Données projet'!$E$10+1,1))</f>
        <v>360.56293184044779</v>
      </c>
      <c r="AO62" s="62">
        <f t="shared" si="36"/>
        <v>219.32252911220542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29.949095752422696</v>
      </c>
      <c r="AV62" s="23">
        <f>EXP(-LN(2)/25)*AV61+(1-EXP(-LN(2)/25))/(LN(2)/25)*Calculateur!AQ62*Calculateur!AS62*VLOOKUP('Données projet'!$B$10,Paramètres!$A$1:$I$89,3,0)*0.475*44/12</f>
        <v>2.4528739098091545</v>
      </c>
      <c r="AW62" s="23">
        <f>EXP(-LN(2)/2)*AW61+(1-EXP(-LN(2)/2))/(LN(2)/2)*AQ62*AT62*VLOOKUP('Données projet'!$B$10,Paramètres!$A$1:$I$89,3,0)*0.475*44/12</f>
        <v>0.4906449023460559</v>
      </c>
      <c r="AX62" s="23">
        <f t="shared" si="6"/>
        <v>32.892614564577904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1.1368683772161603E-13</v>
      </c>
      <c r="BE62" s="14">
        <f>BD62*VLOOKUP('Données projet'!$B$11,Paramètres!$A$1:$I$89,3,0)*VLOOKUP('Données projet'!$B$11,Paramètres!$A$1:$I$89,5,0)</f>
        <v>8.3355189417488869E-14</v>
      </c>
      <c r="BF62" s="14">
        <f t="shared" si="37"/>
        <v>1.2790518435140618E-12</v>
      </c>
      <c r="BG62" s="22">
        <f t="shared" si="7"/>
        <v>2.3728589156891171E-12</v>
      </c>
      <c r="BH62" s="62">
        <f t="shared" si="8"/>
        <v>293.3333333333357</v>
      </c>
      <c r="BI62" s="62">
        <f ca="1">AVERAGE(OFFSET($BH$3,0,0,'Données projet'!$E$11+1,1))-AVERAGE(OFFSET($H$3,0,0,'Données projet'!$E$11+1,1))</f>
        <v>182.06733089745194</v>
      </c>
      <c r="BJ62" s="62">
        <f t="shared" si="38"/>
        <v>320.36755413886021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33.6435603455201</v>
      </c>
      <c r="BQ62" s="23">
        <f>EXP(-LN(2)/25)*BQ61+(1-EXP(-LN(2)/25))/(LN(2)/25)*Calculateur!BL62*Calculateur!BN62*VLOOKUP('Données projet'!$B$11,Paramètres!$A$1:$I$89,3,0)*0.475*44/12</f>
        <v>5.6865193812674253</v>
      </c>
      <c r="BR62" s="23">
        <f>EXP(-LN(2)/2)*BR61+(1-EXP(-LN(2)/2))/(LN(2)/2)*BL62*BO62*VLOOKUP('Données projet'!$B$11,Paramètres!$A$1:$I$89,3,0)*0.475*44/12</f>
        <v>3.1953775480257865E-2</v>
      </c>
      <c r="BS62" s="24">
        <f t="shared" si="9"/>
        <v>39.362033502267785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10.6</v>
      </c>
      <c r="BY62" s="13">
        <f>IF('Données projet'!$A$114&gt;35,BY61+BX62-CG61,IF(A62&lt;'Données projet'!$A$114,$BV$205^A62,IF(A62='Données projet'!$A$114,'Données projet'!$B$114,BY61+BX62-CG61)))</f>
        <v>259.39999999999998</v>
      </c>
      <c r="BZ62" s="14">
        <f>BY62*VLOOKUP('Données projet'!$B$12,Paramètres!$A$1:$I$89,3,0)*VLOOKUP('Données projet'!$B$12,Paramètres!$A$1:$I$89,5,0)</f>
        <v>226.61184000000003</v>
      </c>
      <c r="CA62" s="14">
        <f t="shared" si="39"/>
        <v>55.549450558262414</v>
      </c>
      <c r="CB62" s="22">
        <f t="shared" si="10"/>
        <v>491.4309143889738</v>
      </c>
      <c r="CC62" s="62">
        <f t="shared" si="11"/>
        <v>784.76424772230712</v>
      </c>
      <c r="CD62" s="62">
        <f ca="1">AVERAGE(OFFSET($CC$3,0,0,'Données projet'!$E$12+1,1))-AVERAGE(OFFSET($H$3,0,0,'Données projet'!$E$12+1,1))</f>
        <v>248.60758320902863</v>
      </c>
      <c r="CE62" s="62">
        <f t="shared" si="40"/>
        <v>222.23585883330111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25.653510983857764</v>
      </c>
      <c r="CL62" s="23">
        <f>EXP(-LN(2)/25)*CL61+(1-EXP(-LN(2)/25))/(LN(2)/25)*Calculateur!CG62*Calculateur!CI62*VLOOKUP('Données projet'!$B$12,Paramètres!$A$1:$I$89,3,0)*0.475*44/12</f>
        <v>7.6406762961363981</v>
      </c>
      <c r="CM62" s="23">
        <f>EXP(-LN(2)/2)*CM61+(1-EXP(-LN(2)/2))/(LN(2)/2)*CG62*CJ62*VLOOKUP('Données projet'!$B$12,Paramètres!$A$1:$I$89,3,0)*0.475*44/12</f>
        <v>1.2029245928130272</v>
      </c>
      <c r="CN62" s="24">
        <f t="shared" si="12"/>
        <v>34.497111872807189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193.99999999999994</v>
      </c>
      <c r="CU62" s="18">
        <f>CT62*VLOOKUP('Données projet'!$B$13,Paramètres!$A$1:$I$89,3,0)*VLOOKUP('Données projet'!$B$13,Paramètres!$A$1:$I$89,5,0)</f>
        <v>105.92399999999998</v>
      </c>
      <c r="CV62" s="14">
        <f t="shared" si="41"/>
        <v>28.36854701055546</v>
      </c>
      <c r="CW62" s="22">
        <f t="shared" si="13"/>
        <v>233.89285271005073</v>
      </c>
      <c r="CX62" s="62">
        <f t="shared" si="14"/>
        <v>527.22618604338402</v>
      </c>
      <c r="CY62" s="62">
        <f ca="1">AVERAGE(OFFSET($CX$3,0,0,'Données projet'!$E$13+1,1))-AVERAGE(OFFSET($H$3,0,0,'Données projet'!$E$13+1,1))</f>
        <v>135.44138026609272</v>
      </c>
      <c r="CZ62" s="62">
        <f t="shared" si="42"/>
        <v>254.77247578425659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37.207976597547635</v>
      </c>
      <c r="DG62" s="23">
        <f>EXP(-LN(2)/25)*DG61+(1-EXP(-LN(2)/25))/(LN(2)/25)*Calculateur!DB62*Calculateur!DD62*VLOOKUP('Données projet'!$B$13,Paramètres!$A$1:$I$89,3,0)*0.475*44/12</f>
        <v>20.244027534862187</v>
      </c>
      <c r="DH62" s="23">
        <f>EXP(-LN(2)/2)*DH61+(1-EXP(-LN(2)/2))/(LN(2)/2)*DB62*DE62*VLOOKUP('Données projet'!$B$13,Paramètres!$A$1:$I$89,3,0)*0.475*44/12</f>
        <v>3.6706899241306296E-3</v>
      </c>
      <c r="DI62" s="24">
        <f t="shared" si="15"/>
        <v>57.455674822333954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9.6</v>
      </c>
      <c r="DO62" s="13">
        <f>IF('Données projet'!$A$166&gt;35,DO61+DN62-DW61,IF(A62&lt;'Données projet'!$A$166,$DL$205^A62,IF(A62='Données projet'!$A$166,'Données projet'!$B$166,DO61+DN62-DW61)))</f>
        <v>300.4000000000002</v>
      </c>
      <c r="DP62" s="18">
        <f>DO62*VLOOKUP('Données projet'!$B$14,Paramètres!$A$1:$I$89,3,0)*VLOOKUP('Données projet'!$B$14,Paramètres!$A$1:$I$89,5,0)</f>
        <v>290.54688000000021</v>
      </c>
      <c r="DQ62" s="14">
        <f t="shared" si="43"/>
        <v>69.191048766267073</v>
      </c>
      <c r="DR62" s="22">
        <f t="shared" si="16"/>
        <v>626.5435592679155</v>
      </c>
      <c r="DS62" s="62">
        <f t="shared" si="17"/>
        <v>919.87689260124876</v>
      </c>
      <c r="DT62" s="62">
        <f ca="1">AVERAGE(OFFSET($DS$3,0,0,'Données projet'!$E$14+1,1))-AVERAGE(OFFSET($H$3,0,0,'Données projet'!$E$14+1,1))</f>
        <v>271.09447278906288</v>
      </c>
      <c r="DU62" s="62">
        <f t="shared" si="44"/>
        <v>325.1094067861851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32.608220031027379</v>
      </c>
      <c r="EB62" s="23">
        <f>EXP(-LN(2)/25)*EB61+(1-EXP(-LN(2)/25))/(LN(2)/25)*Calculateur!DW62*Calculateur!DY62*VLOOKUP('Données projet'!$B$14,Paramètres!$A$1:$I$89,3,0)*0.475*44/12</f>
        <v>5.8210923723702832</v>
      </c>
      <c r="EC62" s="23">
        <f>EXP(-LN(2)/2)*EC61+(1-EXP(-LN(2)/2))/(LN(2)/2)*DW62*DZ62*VLOOKUP('Données projet'!$B$14,Paramètres!$A$1:$I$89,3,0)*0.475*44/12</f>
        <v>1.4551504277493839</v>
      </c>
      <c r="ED62" s="24">
        <f t="shared" si="18"/>
        <v>39.88446283114704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9.6</v>
      </c>
      <c r="EJ62" s="13">
        <f>IF('Données projet'!$A$192&gt;35,EJ61+EI62-ER61,IF(A62&lt;'Données projet'!$A$192,$EG$205^A62,IF(A62='Données projet'!$A$192,'Données projet'!$B$192,EJ61+EI62-ER61)))</f>
        <v>300.4000000000002</v>
      </c>
      <c r="EK62" s="18">
        <f>EJ62*VLOOKUP('Données projet'!$B$15,Paramètres!$A$1:$I$89,3,0)*VLOOKUP('Données projet'!$B$15,Paramètres!$A$1:$I$89,5,0)</f>
        <v>323.3505600000002</v>
      </c>
      <c r="EL62" s="14">
        <f t="shared" si="45"/>
        <v>76.050079647142809</v>
      </c>
      <c r="EM62" s="22">
        <f t="shared" si="19"/>
        <v>695.62278071877392</v>
      </c>
      <c r="EN62" s="62">
        <f t="shared" si="20"/>
        <v>988.9561140521073</v>
      </c>
      <c r="EO62" s="62">
        <f ca="1">AVERAGE(OFFSET($EN$3,0,0,'Données projet'!$E$15+1,1))-AVERAGE(OFFSET($H$3,0,0,'Données projet'!$E$15+1,1))</f>
        <v>306.50593475734655</v>
      </c>
      <c r="EP62" s="62">
        <f t="shared" si="46"/>
        <v>366.48643801375079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36.289793260336914</v>
      </c>
      <c r="EW62" s="23">
        <f>EXP(-LN(2)/25)*EW61+(1-EXP(-LN(2)/25))/(LN(2)/25)*Calculateur!ER62*Calculateur!ET62*VLOOKUP('Données projet'!$B$15,Paramètres!$A$1:$I$89,3,0)*0.475*44/12</f>
        <v>6.4783124789282205</v>
      </c>
      <c r="EX62" s="23">
        <f>EXP(-LN(2)/2)*EX61+(1-EXP(-LN(2)/2))/(LN(2)/2)*ER62*EU62*VLOOKUP('Données projet'!$B$15,Paramètres!$A$1:$I$89,3,0)*0.475*44/12</f>
        <v>1.619441605075927</v>
      </c>
      <c r="EY62" s="24">
        <f t="shared" si="21"/>
        <v>44.387547344341066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43.99199999999994</v>
      </c>
      <c r="D63" s="12">
        <f t="shared" si="32"/>
        <v>13.050798131206863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440.33037153914029</v>
      </c>
      <c r="H63" s="70">
        <f t="shared" si="1"/>
        <v>392.6828734118518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273</v>
      </c>
      <c r="L63" s="13">
        <f>VLOOKUP(A63,'Données projet'!$A$35:$I$55,9,0)</f>
        <v>9.4</v>
      </c>
      <c r="M63" s="13">
        <f t="array" ref="M63">INDEX(L:L,MIN(IF(ISNUMBER(L63:L259),ROW(L63:L259),"")))</f>
        <v>9.4</v>
      </c>
      <c r="N63" s="14">
        <f>IF('Données projet'!$A$36&gt;35,N62+M63-V62,IF(A63&lt;'Données projet'!$A$36,$K$205^A63,IF(A63='Données projet'!$A$36,'Données projet'!$B$36,N62+M63-V62)))</f>
        <v>272.99999999999994</v>
      </c>
      <c r="O63" s="14">
        <f>N63*VLOOKUP('Données projet'!$B$9,Paramètres!$A$1:$I$89,3,0)*VLOOKUP('Données projet'!$B$9,Paramètres!$A$1:$I$89,5,0)</f>
        <v>247.01039999999992</v>
      </c>
      <c r="P63" s="14">
        <f t="shared" si="33"/>
        <v>59.945315462121812</v>
      </c>
      <c r="Q63" s="22">
        <f t="shared" si="53"/>
        <v>534.61453776319524</v>
      </c>
      <c r="R63" s="62">
        <f t="shared" si="0"/>
        <v>827.94787109652862</v>
      </c>
      <c r="S63" s="62">
        <f ca="1">AVERAGE(OFFSET($R$3,0,0,'Données projet'!$E$9+1,1))-AVERAGE(OFFSET($H$3,0,0,'Données projet'!$E$9+1,1))</f>
        <v>312.57314929661908</v>
      </c>
      <c r="T63" s="62">
        <f t="shared" si="34"/>
        <v>190.92100876773804</v>
      </c>
      <c r="U63" s="16">
        <f>IF(ISNA(VLOOKUP(A63,'Données projet'!$A$35:$I$55,3,0)),0,VLOOKUP(A63,'Données projet'!$A$35:$I$55,3,0))</f>
        <v>9</v>
      </c>
      <c r="V63" s="16">
        <f>IF(ISNA(VLOOKUP(A63,'Données projet'!$A$35:$I$55,4,0)),0,VLOOKUP(A63,'Données projet'!$A$35:$I$55,4,0))</f>
        <v>28</v>
      </c>
      <c r="W63" s="17">
        <f>IF(ISNA(VLOOKUP(A63,'Données projet'!$A$35:$I$55,5,0)),0%,VLOOKUP(A63,'Données projet'!$A$35:$I$55,5,0)*VLOOKUP('Données projet'!$B$9,Paramètres!$A$1:$I$89,7,0))</f>
        <v>0.34400000000000003</v>
      </c>
      <c r="X63" s="17">
        <f>IF(ISNA(VLOOKUP(A63,'Données projet'!$A$35:$I$55,6,0)),0%,VLOOKUP(A63,'Données projet'!$A$35:$I$55,6,0)*VLOOKUP('Données projet'!$B$9,Paramètres!$A$1:$I$89,7,0))</f>
        <v>1.72E-2</v>
      </c>
      <c r="Y63" s="17">
        <f>IF(ISNA(VLOOKUP(A63,'Données projet'!$A$35:$I$55,7,0)),0%,VLOOKUP(A63,'Données projet'!$A$35:$I$55,7,0))</f>
        <v>0.06</v>
      </c>
      <c r="Z63" s="23">
        <f>EXP(-LN(2)/35)*Z62+(1-EXP(-LN(2)/35))/(LN(2)/35)*V63*W63*VLOOKUP('Données projet'!$B$9,Paramètres!$A$1:$I$89,3,0)*0.475*44/12</f>
        <v>35.833982433865444</v>
      </c>
      <c r="AA63" s="23">
        <f>EXP(-LN(2)/25)*AA62+(1-EXP(-LN(2)/25))/(LN(2)/25)*Calculateur!V63*Calculateur!X63*VLOOKUP('Données projet'!$B$9,Paramètres!$A$1:$I$89,3,0)*0.475*44/12</f>
        <v>2.608681539110846</v>
      </c>
      <c r="AB63" s="23">
        <f>EXP(-LN(2)/2)*AB62+(1-EXP(-LN(2)/2))/(LN(2)/2)*V63*Y63*VLOOKUP('Données projet'!$B$9,Paramètres!$A$1:$I$89,3,0)*0.475*44/12</f>
        <v>1.7437970433227776</v>
      </c>
      <c r="AC63" s="24">
        <f t="shared" si="3"/>
        <v>40.18646101629907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273</v>
      </c>
      <c r="AG63" s="13">
        <f>VLOOKUP(A63,'Données projet'!$A$61:$I$81,9,0)</f>
        <v>9.4</v>
      </c>
      <c r="AH63" s="13">
        <f t="array" ref="AH63">INDEX(AG:AG,MIN(IF(ISNUMBER(AG63:AG259),ROW(AG63:AG259),"")))</f>
        <v>9.4</v>
      </c>
      <c r="AI63" s="14">
        <f>IF('Données projet'!$A$62&gt;35,AI62+AH63-AQ62,IF(A63&lt;'Données projet'!$A$62,$AF$205^A63,IF(A63='Données projet'!$A$62,'Données projet'!$B$62,AI62+AH63-AQ62)))</f>
        <v>272.99999999999994</v>
      </c>
      <c r="AJ63" s="14">
        <f>AI63*VLOOKUP('Données projet'!$B$10,Paramètres!$A$1:$I$89,3,0)*VLOOKUP('Données projet'!$B$10,Paramètres!$A$1:$I$89,5,0)</f>
        <v>276.82199999999995</v>
      </c>
      <c r="AK63" s="14">
        <f t="shared" si="35"/>
        <v>66.29496059864374</v>
      </c>
      <c r="AL63" s="22">
        <f t="shared" si="4"/>
        <v>597.59537304263779</v>
      </c>
      <c r="AM63" s="62">
        <f t="shared" si="5"/>
        <v>890.92870637597116</v>
      </c>
      <c r="AN63" s="62">
        <f ca="1">AVERAGE(OFFSET($AM$3,0,0,'Données projet'!$E$10+1,1))-AVERAGE(OFFSET($H$3,0,0,'Données projet'!$E$10+1,1))</f>
        <v>360.56293184044779</v>
      </c>
      <c r="AO63" s="62">
        <f t="shared" si="36"/>
        <v>219.32252911220542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28</v>
      </c>
      <c r="AR63" s="17">
        <f>IF(ISNA(VLOOKUP(A63,'Données projet'!$A$61:$I$81,5,0)),0%,VLOOKUP(A63,'Données projet'!$A$61:$I$81,5,0)*VLOOKUP('Données projet'!$B$10,Paramètres!$A$1:$I$89,7,0))</f>
        <v>0.34400000000000003</v>
      </c>
      <c r="AS63" s="17">
        <f>IF(ISNA(VLOOKUP(A63,'Données projet'!$A$61:$I$81,6,0)),0%,VLOOKUP(A63,'Données projet'!$A$61:$I$81,6,0)*VLOOKUP('Données projet'!$B$10,Paramètres!$A$1:$I$89,7,0))</f>
        <v>1.72E-2</v>
      </c>
      <c r="AT63" s="17">
        <f>IF(ISNA(VLOOKUP(A63,'Données projet'!$A$61:$I$81,7,0)),0%,VLOOKUP(A63,'Données projet'!$A$61:$I$81,7,0))</f>
        <v>0.06</v>
      </c>
      <c r="AU63" s="23">
        <f>EXP(-LN(2)/35)*AU62+(1-EXP(-LN(2)/35))/(LN(2)/35)*AQ63*AR63*VLOOKUP('Données projet'!$B$10,Paramètres!$A$1:$I$89,3,0)*0.475*44/12</f>
        <v>40.158773417262999</v>
      </c>
      <c r="AV63" s="23">
        <f>EXP(-LN(2)/25)*AV62+(1-EXP(-LN(2)/25))/(LN(2)/25)*Calculateur!AQ63*Calculateur!AS63*VLOOKUP('Données projet'!$B$10,Paramètres!$A$1:$I$89,3,0)*0.475*44/12</f>
        <v>2.9235224145207761</v>
      </c>
      <c r="AW63" s="23">
        <f>EXP(-LN(2)/2)*AW62+(1-EXP(-LN(2)/2))/(LN(2)/2)*AQ63*AT63*VLOOKUP('Données projet'!$B$10,Paramètres!$A$1:$I$89,3,0)*0.475*44/12</f>
        <v>1.9542553071720785</v>
      </c>
      <c r="AX63" s="23">
        <f t="shared" si="6"/>
        <v>45.036551138955851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1.1368683772161603E-13</v>
      </c>
      <c r="BE63" s="14">
        <f>BD63*VLOOKUP('Données projet'!$B$11,Paramètres!$A$1:$I$89,3,0)*VLOOKUP('Données projet'!$B$11,Paramètres!$A$1:$I$89,5,0)</f>
        <v>8.3355189417488869E-14</v>
      </c>
      <c r="BF63" s="14">
        <f t="shared" si="37"/>
        <v>1.2790518435140618E-12</v>
      </c>
      <c r="BG63" s="22">
        <f t="shared" si="7"/>
        <v>2.3728589156891171E-12</v>
      </c>
      <c r="BH63" s="62">
        <f t="shared" si="8"/>
        <v>293.3333333333357</v>
      </c>
      <c r="BI63" s="62">
        <f ca="1">AVERAGE(OFFSET($BH$3,0,0,'Données projet'!$E$11+1,1))-AVERAGE(OFFSET($H$3,0,0,'Données projet'!$E$11+1,1))</f>
        <v>182.06733089745194</v>
      </c>
      <c r="BJ63" s="62">
        <f t="shared" si="38"/>
        <v>320.36755413886021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32.983830647690027</v>
      </c>
      <c r="BQ63" s="23">
        <f>EXP(-LN(2)/25)*BQ62+(1-EXP(-LN(2)/25))/(LN(2)/25)*Calculateur!BL63*Calculateur!BN63*VLOOKUP('Données projet'!$B$11,Paramètres!$A$1:$I$89,3,0)*0.475*44/12</f>
        <v>5.5310212097456102</v>
      </c>
      <c r="BR63" s="23">
        <f>EXP(-LN(2)/2)*BR62+(1-EXP(-LN(2)/2))/(LN(2)/2)*BL63*BO63*VLOOKUP('Données projet'!$B$11,Paramètres!$A$1:$I$89,3,0)*0.475*44/12</f>
        <v>2.2594731326602766E-2</v>
      </c>
      <c r="BS63" s="24">
        <f t="shared" si="9"/>
        <v>38.537446588762243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270</v>
      </c>
      <c r="BW63" s="13">
        <f>VLOOKUP(A63,'Données projet'!$A$113:$I$133,9,0)</f>
        <v>10.6</v>
      </c>
      <c r="BX63" s="13">
        <f t="array" ref="BX63">INDEX(BW:BW,MIN(IF(ISNUMBER(BW63:BW259),ROW(BW63:BW259),"")))</f>
        <v>10.6</v>
      </c>
      <c r="BY63" s="13">
        <f>IF('Données projet'!$A$114&gt;35,BY62+BX63-CG62,IF(A63&lt;'Données projet'!$A$114,$BV$205^A63,IF(A63='Données projet'!$A$114,'Données projet'!$B$114,BY62+BX63-CG62)))</f>
        <v>270</v>
      </c>
      <c r="BZ63" s="14">
        <f>BY63*VLOOKUP('Données projet'!$B$12,Paramètres!$A$1:$I$89,3,0)*VLOOKUP('Données projet'!$B$12,Paramètres!$A$1:$I$89,5,0)</f>
        <v>235.87200000000004</v>
      </c>
      <c r="CA63" s="14">
        <f t="shared" si="39"/>
        <v>57.550476347015277</v>
      </c>
      <c r="CB63" s="22">
        <f t="shared" si="10"/>
        <v>511.04414630438492</v>
      </c>
      <c r="CC63" s="62">
        <f t="shared" si="11"/>
        <v>804.37747963771824</v>
      </c>
      <c r="CD63" s="62">
        <f ca="1">AVERAGE(OFFSET($CC$3,0,0,'Données projet'!$E$12+1,1))-AVERAGE(OFFSET($H$3,0,0,'Données projet'!$E$12+1,1))</f>
        <v>248.60758320902863</v>
      </c>
      <c r="CE63" s="62">
        <f t="shared" si="40"/>
        <v>222.23585883330111</v>
      </c>
      <c r="CF63" s="16">
        <f>IF(ISNA(VLOOKUP(A63,'Données projet'!$A$113:$I$133,3,0)),0,VLOOKUP(A63,'Données projet'!$A$113:$I$133,3,0))</f>
        <v>9</v>
      </c>
      <c r="CG63" s="16">
        <f>IF(ISNA(VLOOKUP(A63,'Données projet'!$A$113:$I$133,4,0)),0,VLOOKUP(A63,'Données projet'!$A$113:$I$133,4,0))</f>
        <v>31</v>
      </c>
      <c r="CH63" s="17">
        <f>IF(ISNA(VLOOKUP(A63,'Données projet'!$A$113:$I$133,5,0)),0%,VLOOKUP(A63,'Données projet'!$A$113:$I$133,5,0)*VLOOKUP('Données projet'!$B$12,Paramètres!$A$1:$I$89,7,0))</f>
        <v>0.215</v>
      </c>
      <c r="CI63" s="17">
        <f>IF(ISNA(VLOOKUP(A63,'Données projet'!$A$113:$I$133,6,0)),0%,VLOOKUP(A63,'Données projet'!$A$113:$I$133,6,0)*VLOOKUP('Données projet'!$B$12,Paramètres!$A$1:$I$89,7,0))</f>
        <v>4.3000000000000003E-2</v>
      </c>
      <c r="CJ63" s="17">
        <f>IF(ISNA(VLOOKUP(A63,'Données projet'!$A$113:$I$133,7,0)),0%,VLOOKUP(A63,'Données projet'!$A$113:$I$133,7,0))</f>
        <v>0.15</v>
      </c>
      <c r="CK63" s="23">
        <f>EXP(-LN(2)/35)*CK62+(1-EXP(-LN(2)/35))/(LN(2)/35)*CG63*CH63*VLOOKUP('Données projet'!$B$12,Paramètres!$A$1:$I$89,3,0)*0.475*44/12</f>
        <v>31.587111206088291</v>
      </c>
      <c r="CL63" s="23">
        <f>EXP(-LN(2)/25)*CL62+(1-EXP(-LN(2)/25))/(LN(2)/25)*Calculateur!CG63*Calculateur!CI63*VLOOKUP('Données projet'!$B$12,Paramètres!$A$1:$I$89,3,0)*0.475*44/12</f>
        <v>8.7140028774557656</v>
      </c>
      <c r="CM63" s="23">
        <f>EXP(-LN(2)/2)*CM62+(1-EXP(-LN(2)/2))/(LN(2)/2)*CG63*CJ63*VLOOKUP('Données projet'!$B$12,Paramètres!$A$1:$I$89,3,0)*0.475*44/12</f>
        <v>4.6834289104207505</v>
      </c>
      <c r="CN63" s="24">
        <f t="shared" si="12"/>
        <v>44.984542993964808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193.99999999999994</v>
      </c>
      <c r="CU63" s="18">
        <f>CT63*VLOOKUP('Données projet'!$B$13,Paramètres!$A$1:$I$89,3,0)*VLOOKUP('Données projet'!$B$13,Paramètres!$A$1:$I$89,5,0)</f>
        <v>105.92399999999998</v>
      </c>
      <c r="CV63" s="14">
        <f t="shared" si="41"/>
        <v>28.36854701055546</v>
      </c>
      <c r="CW63" s="22">
        <f t="shared" si="13"/>
        <v>233.89285271005073</v>
      </c>
      <c r="CX63" s="62">
        <f t="shared" si="14"/>
        <v>527.22618604338402</v>
      </c>
      <c r="CY63" s="62">
        <f ca="1">AVERAGE(OFFSET($CX$3,0,0,'Données projet'!$E$13+1,1))-AVERAGE(OFFSET($H$3,0,0,'Données projet'!$E$13+1,1))</f>
        <v>135.44138026609272</v>
      </c>
      <c r="CZ63" s="62">
        <f t="shared" si="42"/>
        <v>254.77247578425659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36.478350871094541</v>
      </c>
      <c r="DG63" s="23">
        <f>EXP(-LN(2)/25)*DG62+(1-EXP(-LN(2)/25))/(LN(2)/25)*Calculateur!DB63*Calculateur!DD63*VLOOKUP('Données projet'!$B$13,Paramètres!$A$1:$I$89,3,0)*0.475*44/12</f>
        <v>19.690453537334243</v>
      </c>
      <c r="DH63" s="23">
        <f>EXP(-LN(2)/2)*DH62+(1-EXP(-LN(2)/2))/(LN(2)/2)*DB63*DE63*VLOOKUP('Données projet'!$B$13,Paramètres!$A$1:$I$89,3,0)*0.475*44/12</f>
        <v>2.5955697369859023E-3</v>
      </c>
      <c r="DI63" s="24">
        <f t="shared" si="15"/>
        <v>56.171399978165766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310</v>
      </c>
      <c r="DM63" s="13">
        <f>VLOOKUP(A63,'Données projet'!$A$165:$I$185,9,0)</f>
        <v>9.6</v>
      </c>
      <c r="DN63" s="13">
        <f t="array" ref="DN63">INDEX(DM:DM,MIN(IF(ISNUMBER(DM63:DM259),ROW(DM63:DM259),"")))</f>
        <v>9.6</v>
      </c>
      <c r="DO63" s="13">
        <f>IF('Données projet'!$A$166&gt;35,DO62+DN63-DW62,IF(A63&lt;'Données projet'!$A$166,$DL$205^A63,IF(A63='Données projet'!$A$166,'Données projet'!$B$166,DO62+DN63-DW62)))</f>
        <v>310.00000000000023</v>
      </c>
      <c r="DP63" s="18">
        <f>DO63*VLOOKUP('Données projet'!$B$14,Paramètres!$A$1:$I$89,3,0)*VLOOKUP('Données projet'!$B$14,Paramètres!$A$1:$I$89,5,0)</f>
        <v>299.83200000000022</v>
      </c>
      <c r="DQ63" s="14">
        <f t="shared" si="43"/>
        <v>71.141243074631944</v>
      </c>
      <c r="DR63" s="22">
        <f t="shared" si="16"/>
        <v>646.1117316883176</v>
      </c>
      <c r="DS63" s="62">
        <f t="shared" si="17"/>
        <v>939.44506502165086</v>
      </c>
      <c r="DT63" s="62">
        <f ca="1">AVERAGE(OFFSET($DS$3,0,0,'Données projet'!$E$14+1,1))-AVERAGE(OFFSET($H$3,0,0,'Données projet'!$E$14+1,1))</f>
        <v>271.09447278906288</v>
      </c>
      <c r="DU63" s="62">
        <f t="shared" si="44"/>
        <v>325.1094067861851</v>
      </c>
      <c r="DV63" s="16">
        <f>IF(ISNA(VLOOKUP(A63,'Données projet'!$A$165:$I$185,3,0)),0,VLOOKUP(A63,'Données projet'!$A$165:$I$185,3,0))</f>
        <v>9</v>
      </c>
      <c r="DW63" s="16">
        <f>IF(ISNA(VLOOKUP(A63,'Données projet'!$A$165:$I$185,4,0)),0,VLOOKUP(A63,'Données projet'!$A$165:$I$185,4,0))</f>
        <v>37</v>
      </c>
      <c r="DX63" s="17">
        <f>IF(ISNA(VLOOKUP(A63,'Données projet'!$A$165:$I$185,5,0)),0%,VLOOKUP(A63,'Données projet'!$A$165:$I$185,5,0)*VLOOKUP('Données projet'!$B$14,Paramètres!$A$1:$I$89,7,0))</f>
        <v>0.215</v>
      </c>
      <c r="DY63" s="17">
        <f>IF(ISNA(VLOOKUP(A63,'Données projet'!$A$165:$I$185,6,0)),0%,VLOOKUP(A63,'Données projet'!$A$165:$I$185,6,0)*VLOOKUP('Données projet'!$B$14,Paramètres!$A$1:$I$89,7,0))</f>
        <v>4.3000000000000003E-2</v>
      </c>
      <c r="DZ63" s="17">
        <f>IF(ISNA(VLOOKUP(A63,'Données projet'!$A$165:$I$185,7,0)),0%,VLOOKUP(A63,'Données projet'!$A$165:$I$185,7,0))</f>
        <v>0.15</v>
      </c>
      <c r="EA63" s="23">
        <f>EXP(-LN(2)/35)*EA62+(1-EXP(-LN(2)/35))/(LN(2)/35)*DW63*DX63*VLOOKUP('Données projet'!$B$14,Paramètres!$A$1:$I$89,3,0)*0.475*44/12</f>
        <v>40.474365841144632</v>
      </c>
      <c r="EB63" s="23">
        <f>EXP(-LN(2)/25)*EB62+(1-EXP(-LN(2)/25))/(LN(2)/25)*Calculateur!DW63*Calculateur!DY63*VLOOKUP('Données projet'!$B$14,Paramètres!$A$1:$I$89,3,0)*0.475*44/12</f>
        <v>7.3563309820580196</v>
      </c>
      <c r="EC63" s="23">
        <f>EXP(-LN(2)/2)*EC62+(1-EXP(-LN(2)/2))/(LN(2)/2)*DW63*DZ63*VLOOKUP('Données projet'!$B$14,Paramètres!$A$1:$I$89,3,0)*0.475*44/12</f>
        <v>6.0937614716332336</v>
      </c>
      <c r="ED63" s="24">
        <f t="shared" si="18"/>
        <v>53.924458294835887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310</v>
      </c>
      <c r="EH63" s="13">
        <f>VLOOKUP(A63,'Données projet'!$A$191:$I$211,9,0)</f>
        <v>9.6</v>
      </c>
      <c r="EI63" s="13">
        <f t="array" ref="EI63">INDEX(EH:EH,MIN(IF(ISNUMBER(EH63:EH259),ROW(EH63:EH259),"")))</f>
        <v>9.6</v>
      </c>
      <c r="EJ63" s="13">
        <f>IF('Données projet'!$A$192&gt;35,EJ62+EI63-ER62,IF(A63&lt;'Données projet'!$A$192,$EG$205^A63,IF(A63='Données projet'!$A$192,'Données projet'!$B$192,EJ62+EI63-ER62)))</f>
        <v>310.00000000000023</v>
      </c>
      <c r="EK63" s="18">
        <f>EJ63*VLOOKUP('Données projet'!$B$15,Paramètres!$A$1:$I$89,3,0)*VLOOKUP('Données projet'!$B$15,Paramètres!$A$1:$I$89,5,0)</f>
        <v>333.68400000000025</v>
      </c>
      <c r="EL63" s="14">
        <f t="shared" si="45"/>
        <v>78.193600162051666</v>
      </c>
      <c r="EM63" s="22">
        <f t="shared" si="19"/>
        <v>717.35348694890718</v>
      </c>
      <c r="EN63" s="62">
        <f t="shared" si="20"/>
        <v>1010.6868202822404</v>
      </c>
      <c r="EO63" s="62">
        <f ca="1">AVERAGE(OFFSET($EN$3,0,0,'Données projet'!$E$15+1,1))-AVERAGE(OFFSET($H$3,0,0,'Données projet'!$E$15+1,1))</f>
        <v>306.50593475734655</v>
      </c>
      <c r="EP63" s="62">
        <f t="shared" si="46"/>
        <v>366.48643801375079</v>
      </c>
      <c r="EQ63" s="16">
        <f>IF(ISNA(VLOOKUP(A63,'Données projet'!$A$191:$I$211,3,0)),0,VLOOKUP(A63,'Données projet'!$A$191:$I$211,3,0))</f>
        <v>9</v>
      </c>
      <c r="ER63" s="16">
        <f>IF(ISNA(VLOOKUP(A63,'Données projet'!$A$191:$I$211,4,0)),0,VLOOKUP(A63,'Données projet'!$A$191:$I$211,4,0))</f>
        <v>37</v>
      </c>
      <c r="ES63" s="17">
        <f>IF(ISNA(VLOOKUP(A63,'Données projet'!$A$191:$I$211,5,0)),0%,VLOOKUP(A63,'Données projet'!$A$191:$I$211,5,0)*VLOOKUP('Données projet'!$B$15,Paramètres!$A$1:$I$89,7,0))</f>
        <v>0.215</v>
      </c>
      <c r="ET63" s="17">
        <f>IF(ISNA(VLOOKUP(A63,'Données projet'!$A$191:$I$211,6,0)),0%,VLOOKUP(A63,'Données projet'!$A$191:$I$211,6,0)*VLOOKUP('Données projet'!$B$15,Paramètres!$A$1:$I$89,7,0))</f>
        <v>4.3000000000000003E-2</v>
      </c>
      <c r="EU63" s="17">
        <f>IF(ISNA(VLOOKUP(A63,'Données projet'!$A$191:$I$211,7,0)),0%,VLOOKUP(A63,'Données projet'!$A$191:$I$211,7,0))</f>
        <v>0.15</v>
      </c>
      <c r="EV63" s="23">
        <f>EXP(-LN(2)/35)*EV62+(1-EXP(-LN(2)/35))/(LN(2)/35)*ER63*ES63*VLOOKUP('Données projet'!$B$15,Paramètres!$A$1:$I$89,3,0)*0.475*44/12</f>
        <v>45.044052307080307</v>
      </c>
      <c r="EW63" s="23">
        <f>EXP(-LN(2)/25)*EW62+(1-EXP(-LN(2)/25))/(LN(2)/25)*Calculateur!ER63*Calculateur!ET63*VLOOKUP('Données projet'!$B$15,Paramètres!$A$1:$I$89,3,0)*0.475*44/12</f>
        <v>8.1868844800323135</v>
      </c>
      <c r="EX63" s="23">
        <f>EXP(-LN(2)/2)*EX62+(1-EXP(-LN(2)/2))/(LN(2)/2)*ER63*EU63*VLOOKUP('Données projet'!$B$15,Paramètres!$A$1:$I$89,3,0)*0.475*44/12</f>
        <v>6.7817667990756938</v>
      </c>
      <c r="EY63" s="24">
        <f t="shared" si="21"/>
        <v>60.012703586188309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44.725199999999937</v>
      </c>
      <c r="D64" s="12">
        <f t="shared" si="32"/>
        <v>13.24280760228976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447.47233938609594</v>
      </c>
      <c r="H64" s="70">
        <f t="shared" si="1"/>
        <v>394.2942799073212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8.8000000000000007</v>
      </c>
      <c r="N64" s="14">
        <f>IF('Données projet'!$A$36&gt;35,N63+M64-V63,IF(A64&lt;'Données projet'!$A$36,$K$205^A64,IF(A64='Données projet'!$A$36,'Données projet'!$B$36,N63+M64-V63)))</f>
        <v>253.79999999999995</v>
      </c>
      <c r="O64" s="14">
        <f>N64*VLOOKUP('Données projet'!$B$9,Paramètres!$A$1:$I$89,3,0)*VLOOKUP('Données projet'!$B$9,Paramètres!$A$1:$I$89,5,0)</f>
        <v>229.63823999999994</v>
      </c>
      <c r="P64" s="14">
        <f t="shared" si="33"/>
        <v>56.204453396569633</v>
      </c>
      <c r="Q64" s="22">
        <f t="shared" si="53"/>
        <v>497.84269099902531</v>
      </c>
      <c r="R64" s="62">
        <f t="shared" si="0"/>
        <v>791.17602433235857</v>
      </c>
      <c r="S64" s="62">
        <f ca="1">AVERAGE(OFFSET($R$3,0,0,'Données projet'!$E$9+1,1))-AVERAGE(OFFSET($H$3,0,0,'Données projet'!$E$9+1,1))</f>
        <v>312.57314929661908</v>
      </c>
      <c r="T64" s="62">
        <f t="shared" si="34"/>
        <v>190.92100876773804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35.131299894908473</v>
      </c>
      <c r="AA64" s="23">
        <f>EXP(-LN(2)/25)*AA63+(1-EXP(-LN(2)/25))/(LN(2)/25)*Calculateur!V64*Calculateur!X64*VLOOKUP('Données projet'!$B$9,Paramètres!$A$1:$I$89,3,0)*0.475*44/12</f>
        <v>2.5373470052392602</v>
      </c>
      <c r="AB64" s="23">
        <f>EXP(-LN(2)/2)*AB63+(1-EXP(-LN(2)/2))/(LN(2)/2)*V64*Y64*VLOOKUP('Données projet'!$B$9,Paramètres!$A$1:$I$89,3,0)*0.475*44/12</f>
        <v>1.2330507143465879</v>
      </c>
      <c r="AC64" s="24">
        <f t="shared" si="3"/>
        <v>38.901697614494324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8.8000000000000007</v>
      </c>
      <c r="AI64" s="14">
        <f>IF('Données projet'!$A$62&gt;35,AI63+AH64-AQ63,IF(A64&lt;'Données projet'!$A$62,$AF$205^A64,IF(A64='Données projet'!$A$62,'Données projet'!$B$62,AI63+AH64-AQ63)))</f>
        <v>253.79999999999995</v>
      </c>
      <c r="AJ64" s="14">
        <f>AI64*VLOOKUP('Données projet'!$B$10,Paramètres!$A$1:$I$89,3,0)*VLOOKUP('Données projet'!$B$10,Paramètres!$A$1:$I$89,5,0)</f>
        <v>257.35319999999996</v>
      </c>
      <c r="AK64" s="14">
        <f t="shared" si="35"/>
        <v>62.157851613080908</v>
      </c>
      <c r="AL64" s="22">
        <f t="shared" si="4"/>
        <v>556.48174822611588</v>
      </c>
      <c r="AM64" s="62">
        <f t="shared" si="5"/>
        <v>849.81508155944925</v>
      </c>
      <c r="AN64" s="62">
        <f ca="1">AVERAGE(OFFSET($AM$3,0,0,'Données projet'!$E$10+1,1))-AVERAGE(OFFSET($H$3,0,0,'Données projet'!$E$10+1,1))</f>
        <v>360.56293184044779</v>
      </c>
      <c r="AO64" s="62">
        <f t="shared" si="36"/>
        <v>219.32252911220542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39.37128436498363</v>
      </c>
      <c r="AV64" s="23">
        <f>EXP(-LN(2)/25)*AV63+(1-EXP(-LN(2)/25))/(LN(2)/25)*Calculateur!AQ64*Calculateur!AS64*VLOOKUP('Données projet'!$B$10,Paramètres!$A$1:$I$89,3,0)*0.475*44/12</f>
        <v>2.8435785403543434</v>
      </c>
      <c r="AW64" s="23">
        <f>EXP(-LN(2)/2)*AW63+(1-EXP(-LN(2)/2))/(LN(2)/2)*AQ64*AT64*VLOOKUP('Données projet'!$B$10,Paramètres!$A$1:$I$89,3,0)*0.475*44/12</f>
        <v>1.3818671798711761</v>
      </c>
      <c r="AX64" s="23">
        <f t="shared" si="6"/>
        <v>43.596730085209153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1.1368683772161603E-13</v>
      </c>
      <c r="BE64" s="14">
        <f>BD64*VLOOKUP('Données projet'!$B$11,Paramètres!$A$1:$I$89,3,0)*VLOOKUP('Données projet'!$B$11,Paramètres!$A$1:$I$89,5,0)</f>
        <v>8.3355189417488869E-14</v>
      </c>
      <c r="BF64" s="14">
        <f t="shared" si="37"/>
        <v>1.2790518435140618E-12</v>
      </c>
      <c r="BG64" s="22">
        <f t="shared" si="7"/>
        <v>2.3728589156891171E-12</v>
      </c>
      <c r="BH64" s="62">
        <f t="shared" si="8"/>
        <v>293.3333333333357</v>
      </c>
      <c r="BI64" s="62">
        <f ca="1">AVERAGE(OFFSET($BH$3,0,0,'Données projet'!$E$11+1,1))-AVERAGE(OFFSET($H$3,0,0,'Données projet'!$E$11+1,1))</f>
        <v>182.06733089745194</v>
      </c>
      <c r="BJ64" s="62">
        <f t="shared" si="38"/>
        <v>320.36755413886021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32.337037846839017</v>
      </c>
      <c r="BQ64" s="23">
        <f>EXP(-LN(2)/25)*BQ63+(1-EXP(-LN(2)/25))/(LN(2)/25)*Calculateur!BL64*Calculateur!BN64*VLOOKUP('Données projet'!$B$11,Paramètres!$A$1:$I$89,3,0)*0.475*44/12</f>
        <v>5.3797751439013526</v>
      </c>
      <c r="BR64" s="23">
        <f>EXP(-LN(2)/2)*BR63+(1-EXP(-LN(2)/2))/(LN(2)/2)*BL64*BO64*VLOOKUP('Données projet'!$B$11,Paramètres!$A$1:$I$89,3,0)*0.475*44/12</f>
        <v>1.5976887740128932E-2</v>
      </c>
      <c r="BS64" s="24">
        <f t="shared" si="9"/>
        <v>37.732789878480503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10.199999999999999</v>
      </c>
      <c r="BY64" s="13">
        <f>IF('Données projet'!$A$114&gt;35,BY63+BX64-CG63,IF(A64&lt;'Données projet'!$A$114,$BV$205^A64,IF(A64='Données projet'!$A$114,'Données projet'!$B$114,BY63+BX64-CG63)))</f>
        <v>249.2</v>
      </c>
      <c r="BZ64" s="14">
        <f>BY64*VLOOKUP('Données projet'!$B$12,Paramètres!$A$1:$I$89,3,0)*VLOOKUP('Données projet'!$B$12,Paramètres!$A$1:$I$89,5,0)</f>
        <v>217.70112000000003</v>
      </c>
      <c r="CA64" s="14">
        <f t="shared" si="39"/>
        <v>53.614930456328594</v>
      </c>
      <c r="CB64" s="22">
        <f t="shared" si="10"/>
        <v>472.542121211439</v>
      </c>
      <c r="CC64" s="62">
        <f t="shared" si="11"/>
        <v>765.87545454477231</v>
      </c>
      <c r="CD64" s="62">
        <f ca="1">AVERAGE(OFFSET($CC$3,0,0,'Données projet'!$E$12+1,1))-AVERAGE(OFFSET($H$3,0,0,'Données projet'!$E$12+1,1))</f>
        <v>248.60758320902863</v>
      </c>
      <c r="CE64" s="62">
        <f t="shared" si="40"/>
        <v>222.23585883330111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30.967707221572354</v>
      </c>
      <c r="CL64" s="23">
        <f>EXP(-LN(2)/25)*CL63+(1-EXP(-LN(2)/25))/(LN(2)/25)*Calculateur!CG64*Calculateur!CI64*VLOOKUP('Données projet'!$B$12,Paramètres!$A$1:$I$89,3,0)*0.475*44/12</f>
        <v>8.4757180105222432</v>
      </c>
      <c r="CM64" s="23">
        <f>EXP(-LN(2)/2)*CM63+(1-EXP(-LN(2)/2))/(LN(2)/2)*CG64*CJ64*VLOOKUP('Données projet'!$B$12,Paramètres!$A$1:$I$89,3,0)*0.475*44/12</f>
        <v>3.3116843417636366</v>
      </c>
      <c r="CN64" s="24">
        <f t="shared" si="12"/>
        <v>42.755109573858235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193.99999999999994</v>
      </c>
      <c r="CU64" s="18">
        <f>CT64*VLOOKUP('Données projet'!$B$13,Paramètres!$A$1:$I$89,3,0)*VLOOKUP('Données projet'!$B$13,Paramètres!$A$1:$I$89,5,0)</f>
        <v>105.92399999999998</v>
      </c>
      <c r="CV64" s="14">
        <f t="shared" si="41"/>
        <v>28.36854701055546</v>
      </c>
      <c r="CW64" s="22">
        <f t="shared" si="13"/>
        <v>233.89285271005073</v>
      </c>
      <c r="CX64" s="62">
        <f t="shared" si="14"/>
        <v>527.22618604338402</v>
      </c>
      <c r="CY64" s="62">
        <f ca="1">AVERAGE(OFFSET($CX$3,0,0,'Données projet'!$E$13+1,1))-AVERAGE(OFFSET($H$3,0,0,'Données projet'!$E$13+1,1))</f>
        <v>135.44138026609272</v>
      </c>
      <c r="CZ64" s="62">
        <f t="shared" si="42"/>
        <v>254.77247578425659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35.763032660109445</v>
      </c>
      <c r="DG64" s="23">
        <f>EXP(-LN(2)/25)*DG63+(1-EXP(-LN(2)/25))/(LN(2)/25)*Calculateur!DB64*Calculateur!DD64*VLOOKUP('Données projet'!$B$13,Paramètres!$A$1:$I$89,3,0)*0.475*44/12</f>
        <v>19.152017049879888</v>
      </c>
      <c r="DH64" s="23">
        <f>EXP(-LN(2)/2)*DH63+(1-EXP(-LN(2)/2))/(LN(2)/2)*DB64*DE64*VLOOKUP('Données projet'!$B$13,Paramètres!$A$1:$I$89,3,0)*0.475*44/12</f>
        <v>1.8353449620653153E-3</v>
      </c>
      <c r="DI64" s="24">
        <f t="shared" si="15"/>
        <v>54.9168850549514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273.00000000000023</v>
      </c>
      <c r="DP64" s="18">
        <f>DO64*VLOOKUP('Données projet'!$B$14,Paramètres!$A$1:$I$89,3,0)*VLOOKUP('Données projet'!$B$14,Paramètres!$A$1:$I$89,5,0)</f>
        <v>264.04560000000021</v>
      </c>
      <c r="DQ64" s="14">
        <f t="shared" si="43"/>
        <v>63.583959929973794</v>
      </c>
      <c r="DR64" s="22">
        <f t="shared" si="16"/>
        <v>570.6214835447048</v>
      </c>
      <c r="DS64" s="62">
        <f t="shared" si="17"/>
        <v>863.95481687803817</v>
      </c>
      <c r="DT64" s="62">
        <f ca="1">AVERAGE(OFFSET($DS$3,0,0,'Données projet'!$E$14+1,1))-AVERAGE(OFFSET($H$3,0,0,'Données projet'!$E$14+1,1))</f>
        <v>271.09447278906288</v>
      </c>
      <c r="DU64" s="62">
        <f t="shared" si="44"/>
        <v>325.1094067861851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39.680688213925315</v>
      </c>
      <c r="EB64" s="23">
        <f>EXP(-LN(2)/25)*EB63+(1-EXP(-LN(2)/25))/(LN(2)/25)*Calculateur!DW64*Calculateur!DY64*VLOOKUP('Données projet'!$B$14,Paramètres!$A$1:$I$89,3,0)*0.475*44/12</f>
        <v>7.1551717245010096</v>
      </c>
      <c r="EC64" s="23">
        <f>EXP(-LN(2)/2)*EC63+(1-EXP(-LN(2)/2))/(LN(2)/2)*DW64*DZ64*VLOOKUP('Données projet'!$B$14,Paramètres!$A$1:$I$89,3,0)*0.475*44/12</f>
        <v>4.3089400595251748</v>
      </c>
      <c r="ED64" s="24">
        <f t="shared" si="18"/>
        <v>51.144799997951502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273.00000000000023</v>
      </c>
      <c r="EK64" s="18">
        <f>EJ64*VLOOKUP('Données projet'!$B$15,Paramètres!$A$1:$I$89,3,0)*VLOOKUP('Données projet'!$B$15,Paramètres!$A$1:$I$89,5,0)</f>
        <v>293.85720000000026</v>
      </c>
      <c r="EL64" s="14">
        <f t="shared" si="45"/>
        <v>69.887150190339895</v>
      </c>
      <c r="EM64" s="22">
        <f t="shared" si="19"/>
        <v>633.52140991484237</v>
      </c>
      <c r="EN64" s="62">
        <f t="shared" si="20"/>
        <v>926.85474324817574</v>
      </c>
      <c r="EO64" s="62">
        <f ca="1">AVERAGE(OFFSET($EN$3,0,0,'Données projet'!$E$15+1,1))-AVERAGE(OFFSET($H$3,0,0,'Données projet'!$E$15+1,1))</f>
        <v>306.50593475734655</v>
      </c>
      <c r="EP64" s="62">
        <f t="shared" si="46"/>
        <v>366.48643801375079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44.160765915497521</v>
      </c>
      <c r="EW64" s="23">
        <f>EXP(-LN(2)/25)*EW63+(1-EXP(-LN(2)/25))/(LN(2)/25)*Calculateur!ER64*Calculateur!ET64*VLOOKUP('Données projet'!$B$15,Paramètres!$A$1:$I$89,3,0)*0.475*44/12</f>
        <v>7.9630136933962863</v>
      </c>
      <c r="EX64" s="23">
        <f>EXP(-LN(2)/2)*EX63+(1-EXP(-LN(2)/2))/(LN(2)/2)*ER64*EU64*VLOOKUP('Données projet'!$B$15,Paramètres!$A$1:$I$89,3,0)*0.475*44/12</f>
        <v>4.79543329205221</v>
      </c>
      <c r="EY64" s="24">
        <f t="shared" si="21"/>
        <v>56.919212900946015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45.458399999999934</v>
      </c>
      <c r="D65" s="12">
        <f t="shared" si="32"/>
        <v>13.434451013546127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454.61148150807486</v>
      </c>
      <c r="H65" s="70">
        <f t="shared" si="1"/>
        <v>395.90504884859268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8.8000000000000007</v>
      </c>
      <c r="N65" s="14">
        <f>IF('Données projet'!$A$36&gt;35,N64+M65-V64,IF(A65&lt;'Données projet'!$A$36,$K$205^A65,IF(A65='Données projet'!$A$36,'Données projet'!$B$36,N64+M65-V64)))</f>
        <v>262.59999999999997</v>
      </c>
      <c r="O65" s="14">
        <f>N65*VLOOKUP('Données projet'!$B$9,Paramètres!$A$1:$I$89,3,0)*VLOOKUP('Données projet'!$B$9,Paramètres!$A$1:$I$89,5,0)</f>
        <v>237.60047999999995</v>
      </c>
      <c r="P65" s="14">
        <f t="shared" si="33"/>
        <v>57.922960533442058</v>
      </c>
      <c r="Q65" s="22">
        <f t="shared" si="53"/>
        <v>514.70332559574479</v>
      </c>
      <c r="R65" s="62">
        <f t="shared" si="0"/>
        <v>808.03665892907816</v>
      </c>
      <c r="S65" s="62">
        <f ca="1">AVERAGE(OFFSET($R$3,0,0,'Données projet'!$E$9+1,1))-AVERAGE(OFFSET($H$3,0,0,'Données projet'!$E$9+1,1))</f>
        <v>312.57314929661908</v>
      </c>
      <c r="T65" s="62">
        <f t="shared" si="34"/>
        <v>190.92100876773804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34.442396531946414</v>
      </c>
      <c r="AA65" s="23">
        <f>EXP(-LN(2)/25)*AA64+(1-EXP(-LN(2)/25))/(LN(2)/25)*Calculateur!V65*Calculateur!X65*VLOOKUP('Données projet'!$B$9,Paramètres!$A$1:$I$89,3,0)*0.475*44/12</f>
        <v>2.4679631179477126</v>
      </c>
      <c r="AB65" s="23">
        <f>EXP(-LN(2)/2)*AB64+(1-EXP(-LN(2)/2))/(LN(2)/2)*V65*Y65*VLOOKUP('Données projet'!$B$9,Paramètres!$A$1:$I$89,3,0)*0.475*44/12</f>
        <v>0.87189852166138893</v>
      </c>
      <c r="AC65" s="24">
        <f t="shared" si="3"/>
        <v>37.782258171555512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8.8000000000000007</v>
      </c>
      <c r="AI65" s="14">
        <f>IF('Données projet'!$A$62&gt;35,AI64+AH65-AQ64,IF(A65&lt;'Données projet'!$A$62,$AF$205^A65,IF(A65='Données projet'!$A$62,'Données projet'!$B$62,AI64+AH65-AQ64)))</f>
        <v>262.59999999999997</v>
      </c>
      <c r="AJ65" s="14">
        <f>AI65*VLOOKUP('Données projet'!$B$10,Paramètres!$A$1:$I$89,3,0)*VLOOKUP('Données projet'!$B$10,Paramètres!$A$1:$I$89,5,0)</f>
        <v>266.27640000000002</v>
      </c>
      <c r="AK65" s="14">
        <f t="shared" si="35"/>
        <v>64.058389829439747</v>
      </c>
      <c r="AL65" s="22">
        <f t="shared" si="4"/>
        <v>575.33309228627434</v>
      </c>
      <c r="AM65" s="62">
        <f t="shared" si="5"/>
        <v>868.66642561960771</v>
      </c>
      <c r="AN65" s="62">
        <f ca="1">AVERAGE(OFFSET($AM$3,0,0,'Données projet'!$E$10+1,1))-AVERAGE(OFFSET($H$3,0,0,'Données projet'!$E$10+1,1))</f>
        <v>360.56293184044779</v>
      </c>
      <c r="AO65" s="62">
        <f t="shared" si="36"/>
        <v>219.32252911220542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38.59923749269857</v>
      </c>
      <c r="AV65" s="23">
        <f>EXP(-LN(2)/25)*AV64+(1-EXP(-LN(2)/25))/(LN(2)/25)*Calculateur!AQ65*Calculateur!AS65*VLOOKUP('Données projet'!$B$10,Paramètres!$A$1:$I$89,3,0)*0.475*44/12</f>
        <v>2.7658207356310576</v>
      </c>
      <c r="AW65" s="23">
        <f>EXP(-LN(2)/2)*AW64+(1-EXP(-LN(2)/2))/(LN(2)/2)*AQ65*AT65*VLOOKUP('Données projet'!$B$10,Paramètres!$A$1:$I$89,3,0)*0.475*44/12</f>
        <v>0.97712765358603937</v>
      </c>
      <c r="AX65" s="23">
        <f t="shared" si="6"/>
        <v>42.342185881915668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1.1368683772161603E-13</v>
      </c>
      <c r="BE65" s="14">
        <f>BD65*VLOOKUP('Données projet'!$B$11,Paramètres!$A$1:$I$89,3,0)*VLOOKUP('Données projet'!$B$11,Paramètres!$A$1:$I$89,5,0)</f>
        <v>8.3355189417488869E-14</v>
      </c>
      <c r="BF65" s="14">
        <f t="shared" si="37"/>
        <v>1.2790518435140618E-12</v>
      </c>
      <c r="BG65" s="22">
        <f t="shared" si="7"/>
        <v>2.3728589156891171E-12</v>
      </c>
      <c r="BH65" s="62">
        <f t="shared" si="8"/>
        <v>293.3333333333357</v>
      </c>
      <c r="BI65" s="62">
        <f ca="1">AVERAGE(OFFSET($BH$3,0,0,'Données projet'!$E$11+1,1))-AVERAGE(OFFSET($H$3,0,0,'Données projet'!$E$11+1,1))</f>
        <v>182.06733089745194</v>
      </c>
      <c r="BJ65" s="62">
        <f t="shared" si="38"/>
        <v>320.36755413886021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31.702928258308042</v>
      </c>
      <c r="BQ65" s="23">
        <f>EXP(-LN(2)/25)*BQ64+(1-EXP(-LN(2)/25))/(LN(2)/25)*Calculateur!BL65*Calculateur!BN65*VLOOKUP('Données projet'!$B$11,Paramètres!$A$1:$I$89,3,0)*0.475*44/12</f>
        <v>5.2326649096812909</v>
      </c>
      <c r="BR65" s="23">
        <f>EXP(-LN(2)/2)*BR64+(1-EXP(-LN(2)/2))/(LN(2)/2)*BL65*BO65*VLOOKUP('Données projet'!$B$11,Paramètres!$A$1:$I$89,3,0)*0.475*44/12</f>
        <v>1.1297365663301383E-2</v>
      </c>
      <c r="BS65" s="24">
        <f t="shared" si="9"/>
        <v>36.946890533652635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10.199999999999999</v>
      </c>
      <c r="BY65" s="13">
        <f>IF('Données projet'!$A$114&gt;35,BY64+BX65-CG64,IF(A65&lt;'Données projet'!$A$114,$BV$205^A65,IF(A65='Données projet'!$A$114,'Données projet'!$B$114,BY64+BX65-CG64)))</f>
        <v>259.39999999999998</v>
      </c>
      <c r="BZ65" s="14">
        <f>BY65*VLOOKUP('Données projet'!$B$12,Paramètres!$A$1:$I$89,3,0)*VLOOKUP('Données projet'!$B$12,Paramètres!$A$1:$I$89,5,0)</f>
        <v>226.61184000000003</v>
      </c>
      <c r="CA65" s="14">
        <f t="shared" si="39"/>
        <v>55.549450558262414</v>
      </c>
      <c r="CB65" s="22">
        <f t="shared" si="10"/>
        <v>491.4309143889738</v>
      </c>
      <c r="CC65" s="62">
        <f t="shared" si="11"/>
        <v>784.76424772230712</v>
      </c>
      <c r="CD65" s="62">
        <f ca="1">AVERAGE(OFFSET($CC$3,0,0,'Données projet'!$E$12+1,1))-AVERAGE(OFFSET($H$3,0,0,'Données projet'!$E$12+1,1))</f>
        <v>248.60758320902863</v>
      </c>
      <c r="CE65" s="62">
        <f t="shared" si="40"/>
        <v>222.23585883330111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30.360449371393646</v>
      </c>
      <c r="CL65" s="23">
        <f>EXP(-LN(2)/25)*CL64+(1-EXP(-LN(2)/25))/(LN(2)/25)*Calculateur!CG65*Calculateur!CI65*VLOOKUP('Données projet'!$B$12,Paramètres!$A$1:$I$89,3,0)*0.475*44/12</f>
        <v>8.2439490558058743</v>
      </c>
      <c r="CM65" s="23">
        <f>EXP(-LN(2)/2)*CM64+(1-EXP(-LN(2)/2))/(LN(2)/2)*CG65*CJ65*VLOOKUP('Données projet'!$B$12,Paramètres!$A$1:$I$89,3,0)*0.475*44/12</f>
        <v>2.3417144552103757</v>
      </c>
      <c r="CN65" s="24">
        <f t="shared" si="12"/>
        <v>40.946112882409892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193.99999999999994</v>
      </c>
      <c r="CU65" s="18">
        <f>CT65*VLOOKUP('Données projet'!$B$13,Paramètres!$A$1:$I$89,3,0)*VLOOKUP('Données projet'!$B$13,Paramètres!$A$1:$I$89,5,0)</f>
        <v>105.92399999999998</v>
      </c>
      <c r="CV65" s="14">
        <f t="shared" si="41"/>
        <v>28.36854701055546</v>
      </c>
      <c r="CW65" s="22">
        <f t="shared" si="13"/>
        <v>233.89285271005073</v>
      </c>
      <c r="CX65" s="62">
        <f t="shared" si="14"/>
        <v>527.22618604338402</v>
      </c>
      <c r="CY65" s="62">
        <f ca="1">AVERAGE(OFFSET($CX$3,0,0,'Données projet'!$E$13+1,1))-AVERAGE(OFFSET($H$3,0,0,'Données projet'!$E$13+1,1))</f>
        <v>135.44138026609272</v>
      </c>
      <c r="CZ65" s="62">
        <f t="shared" si="42"/>
        <v>254.77247578425659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35.06174140294074</v>
      </c>
      <c r="DG65" s="23">
        <f>EXP(-LN(2)/25)*DG64+(1-EXP(-LN(2)/25))/(LN(2)/25)*Calculateur!DB65*Calculateur!DD65*VLOOKUP('Données projet'!$B$13,Paramètres!$A$1:$I$89,3,0)*0.475*44/12</f>
        <v>18.628304136490119</v>
      </c>
      <c r="DH65" s="23">
        <f>EXP(-LN(2)/2)*DH64+(1-EXP(-LN(2)/2))/(LN(2)/2)*DB65*DE65*VLOOKUP('Données projet'!$B$13,Paramètres!$A$1:$I$89,3,0)*0.475*44/12</f>
        <v>1.2977848684929513E-3</v>
      </c>
      <c r="DI65" s="24">
        <f t="shared" si="15"/>
        <v>53.691343324299346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273.00000000000023</v>
      </c>
      <c r="DP65" s="18">
        <f>DO65*VLOOKUP('Données projet'!$B$14,Paramètres!$A$1:$I$89,3,0)*VLOOKUP('Données projet'!$B$14,Paramètres!$A$1:$I$89,5,0)</f>
        <v>264.04560000000021</v>
      </c>
      <c r="DQ65" s="14">
        <f t="shared" si="43"/>
        <v>63.583959929973794</v>
      </c>
      <c r="DR65" s="22">
        <f t="shared" si="16"/>
        <v>570.6214835447048</v>
      </c>
      <c r="DS65" s="62">
        <f t="shared" si="17"/>
        <v>863.95481687803817</v>
      </c>
      <c r="DT65" s="62">
        <f ca="1">AVERAGE(OFFSET($DS$3,0,0,'Données projet'!$E$14+1,1))-AVERAGE(OFFSET($H$3,0,0,'Données projet'!$E$14+1,1))</f>
        <v>271.09447278906288</v>
      </c>
      <c r="DU65" s="62">
        <f t="shared" si="44"/>
        <v>325.1094067861851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38.902574120880217</v>
      </c>
      <c r="EB65" s="23">
        <f>EXP(-LN(2)/25)*EB64+(1-EXP(-LN(2)/25))/(LN(2)/25)*Calculateur!DW65*Calculateur!DY65*VLOOKUP('Données projet'!$B$14,Paramètres!$A$1:$I$89,3,0)*0.475*44/12</f>
        <v>6.9595131774204022</v>
      </c>
      <c r="EC65" s="23">
        <f>EXP(-LN(2)/2)*EC64+(1-EXP(-LN(2)/2))/(LN(2)/2)*DW65*DZ65*VLOOKUP('Données projet'!$B$14,Paramètres!$A$1:$I$89,3,0)*0.475*44/12</f>
        <v>3.0468807358166172</v>
      </c>
      <c r="ED65" s="24">
        <f t="shared" si="18"/>
        <v>48.908968034117237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273.00000000000023</v>
      </c>
      <c r="EK65" s="18">
        <f>EJ65*VLOOKUP('Données projet'!$B$15,Paramètres!$A$1:$I$89,3,0)*VLOOKUP('Données projet'!$B$15,Paramètres!$A$1:$I$89,5,0)</f>
        <v>293.85720000000026</v>
      </c>
      <c r="EL65" s="14">
        <f t="shared" si="45"/>
        <v>69.887150190339895</v>
      </c>
      <c r="EM65" s="22">
        <f t="shared" si="19"/>
        <v>633.52140991484237</v>
      </c>
      <c r="EN65" s="62">
        <f t="shared" si="20"/>
        <v>926.85474324817574</v>
      </c>
      <c r="EO65" s="62">
        <f ca="1">AVERAGE(OFFSET($EN$3,0,0,'Données projet'!$E$15+1,1))-AVERAGE(OFFSET($H$3,0,0,'Données projet'!$E$15+1,1))</f>
        <v>306.50593475734655</v>
      </c>
      <c r="EP65" s="62">
        <f t="shared" si="46"/>
        <v>366.48643801375079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43.294800231302169</v>
      </c>
      <c r="EW65" s="23">
        <f>EXP(-LN(2)/25)*EW64+(1-EXP(-LN(2)/25))/(LN(2)/25)*Calculateur!ER65*Calculateur!ET65*VLOOKUP('Données projet'!$B$15,Paramètres!$A$1:$I$89,3,0)*0.475*44/12</f>
        <v>7.7452646651936741</v>
      </c>
      <c r="EX65" s="23">
        <f>EXP(-LN(2)/2)*EX64+(1-EXP(-LN(2)/2))/(LN(2)/2)*ER65*EU65*VLOOKUP('Données projet'!$B$15,Paramètres!$A$1:$I$89,3,0)*0.475*44/12</f>
        <v>3.3908833995378473</v>
      </c>
      <c r="EY65" s="24">
        <f t="shared" si="21"/>
        <v>54.430948296033691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46.19159999999993</v>
      </c>
      <c r="D66" s="12">
        <f t="shared" si="32"/>
        <v>13.625734950806207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461.74784874306488</v>
      </c>
      <c r="H66" s="70">
        <f t="shared" si="1"/>
        <v>397.51519170598732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8.8000000000000007</v>
      </c>
      <c r="N66" s="14">
        <f>IF('Données projet'!$A$36&gt;35,N65+M66-V65,IF(A66&lt;'Données projet'!$A$36,$K$205^A66,IF(A66='Données projet'!$A$36,'Données projet'!$B$36,N65+M66-V65)))</f>
        <v>271.39999999999998</v>
      </c>
      <c r="O66" s="14">
        <f>N66*VLOOKUP('Données projet'!$B$9,Paramètres!$A$1:$I$89,3,0)*VLOOKUP('Données projet'!$B$9,Paramètres!$A$1:$I$89,5,0)</f>
        <v>245.56271999999998</v>
      </c>
      <c r="P66" s="14">
        <f t="shared" si="33"/>
        <v>59.634776048276898</v>
      </c>
      <c r="Q66" s="22">
        <f t="shared" si="53"/>
        <v>531.55230561741564</v>
      </c>
      <c r="R66" s="62">
        <f t="shared" si="0"/>
        <v>824.8856389507489</v>
      </c>
      <c r="S66" s="62">
        <f ca="1">AVERAGE(OFFSET($R$3,0,0,'Données projet'!$E$9+1,1))-AVERAGE(OFFSET($H$3,0,0,'Données projet'!$E$9+1,1))</f>
        <v>312.57314929661908</v>
      </c>
      <c r="T66" s="62">
        <f t="shared" si="34"/>
        <v>190.92100876773804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33.767002143742481</v>
      </c>
      <c r="AA66" s="23">
        <f>EXP(-LN(2)/25)*AA65+(1-EXP(-LN(2)/25))/(LN(2)/25)*Calculateur!V66*Calculateur!X66*VLOOKUP('Données projet'!$B$9,Paramètres!$A$1:$I$89,3,0)*0.475*44/12</f>
        <v>2.4004765367028926</v>
      </c>
      <c r="AB66" s="23">
        <f>EXP(-LN(2)/2)*AB65+(1-EXP(-LN(2)/2))/(LN(2)/2)*V66*Y66*VLOOKUP('Données projet'!$B$9,Paramètres!$A$1:$I$89,3,0)*0.475*44/12</f>
        <v>0.61652535717329404</v>
      </c>
      <c r="AC66" s="24">
        <f t="shared" si="3"/>
        <v>36.784004037618665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8.8000000000000007</v>
      </c>
      <c r="AI66" s="14">
        <f>IF('Données projet'!$A$62&gt;35,AI65+AH66-AQ65,IF(A66&lt;'Données projet'!$A$62,$AF$205^A66,IF(A66='Données projet'!$A$62,'Données projet'!$B$62,AI65+AH66-AQ65)))</f>
        <v>271.39999999999998</v>
      </c>
      <c r="AJ66" s="14">
        <f>AI66*VLOOKUP('Données projet'!$B$10,Paramètres!$A$1:$I$89,3,0)*VLOOKUP('Données projet'!$B$10,Paramètres!$A$1:$I$89,5,0)</f>
        <v>275.19960000000003</v>
      </c>
      <c r="AK66" s="14">
        <f t="shared" si="35"/>
        <v>65.951527620662617</v>
      </c>
      <c r="AL66" s="22">
        <f t="shared" si="4"/>
        <v>594.17154727265404</v>
      </c>
      <c r="AM66" s="62">
        <f t="shared" si="5"/>
        <v>887.50488060598741</v>
      </c>
      <c r="AN66" s="62">
        <f ca="1">AVERAGE(OFFSET($AM$3,0,0,'Données projet'!$E$10+1,1))-AVERAGE(OFFSET($H$3,0,0,'Données projet'!$E$10+1,1))</f>
        <v>360.56293184044779</v>
      </c>
      <c r="AO66" s="62">
        <f t="shared" si="36"/>
        <v>219.32252911220542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37.842329988676923</v>
      </c>
      <c r="AV66" s="23">
        <f>EXP(-LN(2)/25)*AV65+(1-EXP(-LN(2)/25))/(LN(2)/25)*Calculateur!AQ66*Calculateur!AS66*VLOOKUP('Données projet'!$B$10,Paramètres!$A$1:$I$89,3,0)*0.475*44/12</f>
        <v>2.6901892221670352</v>
      </c>
      <c r="AW66" s="23">
        <f>EXP(-LN(2)/2)*AW65+(1-EXP(-LN(2)/2))/(LN(2)/2)*AQ66*AT66*VLOOKUP('Données projet'!$B$10,Paramètres!$A$1:$I$89,3,0)*0.475*44/12</f>
        <v>0.69093358993558818</v>
      </c>
      <c r="AX66" s="23">
        <f t="shared" si="6"/>
        <v>41.223452800779548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1.1368683772161603E-13</v>
      </c>
      <c r="BE66" s="14">
        <f>BD66*VLOOKUP('Données projet'!$B$11,Paramètres!$A$1:$I$89,3,0)*VLOOKUP('Données projet'!$B$11,Paramètres!$A$1:$I$89,5,0)</f>
        <v>8.3355189417488869E-14</v>
      </c>
      <c r="BF66" s="14">
        <f t="shared" si="37"/>
        <v>1.2790518435140618E-12</v>
      </c>
      <c r="BG66" s="22">
        <f t="shared" si="7"/>
        <v>2.3728589156891171E-12</v>
      </c>
      <c r="BH66" s="62">
        <f t="shared" si="8"/>
        <v>293.3333333333357</v>
      </c>
      <c r="BI66" s="62">
        <f ca="1">AVERAGE(OFFSET($BH$3,0,0,'Données projet'!$E$11+1,1))-AVERAGE(OFFSET($H$3,0,0,'Données projet'!$E$11+1,1))</f>
        <v>182.06733089745194</v>
      </c>
      <c r="BJ66" s="62">
        <f t="shared" si="38"/>
        <v>320.36755413886021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31.081253172039499</v>
      </c>
      <c r="BQ66" s="23">
        <f>EXP(-LN(2)/25)*BQ65+(1-EXP(-LN(2)/25))/(LN(2)/25)*Calculateur!BL66*Calculateur!BN66*VLOOKUP('Données projet'!$B$11,Paramètres!$A$1:$I$89,3,0)*0.475*44/12</f>
        <v>5.0895774125521678</v>
      </c>
      <c r="BR66" s="23">
        <f>EXP(-LN(2)/2)*BR65+(1-EXP(-LN(2)/2))/(LN(2)/2)*BL66*BO66*VLOOKUP('Données projet'!$B$11,Paramètres!$A$1:$I$89,3,0)*0.475*44/12</f>
        <v>7.9884438700644662E-3</v>
      </c>
      <c r="BS66" s="24">
        <f t="shared" si="9"/>
        <v>36.178819028461731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10.199999999999999</v>
      </c>
      <c r="BY66" s="13">
        <f>IF('Données projet'!$A$114&gt;35,BY65+BX66-CG65,IF(A66&lt;'Données projet'!$A$114,$BV$205^A66,IF(A66='Données projet'!$A$114,'Données projet'!$B$114,BY65+BX66-CG65)))</f>
        <v>269.59999999999997</v>
      </c>
      <c r="BZ66" s="14">
        <f>BY66*VLOOKUP('Données projet'!$B$12,Paramètres!$A$1:$I$89,3,0)*VLOOKUP('Données projet'!$B$12,Paramètres!$A$1:$I$89,5,0)</f>
        <v>235.52256</v>
      </c>
      <c r="CA66" s="14">
        <f t="shared" si="39"/>
        <v>57.475134142782117</v>
      </c>
      <c r="CB66" s="22">
        <f t="shared" si="10"/>
        <v>510.30431729867882</v>
      </c>
      <c r="CC66" s="62">
        <f t="shared" si="11"/>
        <v>803.63765063201208</v>
      </c>
      <c r="CD66" s="62">
        <f ca="1">AVERAGE(OFFSET($CC$3,0,0,'Données projet'!$E$12+1,1))-AVERAGE(OFFSET($H$3,0,0,'Données projet'!$E$12+1,1))</f>
        <v>248.60758320902863</v>
      </c>
      <c r="CE66" s="62">
        <f t="shared" si="40"/>
        <v>222.23585883330111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29.765099477266229</v>
      </c>
      <c r="CL66" s="23">
        <f>EXP(-LN(2)/25)*CL65+(1-EXP(-LN(2)/25))/(LN(2)/25)*Calculateur!CG66*Calculateur!CI66*VLOOKUP('Données projet'!$B$12,Paramètres!$A$1:$I$89,3,0)*0.475*44/12</f>
        <v>8.018517835344424</v>
      </c>
      <c r="CM66" s="23">
        <f>EXP(-LN(2)/2)*CM65+(1-EXP(-LN(2)/2))/(LN(2)/2)*CG66*CJ66*VLOOKUP('Données projet'!$B$12,Paramètres!$A$1:$I$89,3,0)*0.475*44/12</f>
        <v>1.6558421708818185</v>
      </c>
      <c r="CN66" s="24">
        <f t="shared" si="12"/>
        <v>39.43945948349247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193.99999999999994</v>
      </c>
      <c r="CU66" s="18">
        <f>CT66*VLOOKUP('Données projet'!$B$13,Paramètres!$A$1:$I$89,3,0)*VLOOKUP('Données projet'!$B$13,Paramètres!$A$1:$I$89,5,0)</f>
        <v>105.92399999999998</v>
      </c>
      <c r="CV66" s="14">
        <f t="shared" si="41"/>
        <v>28.36854701055546</v>
      </c>
      <c r="CW66" s="22">
        <f t="shared" si="13"/>
        <v>233.89285271005073</v>
      </c>
      <c r="CX66" s="62">
        <f t="shared" si="14"/>
        <v>527.22618604338402</v>
      </c>
      <c r="CY66" s="62">
        <f ca="1">AVERAGE(OFFSET($CX$3,0,0,'Données projet'!$E$13+1,1))-AVERAGE(OFFSET($H$3,0,0,'Données projet'!$E$13+1,1))</f>
        <v>135.44138026609272</v>
      </c>
      <c r="CZ66" s="62">
        <f t="shared" si="42"/>
        <v>254.77247578425659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34.374202039579679</v>
      </c>
      <c r="DG66" s="23">
        <f>EXP(-LN(2)/25)*DG65+(1-EXP(-LN(2)/25))/(LN(2)/25)*Calculateur!DB66*Calculateur!DD66*VLOOKUP('Données projet'!$B$13,Paramètres!$A$1:$I$89,3,0)*0.475*44/12</f>
        <v>18.118912180257858</v>
      </c>
      <c r="DH66" s="23">
        <f>EXP(-LN(2)/2)*DH65+(1-EXP(-LN(2)/2))/(LN(2)/2)*DB66*DE66*VLOOKUP('Données projet'!$B$13,Paramètres!$A$1:$I$89,3,0)*0.475*44/12</f>
        <v>9.1767248103265774E-4</v>
      </c>
      <c r="DI66" s="24">
        <f t="shared" si="15"/>
        <v>52.494031892318567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273.00000000000023</v>
      </c>
      <c r="DP66" s="18">
        <f>DO66*VLOOKUP('Données projet'!$B$14,Paramètres!$A$1:$I$89,3,0)*VLOOKUP('Données projet'!$B$14,Paramètres!$A$1:$I$89,5,0)</f>
        <v>264.04560000000021</v>
      </c>
      <c r="DQ66" s="14">
        <f t="shared" si="43"/>
        <v>63.583959929973794</v>
      </c>
      <c r="DR66" s="22">
        <f t="shared" si="16"/>
        <v>570.6214835447048</v>
      </c>
      <c r="DS66" s="62">
        <f t="shared" si="17"/>
        <v>863.95481687803817</v>
      </c>
      <c r="DT66" s="62">
        <f ca="1">AVERAGE(OFFSET($DS$3,0,0,'Données projet'!$E$14+1,1))-AVERAGE(OFFSET($H$3,0,0,'Données projet'!$E$14+1,1))</f>
        <v>271.09447278906288</v>
      </c>
      <c r="DU66" s="62">
        <f t="shared" si="44"/>
        <v>325.1094067861851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38.139718370597002</v>
      </c>
      <c r="EB66" s="23">
        <f>EXP(-LN(2)/25)*EB65+(1-EXP(-LN(2)/25))/(LN(2)/25)*Calculateur!DW66*Calculateur!DY66*VLOOKUP('Données projet'!$B$14,Paramètres!$A$1:$I$89,3,0)*0.475*44/12</f>
        <v>6.7692049235989495</v>
      </c>
      <c r="EC66" s="23">
        <f>EXP(-LN(2)/2)*EC65+(1-EXP(-LN(2)/2))/(LN(2)/2)*DW66*DZ66*VLOOKUP('Données projet'!$B$14,Paramètres!$A$1:$I$89,3,0)*0.475*44/12</f>
        <v>2.1544700297625878</v>
      </c>
      <c r="ED66" s="24">
        <f t="shared" si="18"/>
        <v>47.063393323958536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273.00000000000023</v>
      </c>
      <c r="EK66" s="18">
        <f>EJ66*VLOOKUP('Données projet'!$B$15,Paramètres!$A$1:$I$89,3,0)*VLOOKUP('Données projet'!$B$15,Paramètres!$A$1:$I$89,5,0)</f>
        <v>293.85720000000026</v>
      </c>
      <c r="EL66" s="14">
        <f t="shared" si="45"/>
        <v>69.887150190339895</v>
      </c>
      <c r="EM66" s="22">
        <f t="shared" si="19"/>
        <v>633.52140991484237</v>
      </c>
      <c r="EN66" s="62">
        <f t="shared" si="20"/>
        <v>926.85474324817574</v>
      </c>
      <c r="EO66" s="62">
        <f ca="1">AVERAGE(OFFSET($EN$3,0,0,'Données projet'!$E$15+1,1))-AVERAGE(OFFSET($H$3,0,0,'Données projet'!$E$15+1,1))</f>
        <v>306.50593475734655</v>
      </c>
      <c r="EP66" s="62">
        <f t="shared" si="46"/>
        <v>366.48643801375079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42.445815605986979</v>
      </c>
      <c r="EW66" s="23">
        <f>EXP(-LN(2)/25)*EW65+(1-EXP(-LN(2)/25))/(LN(2)/25)*Calculateur!ER66*Calculateur!ET66*VLOOKUP('Données projet'!$B$15,Paramètres!$A$1:$I$89,3,0)*0.475*44/12</f>
        <v>7.5334699956181863</v>
      </c>
      <c r="EX66" s="23">
        <f>EXP(-LN(2)/2)*EX65+(1-EXP(-LN(2)/2))/(LN(2)/2)*ER66*EU66*VLOOKUP('Données projet'!$B$15,Paramètres!$A$1:$I$89,3,0)*0.475*44/12</f>
        <v>2.397716646026105</v>
      </c>
      <c r="EY66" s="24">
        <f t="shared" si="21"/>
        <v>52.377002247631268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46.924799999999927</v>
      </c>
      <c r="D67" s="12">
        <f t="shared" si="32"/>
        <v>13.816665778834693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468.88149022258307</v>
      </c>
      <c r="H67" s="70">
        <f t="shared" si="1"/>
        <v>399.12471956480363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8.8000000000000007</v>
      </c>
      <c r="N67" s="14">
        <f>IF('Données projet'!$A$36&gt;35,N66+M67-V66,IF(A67&lt;'Données projet'!$A$36,$K$205^A67,IF(A67='Données projet'!$A$36,'Données projet'!$B$36,N66+M67-V66)))</f>
        <v>280.2</v>
      </c>
      <c r="O67" s="14">
        <f>N67*VLOOKUP('Données projet'!$B$9,Paramètres!$A$1:$I$89,3,0)*VLOOKUP('Données projet'!$B$9,Paramètres!$A$1:$I$89,5,0)</f>
        <v>253.52495999999999</v>
      </c>
      <c r="P67" s="14">
        <f t="shared" si="33"/>
        <v>61.340141798422209</v>
      </c>
      <c r="Q67" s="22">
        <f t="shared" ref="Q67:Q98" si="54">(O67+P67)*0.475*44/12</f>
        <v>548.39005229891859</v>
      </c>
      <c r="R67" s="62">
        <f t="shared" ref="R67:R130" si="55">Q67+(I67+J67)*44/12</f>
        <v>841.72338563225185</v>
      </c>
      <c r="S67" s="62">
        <f ca="1">AVERAGE(OFFSET($R$3,0,0,'Données projet'!$E$9+1,1))-AVERAGE(OFFSET($H$3,0,0,'Données projet'!$E$9+1,1))</f>
        <v>312.57314929661908</v>
      </c>
      <c r="T67" s="62">
        <f t="shared" si="34"/>
        <v>190.92100876773804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33.104851827541331</v>
      </c>
      <c r="AA67" s="23">
        <f>EXP(-LN(2)/25)*AA66+(1-EXP(-LN(2)/25))/(LN(2)/25)*Calculateur!V67*Calculateur!X67*VLOOKUP('Données projet'!$B$9,Paramètres!$A$1:$I$89,3,0)*0.475*44/12</f>
        <v>2.3348353795711771</v>
      </c>
      <c r="AB67" s="23">
        <f>EXP(-LN(2)/2)*AB66+(1-EXP(-LN(2)/2))/(LN(2)/2)*V67*Y67*VLOOKUP('Données projet'!$B$9,Paramètres!$A$1:$I$89,3,0)*0.475*44/12</f>
        <v>0.43594926083069452</v>
      </c>
      <c r="AC67" s="24">
        <f t="shared" si="3"/>
        <v>35.875636467943202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8.8000000000000007</v>
      </c>
      <c r="AI67" s="14">
        <f>IF('Données projet'!$A$62&gt;35,AI66+AH67-AQ66,IF(A67&lt;'Données projet'!$A$62,$AF$205^A67,IF(A67='Données projet'!$A$62,'Données projet'!$B$62,AI66+AH67-AQ66)))</f>
        <v>280.2</v>
      </c>
      <c r="AJ67" s="14">
        <f>AI67*VLOOKUP('Données projet'!$B$10,Paramètres!$A$1:$I$89,3,0)*VLOOKUP('Données projet'!$B$10,Paramètres!$A$1:$I$89,5,0)</f>
        <v>284.12279999999998</v>
      </c>
      <c r="AK67" s="14">
        <f t="shared" si="35"/>
        <v>67.837532462585557</v>
      </c>
      <c r="AL67" s="22">
        <f t="shared" si="4"/>
        <v>612.99757903900309</v>
      </c>
      <c r="AM67" s="62">
        <f t="shared" si="5"/>
        <v>906.33091237233634</v>
      </c>
      <c r="AN67" s="62">
        <f ca="1">AVERAGE(OFFSET($AM$3,0,0,'Données projet'!$E$10+1,1))-AVERAGE(OFFSET($H$3,0,0,'Données projet'!$E$10+1,1))</f>
        <v>360.56293184044779</v>
      </c>
      <c r="AO67" s="62">
        <f t="shared" si="36"/>
        <v>219.32252911220542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37.100264979141151</v>
      </c>
      <c r="AV67" s="23">
        <f>EXP(-LN(2)/25)*AV66+(1-EXP(-LN(2)/25))/(LN(2)/25)*Calculateur!AQ67*Calculateur!AS67*VLOOKUP('Données projet'!$B$10,Paramètres!$A$1:$I$89,3,0)*0.475*44/12</f>
        <v>2.616625856415975</v>
      </c>
      <c r="AW67" s="23">
        <f>EXP(-LN(2)/2)*AW66+(1-EXP(-LN(2)/2))/(LN(2)/2)*AQ67*AT67*VLOOKUP('Données projet'!$B$10,Paramètres!$A$1:$I$89,3,0)*0.475*44/12</f>
        <v>0.48856382679301974</v>
      </c>
      <c r="AX67" s="23">
        <f t="shared" si="6"/>
        <v>40.205454662350142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1.1368683772161603E-13</v>
      </c>
      <c r="BE67" s="14">
        <f>BD67*VLOOKUP('Données projet'!$B$11,Paramètres!$A$1:$I$89,3,0)*VLOOKUP('Données projet'!$B$11,Paramètres!$A$1:$I$89,5,0)</f>
        <v>8.3355189417488869E-14</v>
      </c>
      <c r="BF67" s="14">
        <f t="shared" si="37"/>
        <v>1.2790518435140618E-12</v>
      </c>
      <c r="BG67" s="22">
        <f t="shared" si="7"/>
        <v>2.3728589156891171E-12</v>
      </c>
      <c r="BH67" s="62">
        <f t="shared" si="8"/>
        <v>293.3333333333357</v>
      </c>
      <c r="BI67" s="62">
        <f ca="1">AVERAGE(OFFSET($BH$3,0,0,'Données projet'!$E$11+1,1))-AVERAGE(OFFSET($H$3,0,0,'Données projet'!$E$11+1,1))</f>
        <v>182.06733089745194</v>
      </c>
      <c r="BJ67" s="62">
        <f t="shared" si="38"/>
        <v>320.36755413886021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30.471768755028322</v>
      </c>
      <c r="BQ67" s="23">
        <f>EXP(-LN(2)/25)*BQ66+(1-EXP(-LN(2)/25))/(LN(2)/25)*Calculateur!BL67*Calculateur!BN67*VLOOKUP('Données projet'!$B$11,Paramètres!$A$1:$I$89,3,0)*0.475*44/12</f>
        <v>4.9504026505566854</v>
      </c>
      <c r="BR67" s="23">
        <f>EXP(-LN(2)/2)*BR66+(1-EXP(-LN(2)/2))/(LN(2)/2)*BL67*BO67*VLOOKUP('Données projet'!$B$11,Paramètres!$A$1:$I$89,3,0)*0.475*44/12</f>
        <v>5.6486828316506914E-3</v>
      </c>
      <c r="BS67" s="24">
        <f t="shared" si="9"/>
        <v>35.427820088416652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10.199999999999999</v>
      </c>
      <c r="BY67" s="13">
        <f>IF('Données projet'!$A$114&gt;35,BY66+BX67-CG66,IF(A67&lt;'Données projet'!$A$114,$BV$205^A67,IF(A67='Données projet'!$A$114,'Données projet'!$B$114,BY66+BX67-CG66)))</f>
        <v>279.79999999999995</v>
      </c>
      <c r="BZ67" s="14">
        <f>BY67*VLOOKUP('Données projet'!$B$12,Paramètres!$A$1:$I$89,3,0)*VLOOKUP('Données projet'!$B$12,Paramètres!$A$1:$I$89,5,0)</f>
        <v>244.43328</v>
      </c>
      <c r="CA67" s="14">
        <f t="shared" si="39"/>
        <v>59.392353804247691</v>
      </c>
      <c r="CB67" s="22">
        <f t="shared" si="10"/>
        <v>529.16297887573126</v>
      </c>
      <c r="CC67" s="62">
        <f t="shared" si="11"/>
        <v>822.49631220906463</v>
      </c>
      <c r="CD67" s="62">
        <f ca="1">AVERAGE(OFFSET($CC$3,0,0,'Données projet'!$E$12+1,1))-AVERAGE(OFFSET($H$3,0,0,'Données projet'!$E$12+1,1))</f>
        <v>248.60758320902863</v>
      </c>
      <c r="CE67" s="62">
        <f t="shared" si="40"/>
        <v>222.23585883330111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29.181424031435071</v>
      </c>
      <c r="CL67" s="23">
        <f>EXP(-LN(2)/25)*CL66+(1-EXP(-LN(2)/25))/(LN(2)/25)*Calculateur!CG67*Calculateur!CI67*VLOOKUP('Données projet'!$B$12,Paramètres!$A$1:$I$89,3,0)*0.475*44/12</f>
        <v>7.7992510434614042</v>
      </c>
      <c r="CM67" s="23">
        <f>EXP(-LN(2)/2)*CM66+(1-EXP(-LN(2)/2))/(LN(2)/2)*CG67*CJ67*VLOOKUP('Données projet'!$B$12,Paramètres!$A$1:$I$89,3,0)*0.475*44/12</f>
        <v>1.1708572276051878</v>
      </c>
      <c r="CN67" s="24">
        <f t="shared" si="12"/>
        <v>38.151532302501664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193.99999999999994</v>
      </c>
      <c r="CU67" s="18">
        <f>CT67*VLOOKUP('Données projet'!$B$13,Paramètres!$A$1:$I$89,3,0)*VLOOKUP('Données projet'!$B$13,Paramètres!$A$1:$I$89,5,0)</f>
        <v>105.92399999999998</v>
      </c>
      <c r="CV67" s="14">
        <f t="shared" si="41"/>
        <v>28.36854701055546</v>
      </c>
      <c r="CW67" s="22">
        <f t="shared" si="13"/>
        <v>233.89285271005073</v>
      </c>
      <c r="CX67" s="62">
        <f t="shared" si="14"/>
        <v>527.22618604338402</v>
      </c>
      <c r="CY67" s="62">
        <f ca="1">AVERAGE(OFFSET($CX$3,0,0,'Données projet'!$E$13+1,1))-AVERAGE(OFFSET($H$3,0,0,'Données projet'!$E$13+1,1))</f>
        <v>135.44138026609272</v>
      </c>
      <c r="CZ67" s="62">
        <f t="shared" si="42"/>
        <v>254.77247578425659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33.700144903776525</v>
      </c>
      <c r="DG67" s="23">
        <f>EXP(-LN(2)/25)*DG66+(1-EXP(-LN(2)/25))/(LN(2)/25)*Calculateur!DB67*Calculateur!DD67*VLOOKUP('Données projet'!$B$13,Paramètres!$A$1:$I$89,3,0)*0.475*44/12</f>
        <v>17.623449573856526</v>
      </c>
      <c r="DH67" s="23">
        <f>EXP(-LN(2)/2)*DH66+(1-EXP(-LN(2)/2))/(LN(2)/2)*DB67*DE67*VLOOKUP('Données projet'!$B$13,Paramètres!$A$1:$I$89,3,0)*0.475*44/12</f>
        <v>6.4889243424647578E-4</v>
      </c>
      <c r="DI67" s="24">
        <f t="shared" si="15"/>
        <v>51.3242433700673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273.00000000000023</v>
      </c>
      <c r="DP67" s="18">
        <f>DO67*VLOOKUP('Données projet'!$B$14,Paramètres!$A$1:$I$89,3,0)*VLOOKUP('Données projet'!$B$14,Paramètres!$A$1:$I$89,5,0)</f>
        <v>264.04560000000021</v>
      </c>
      <c r="DQ67" s="14">
        <f t="shared" si="43"/>
        <v>63.583959929973794</v>
      </c>
      <c r="DR67" s="22">
        <f t="shared" si="16"/>
        <v>570.6214835447048</v>
      </c>
      <c r="DS67" s="62">
        <f t="shared" si="17"/>
        <v>863.95481687803817</v>
      </c>
      <c r="DT67" s="62">
        <f ca="1">AVERAGE(OFFSET($DS$3,0,0,'Données projet'!$E$14+1,1))-AVERAGE(OFFSET($H$3,0,0,'Données projet'!$E$14+1,1))</f>
        <v>271.09447278906288</v>
      </c>
      <c r="DU67" s="62">
        <f t="shared" si="44"/>
        <v>325.1094067861851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37.391821756280777</v>
      </c>
      <c r="EB67" s="23">
        <f>EXP(-LN(2)/25)*EB66+(1-EXP(-LN(2)/25))/(LN(2)/25)*Calculateur!DW67*Calculateur!DY67*VLOOKUP('Données projet'!$B$14,Paramètres!$A$1:$I$89,3,0)*0.475*44/12</f>
        <v>6.5841006589861202</v>
      </c>
      <c r="EC67" s="23">
        <f>EXP(-LN(2)/2)*EC66+(1-EXP(-LN(2)/2))/(LN(2)/2)*DW67*DZ67*VLOOKUP('Données projet'!$B$14,Paramètres!$A$1:$I$89,3,0)*0.475*44/12</f>
        <v>1.5234403679083088</v>
      </c>
      <c r="ED67" s="24">
        <f t="shared" si="18"/>
        <v>45.499362783175201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273.00000000000023</v>
      </c>
      <c r="EK67" s="18">
        <f>EJ67*VLOOKUP('Données projet'!$B$15,Paramètres!$A$1:$I$89,3,0)*VLOOKUP('Données projet'!$B$15,Paramètres!$A$1:$I$89,5,0)</f>
        <v>293.85720000000026</v>
      </c>
      <c r="EL67" s="14">
        <f t="shared" si="45"/>
        <v>69.887150190339895</v>
      </c>
      <c r="EM67" s="22">
        <f t="shared" si="19"/>
        <v>633.52140991484237</v>
      </c>
      <c r="EN67" s="62">
        <f t="shared" si="20"/>
        <v>926.85474324817574</v>
      </c>
      <c r="EO67" s="62">
        <f ca="1">AVERAGE(OFFSET($EN$3,0,0,'Données projet'!$E$15+1,1))-AVERAGE(OFFSET($H$3,0,0,'Données projet'!$E$15+1,1))</f>
        <v>306.50593475734655</v>
      </c>
      <c r="EP67" s="62">
        <f t="shared" si="46"/>
        <v>366.48643801375079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41.613479051344733</v>
      </c>
      <c r="EW67" s="23">
        <f>EXP(-LN(2)/25)*EW66+(1-EXP(-LN(2)/25))/(LN(2)/25)*Calculateur!ER67*Calculateur!ET67*VLOOKUP('Données projet'!$B$15,Paramètres!$A$1:$I$89,3,0)*0.475*44/12</f>
        <v>7.3274668624200379</v>
      </c>
      <c r="EX67" s="23">
        <f>EXP(-LN(2)/2)*EX66+(1-EXP(-LN(2)/2))/(LN(2)/2)*ER67*EU67*VLOOKUP('Données projet'!$B$15,Paramètres!$A$1:$I$89,3,0)*0.475*44/12</f>
        <v>1.6954416997689237</v>
      </c>
      <c r="EY67" s="24">
        <f t="shared" si="21"/>
        <v>50.636387613533692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47.657999999999923</v>
      </c>
      <c r="D68" s="12">
        <f t="shared" si="32"/>
        <v>14.007249652087188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476.01245345470755</v>
      </c>
      <c r="H68" s="70">
        <f t="shared" ref="H68:H131" si="56">(B68+E68+F68)*44/12+(C68+D68)*0.475*44/12</f>
        <v>400.73364314405171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>
        <f>VLOOKUP(A68,'Données projet'!$A$35:$I$55,2,0)</f>
        <v>289</v>
      </c>
      <c r="L68" s="13">
        <f>VLOOKUP(A68,'Données projet'!$A$35:$I$55,9,0)</f>
        <v>8.8000000000000007</v>
      </c>
      <c r="M68" s="13">
        <f t="array" ref="M68">INDEX(L:L,MIN(IF(ISNUMBER(L68:L264),ROW(L68:L264),"")))</f>
        <v>8.8000000000000007</v>
      </c>
      <c r="N68" s="14">
        <f>IF('Données projet'!$A$36&gt;35,N67+M68-V67,IF(A68&lt;'Données projet'!$A$36,$K$205^A68,IF(A68='Données projet'!$A$36,'Données projet'!$B$36,N67+M68-V67)))</f>
        <v>289</v>
      </c>
      <c r="O68" s="14">
        <f>N68*VLOOKUP('Données projet'!$B$9,Paramètres!$A$1:$I$89,3,0)*VLOOKUP('Données projet'!$B$9,Paramètres!$A$1:$I$89,5,0)</f>
        <v>261.48719999999997</v>
      </c>
      <c r="P68" s="14">
        <f t="shared" si="33"/>
        <v>63.039283586802391</v>
      </c>
      <c r="Q68" s="22">
        <f t="shared" si="54"/>
        <v>565.21695891368086</v>
      </c>
      <c r="R68" s="62">
        <f t="shared" si="55"/>
        <v>858.55029224701411</v>
      </c>
      <c r="S68" s="62">
        <f ca="1">AVERAGE(OFFSET($R$3,0,0,'Données projet'!$E$9+1,1))-AVERAGE(OFFSET($H$3,0,0,'Données projet'!$E$9+1,1))</f>
        <v>312.57314929661908</v>
      </c>
      <c r="T68" s="62">
        <f t="shared" si="34"/>
        <v>190.92100876773804</v>
      </c>
      <c r="U68" s="16">
        <f>IF(ISNA(VLOOKUP(A68,'Données projet'!$A$35:$I$55,3,0)),0,VLOOKUP(A68,'Données projet'!$A$35:$I$55,3,0))</f>
        <v>10</v>
      </c>
      <c r="V68" s="16">
        <f>IF(ISNA(VLOOKUP(A68,'Données projet'!$A$35:$I$55,4,0)),0,VLOOKUP(A68,'Données projet'!$A$35:$I$55,4,0))</f>
        <v>28</v>
      </c>
      <c r="W68" s="17">
        <f>IF(ISNA(VLOOKUP(A68,'Données projet'!$A$35:$I$55,5,0)),0%,VLOOKUP(A68,'Données projet'!$A$35:$I$55,5,0)*VLOOKUP('Données projet'!$B$9,Paramètres!$A$1:$I$89,7,0))</f>
        <v>0.34400000000000003</v>
      </c>
      <c r="X68" s="17">
        <f>IF(ISNA(VLOOKUP(A68,'Données projet'!$A$35:$I$55,6,0)),0%,VLOOKUP(A68,'Données projet'!$A$35:$I$55,6,0)*VLOOKUP('Données projet'!$B$9,Paramètres!$A$1:$I$89,7,0))</f>
        <v>1.72E-2</v>
      </c>
      <c r="Y68" s="17">
        <f>IF(ISNA(VLOOKUP(A68,'Données projet'!$A$35:$I$55,7,0)),0%,VLOOKUP(A68,'Données projet'!$A$35:$I$55,7,0))</f>
        <v>0.06</v>
      </c>
      <c r="Z68" s="23">
        <f>EXP(-LN(2)/35)*Z67+(1-EXP(-LN(2)/35))/(LN(2)/35)*V68*W68*VLOOKUP('Données projet'!$B$9,Paramètres!$A$1:$I$89,3,0)*0.475*44/12</f>
        <v>42.089897376603481</v>
      </c>
      <c r="AA68" s="23">
        <f>EXP(-LN(2)/25)*AA67+(1-EXP(-LN(2)/25))/(LN(2)/25)*Calculateur!V68*Calculateur!X68*VLOOKUP('Données projet'!$B$9,Paramètres!$A$1:$I$89,3,0)*0.475*44/12</f>
        <v>2.7508030803246912</v>
      </c>
      <c r="AB68" s="23">
        <f>EXP(-LN(2)/2)*AB67+(1-EXP(-LN(2)/2))/(LN(2)/2)*V68*Y68*VLOOKUP('Données projet'!$B$9,Paramètres!$A$1:$I$89,3,0)*0.475*44/12</f>
        <v>1.7424839745093719</v>
      </c>
      <c r="AC68" s="24">
        <f t="shared" ref="AC68:AC131" si="57">SUM(Z68:AB68)</f>
        <v>46.583184431437545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289</v>
      </c>
      <c r="AG68" s="13">
        <f>VLOOKUP(A68,'Données projet'!$A$61:$I$81,9,0)</f>
        <v>8.8000000000000007</v>
      </c>
      <c r="AH68" s="13">
        <f t="array" ref="AH68">INDEX(AG:AG,MIN(IF(ISNUMBER(AG68:AG264),ROW(AG68:AG264),"")))</f>
        <v>8.8000000000000007</v>
      </c>
      <c r="AI68" s="14">
        <f>IF('Données projet'!$A$62&gt;35,AI67+AH68-AQ67,IF(A68&lt;'Données projet'!$A$62,$AF$205^A68,IF(A68='Données projet'!$A$62,'Données projet'!$B$62,AI67+AH68-AQ67)))</f>
        <v>289</v>
      </c>
      <c r="AJ68" s="14">
        <f>AI68*VLOOKUP('Données projet'!$B$10,Paramètres!$A$1:$I$89,3,0)*VLOOKUP('Données projet'!$B$10,Paramètres!$A$1:$I$89,5,0)</f>
        <v>293.04599999999999</v>
      </c>
      <c r="AK68" s="14">
        <f t="shared" si="35"/>
        <v>69.716654076072615</v>
      </c>
      <c r="AL68" s="22">
        <f t="shared" ref="AL68:AL131" si="58">(AJ68+AK68)*0.475*44/12</f>
        <v>631.81162251582646</v>
      </c>
      <c r="AM68" s="62">
        <f t="shared" ref="AM68:AM131" si="59">AL68+(AD68+AE68)*44/12</f>
        <v>925.14495584915971</v>
      </c>
      <c r="AN68" s="62">
        <f ca="1">AVERAGE(OFFSET($AM$3,0,0,'Données projet'!$E$10+1,1))-AVERAGE(OFFSET($H$3,0,0,'Données projet'!$E$10+1,1))</f>
        <v>360.56293184044779</v>
      </c>
      <c r="AO68" s="62">
        <f t="shared" si="36"/>
        <v>219.32252911220542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28</v>
      </c>
      <c r="AR68" s="17">
        <f>IF(ISNA(VLOOKUP(A68,'Données projet'!$A$61:$I$81,5,0)),0%,VLOOKUP(A68,'Données projet'!$A$61:$I$81,5,0)*VLOOKUP('Données projet'!$B$10,Paramètres!$A$1:$I$89,7,0))</f>
        <v>0.34400000000000003</v>
      </c>
      <c r="AS68" s="17">
        <f>IF(ISNA(VLOOKUP(A68,'Données projet'!$A$61:$I$81,6,0)),0%,VLOOKUP(A68,'Données projet'!$A$61:$I$81,6,0)*VLOOKUP('Données projet'!$B$10,Paramètres!$A$1:$I$89,7,0))</f>
        <v>1.72E-2</v>
      </c>
      <c r="AT68" s="17">
        <f>IF(ISNA(VLOOKUP(A68,'Données projet'!$A$61:$I$81,7,0)),0%,VLOOKUP(A68,'Données projet'!$A$61:$I$81,7,0))</f>
        <v>0.06</v>
      </c>
      <c r="AU68" s="23">
        <f>EXP(-LN(2)/35)*AU67+(1-EXP(-LN(2)/35))/(LN(2)/35)*AQ68*AR68*VLOOKUP('Données projet'!$B$10,Paramètres!$A$1:$I$89,3,0)*0.475*44/12</f>
        <v>47.169712577228047</v>
      </c>
      <c r="AV68" s="23">
        <f>EXP(-LN(2)/25)*AV67+(1-EXP(-LN(2)/25))/(LN(2)/25)*Calculateur!AQ68*Calculateur!AS68*VLOOKUP('Données projet'!$B$10,Paramètres!$A$1:$I$89,3,0)*0.475*44/12</f>
        <v>3.0827965555362926</v>
      </c>
      <c r="AW68" s="23">
        <f>EXP(-LN(2)/2)*AW67+(1-EXP(-LN(2)/2))/(LN(2)/2)*AQ68*AT68*VLOOKUP('Données projet'!$B$10,Paramètres!$A$1:$I$89,3,0)*0.475*44/12</f>
        <v>1.952783764536365</v>
      </c>
      <c r="AX68" s="23">
        <f t="shared" ref="AX68:AX131" si="60">SUM(AU68:AW68)</f>
        <v>52.205292897300701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1.1368683772161603E-13</v>
      </c>
      <c r="BE68" s="14">
        <f>BD68*VLOOKUP('Données projet'!$B$11,Paramètres!$A$1:$I$89,3,0)*VLOOKUP('Données projet'!$B$11,Paramètres!$A$1:$I$89,5,0)</f>
        <v>8.3355189417488869E-14</v>
      </c>
      <c r="BF68" s="14">
        <f t="shared" si="37"/>
        <v>1.2790518435140618E-12</v>
      </c>
      <c r="BG68" s="22">
        <f t="shared" ref="BG68:BG131" si="61">(BE68+BF68)*0.475*44/12</f>
        <v>2.3728589156891171E-12</v>
      </c>
      <c r="BH68" s="62">
        <f t="shared" ref="BH68:BH131" si="62">BG68+(AY68+AZ68)*44/12</f>
        <v>293.3333333333357</v>
      </c>
      <c r="BI68" s="62">
        <f ca="1">AVERAGE(OFFSET($BH$3,0,0,'Données projet'!$E$11+1,1))-AVERAGE(OFFSET($H$3,0,0,'Données projet'!$E$11+1,1))</f>
        <v>182.06733089745194</v>
      </c>
      <c r="BJ68" s="62">
        <f t="shared" si="38"/>
        <v>320.36755413886021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29.874235955685947</v>
      </c>
      <c r="BQ68" s="23">
        <f>EXP(-LN(2)/25)*BQ67+(1-EXP(-LN(2)/25))/(LN(2)/25)*Calculateur!BL68*Calculateur!BN68*VLOOKUP('Données projet'!$B$11,Paramètres!$A$1:$I$89,3,0)*0.475*44/12</f>
        <v>4.8150336297468517</v>
      </c>
      <c r="BR68" s="23">
        <f>EXP(-LN(2)/2)*BR67+(1-EXP(-LN(2)/2))/(LN(2)/2)*BL68*BO68*VLOOKUP('Données projet'!$B$11,Paramètres!$A$1:$I$89,3,0)*0.475*44/12</f>
        <v>3.9942219350322331E-3</v>
      </c>
      <c r="BS68" s="24">
        <f t="shared" ref="BS68:BS131" si="63">SUM(BP68:BR68)</f>
        <v>34.693263807367828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290</v>
      </c>
      <c r="BW68" s="13">
        <f>VLOOKUP(A68,'Données projet'!$A$113:$I$133,9,0)</f>
        <v>10.199999999999999</v>
      </c>
      <c r="BX68" s="13">
        <f t="array" ref="BX68">INDEX(BW:BW,MIN(IF(ISNUMBER(BW68:BW264),ROW(BW68:BW264),"")))</f>
        <v>10.199999999999999</v>
      </c>
      <c r="BY68" s="13">
        <f>IF('Données projet'!$A$114&gt;35,BY67+BX68-CG67,IF(A68&lt;'Données projet'!$A$114,$BV$205^A68,IF(A68='Données projet'!$A$114,'Données projet'!$B$114,BY67+BX68-CG67)))</f>
        <v>289.99999999999994</v>
      </c>
      <c r="BZ68" s="14">
        <f>BY68*VLOOKUP('Données projet'!$B$12,Paramètres!$A$1:$I$89,3,0)*VLOOKUP('Données projet'!$B$12,Paramètres!$A$1:$I$89,5,0)</f>
        <v>253.34399999999997</v>
      </c>
      <c r="CA68" s="14">
        <f t="shared" si="39"/>
        <v>61.301453431926255</v>
      </c>
      <c r="CB68" s="22">
        <f t="shared" ref="CB68:CB131" si="64">(BZ68+CA68)*0.475*44/12</f>
        <v>548.0074980606048</v>
      </c>
      <c r="CC68" s="62">
        <f t="shared" ref="CC68:CC131" si="65">CB68+(BT68+BU68)*44/12</f>
        <v>841.34083139393806</v>
      </c>
      <c r="CD68" s="62">
        <f ca="1">AVERAGE(OFFSET($CC$3,0,0,'Données projet'!$E$12+1,1))-AVERAGE(OFFSET($H$3,0,0,'Données projet'!$E$12+1,1))</f>
        <v>248.60758320902863</v>
      </c>
      <c r="CE68" s="62">
        <f t="shared" si="40"/>
        <v>222.23585883330111</v>
      </c>
      <c r="CF68" s="16">
        <f>IF(ISNA(VLOOKUP(A68,'Données projet'!$A$113:$I$133,3,0)),0,VLOOKUP(A68,'Données projet'!$A$113:$I$133,3,0))</f>
        <v>10</v>
      </c>
      <c r="CG68" s="16">
        <f>IF(ISNA(VLOOKUP(A68,'Données projet'!$A$113:$I$133,4,0)),0,VLOOKUP(A68,'Données projet'!$A$113:$I$133,4,0))</f>
        <v>31</v>
      </c>
      <c r="CH68" s="17">
        <f>IF(ISNA(VLOOKUP(A68,'Données projet'!$A$113:$I$133,5,0)),0%,VLOOKUP(A68,'Données projet'!$A$113:$I$133,5,0)*VLOOKUP('Données projet'!$B$12,Paramètres!$A$1:$I$89,7,0))</f>
        <v>0.215</v>
      </c>
      <c r="CI68" s="17">
        <f>IF(ISNA(VLOOKUP(A68,'Données projet'!$A$113:$I$133,6,0)),0%,VLOOKUP(A68,'Données projet'!$A$113:$I$133,6,0)*VLOOKUP('Données projet'!$B$12,Paramètres!$A$1:$I$89,7,0))</f>
        <v>4.3000000000000003E-2</v>
      </c>
      <c r="CJ68" s="17">
        <f>IF(ISNA(VLOOKUP(A68,'Données projet'!$A$113:$I$133,7,0)),0%,VLOOKUP(A68,'Données projet'!$A$113:$I$133,7,0))</f>
        <v>0.15</v>
      </c>
      <c r="CK68" s="23">
        <f>EXP(-LN(2)/35)*CK67+(1-EXP(-LN(2)/35))/(LN(2)/35)*CG68*CH68*VLOOKUP('Données projet'!$B$12,Paramètres!$A$1:$I$89,3,0)*0.475*44/12</f>
        <v>35.04584403061709</v>
      </c>
      <c r="CL68" s="23">
        <f>EXP(-LN(2)/25)*CL67+(1-EXP(-LN(2)/25))/(LN(2)/25)*Calculateur!CG68*Calculateur!CI68*VLOOKUP('Données projet'!$B$12,Paramètres!$A$1:$I$89,3,0)*0.475*44/12</f>
        <v>8.8682413899760864</v>
      </c>
      <c r="CM68" s="23">
        <f>EXP(-LN(2)/2)*CM67+(1-EXP(-LN(2)/2))/(LN(2)/2)*CG68*CJ68*VLOOKUP('Données projet'!$B$12,Paramètres!$A$1:$I$89,3,0)*0.475*44/12</f>
        <v>4.6607538590275013</v>
      </c>
      <c r="CN68" s="24">
        <f t="shared" ref="CN68:CN131" si="66">SUM(CK68:CM68)</f>
        <v>48.574839279620676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193.99999999999994</v>
      </c>
      <c r="CU68" s="18">
        <f>CT68*VLOOKUP('Données projet'!$B$13,Paramètres!$A$1:$I$89,3,0)*VLOOKUP('Données projet'!$B$13,Paramètres!$A$1:$I$89,5,0)</f>
        <v>105.92399999999998</v>
      </c>
      <c r="CV68" s="14">
        <f t="shared" si="41"/>
        <v>28.36854701055546</v>
      </c>
      <c r="CW68" s="22">
        <f t="shared" ref="CW68:CW131" si="67">(CU68+CV68)*0.475*44/12</f>
        <v>233.89285271005073</v>
      </c>
      <c r="CX68" s="62">
        <f t="shared" ref="CX68:CX131" si="68">CW68+(CO68+CP68)*44/12</f>
        <v>527.22618604338402</v>
      </c>
      <c r="CY68" s="62">
        <f ca="1">AVERAGE(OFFSET($CX$3,0,0,'Données projet'!$E$13+1,1))-AVERAGE(OFFSET($H$3,0,0,'Données projet'!$E$13+1,1))</f>
        <v>135.44138026609272</v>
      </c>
      <c r="CZ68" s="62">
        <f t="shared" si="42"/>
        <v>254.77247578425659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33.039305617272213</v>
      </c>
      <c r="DG68" s="23">
        <f>EXP(-LN(2)/25)*DG67+(1-EXP(-LN(2)/25))/(LN(2)/25)*Calculateur!DB68*Calculateur!DD68*VLOOKUP('Données projet'!$B$13,Paramètres!$A$1:$I$89,3,0)*0.475*44/12</f>
        <v>17.141535418482484</v>
      </c>
      <c r="DH68" s="23">
        <f>EXP(-LN(2)/2)*DH67+(1-EXP(-LN(2)/2))/(LN(2)/2)*DB68*DE68*VLOOKUP('Données projet'!$B$13,Paramètres!$A$1:$I$89,3,0)*0.475*44/12</f>
        <v>4.5883624051632898E-4</v>
      </c>
      <c r="DI68" s="24">
        <f t="shared" ref="DI68:DI131" si="69">SUM(DF68:DH68)</f>
        <v>50.181299871995215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273.00000000000023</v>
      </c>
      <c r="DP68" s="18">
        <f>DO68*VLOOKUP('Données projet'!$B$14,Paramètres!$A$1:$I$89,3,0)*VLOOKUP('Données projet'!$B$14,Paramètres!$A$1:$I$89,5,0)</f>
        <v>264.04560000000021</v>
      </c>
      <c r="DQ68" s="14">
        <f t="shared" si="43"/>
        <v>63.583959929973794</v>
      </c>
      <c r="DR68" s="22">
        <f t="shared" ref="DR68:DR131" si="70">(DP68+DQ68)*0.475*44/12</f>
        <v>570.6214835447048</v>
      </c>
      <c r="DS68" s="62">
        <f t="shared" ref="DS68:DS131" si="71">DR68+(DJ68+DK68)*44/12</f>
        <v>863.95481687803817</v>
      </c>
      <c r="DT68" s="62">
        <f ca="1">AVERAGE(OFFSET($DS$3,0,0,'Données projet'!$E$14+1,1))-AVERAGE(OFFSET($H$3,0,0,'Données projet'!$E$14+1,1))</f>
        <v>271.09447278906288</v>
      </c>
      <c r="DU68" s="62">
        <f t="shared" si="44"/>
        <v>325.1094067861851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36.658590938399399</v>
      </c>
      <c r="EB68" s="23">
        <f>EXP(-LN(2)/25)*EB67+(1-EXP(-LN(2)/25))/(LN(2)/25)*Calculateur!DW68*Calculateur!DY68*VLOOKUP('Données projet'!$B$14,Paramètres!$A$1:$I$89,3,0)*0.475*44/12</f>
        <v>6.4040580802233391</v>
      </c>
      <c r="EC68" s="23">
        <f>EXP(-LN(2)/2)*EC67+(1-EXP(-LN(2)/2))/(LN(2)/2)*DW68*DZ68*VLOOKUP('Données projet'!$B$14,Paramètres!$A$1:$I$89,3,0)*0.475*44/12</f>
        <v>1.0772350148812941</v>
      </c>
      <c r="ED68" s="24">
        <f t="shared" ref="ED68:ED131" si="72">SUM(EA68:EC68)</f>
        <v>44.139884033504032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273.00000000000023</v>
      </c>
      <c r="EK68" s="18">
        <f>EJ68*VLOOKUP('Données projet'!$B$15,Paramètres!$A$1:$I$89,3,0)*VLOOKUP('Données projet'!$B$15,Paramètres!$A$1:$I$89,5,0)</f>
        <v>293.85720000000026</v>
      </c>
      <c r="EL68" s="14">
        <f t="shared" si="45"/>
        <v>69.887150190339895</v>
      </c>
      <c r="EM68" s="22">
        <f t="shared" ref="EM68:EM131" si="73">(EK68+EL68)*0.475*44/12</f>
        <v>633.52140991484237</v>
      </c>
      <c r="EN68" s="62">
        <f t="shared" ref="EN68:EN131" si="74">EM68+(EE68+EF68)*44/12</f>
        <v>926.85474324817574</v>
      </c>
      <c r="EO68" s="62">
        <f ca="1">AVERAGE(OFFSET($EN$3,0,0,'Données projet'!$E$15+1,1))-AVERAGE(OFFSET($H$3,0,0,'Données projet'!$E$15+1,1))</f>
        <v>306.50593475734655</v>
      </c>
      <c r="EP68" s="62">
        <f t="shared" si="46"/>
        <v>366.48643801375079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40.797464108863849</v>
      </c>
      <c r="EW68" s="23">
        <f>EXP(-LN(2)/25)*EW67+(1-EXP(-LN(2)/25))/(LN(2)/25)*Calculateur!ER68*Calculateur!ET68*VLOOKUP('Données projet'!$B$15,Paramètres!$A$1:$I$89,3,0)*0.475*44/12</f>
        <v>7.1270968957324268</v>
      </c>
      <c r="EX68" s="23">
        <f>EXP(-LN(2)/2)*EX67+(1-EXP(-LN(2)/2))/(LN(2)/2)*ER68*EU68*VLOOKUP('Données projet'!$B$15,Paramètres!$A$1:$I$89,3,0)*0.475*44/12</f>
        <v>1.1988583230130525</v>
      </c>
      <c r="EY68" s="24">
        <f t="shared" ref="EY68:EY131" si="75">SUM(EV68:EX68)</f>
        <v>49.123419327609334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48.39119999999992</v>
      </c>
      <c r="D69" s="12">
        <f t="shared" ref="D69:D132" si="86">IFERROR(EXP(-1.0587+0.8836*LN(C69)+0.284),0)</f>
        <v>14.197492524785963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483.14078440185591</v>
      </c>
      <c r="H69" s="70">
        <f t="shared" si="56"/>
        <v>402.34197281400208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8.1999999999999993</v>
      </c>
      <c r="N69" s="14">
        <f>IF('Données projet'!$A$36&gt;35,N68+M69-V68,IF(A69&lt;'Données projet'!$A$36,$K$205^A69,IF(A69='Données projet'!$A$36,'Données projet'!$B$36,N68+M69-V68)))</f>
        <v>269.2</v>
      </c>
      <c r="O69" s="14">
        <f>N69*VLOOKUP('Données projet'!$B$9,Paramètres!$A$1:$I$89,3,0)*VLOOKUP('Données projet'!$B$9,Paramètres!$A$1:$I$89,5,0)</f>
        <v>243.57216</v>
      </c>
      <c r="P69" s="14">
        <f t="shared" ref="P69:P132" si="87">EXP(-1.0587+0.8836*LN(O69)+0.284)</f>
        <v>59.207435995642292</v>
      </c>
      <c r="Q69" s="22">
        <f t="shared" si="54"/>
        <v>527.34112969241028</v>
      </c>
      <c r="R69" s="62">
        <f t="shared" si="55"/>
        <v>820.67446302574353</v>
      </c>
      <c r="S69" s="62">
        <f ca="1">AVERAGE(OFFSET($R$3,0,0,'Données projet'!$E$9+1,1))-AVERAGE(OFFSET($H$3,0,0,'Données projet'!$E$9+1,1))</f>
        <v>312.57314929661908</v>
      </c>
      <c r="T69" s="62">
        <f t="shared" ref="T69:T132" si="88">$T$3</f>
        <v>190.92100876773804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41.264540161350759</v>
      </c>
      <c r="AA69" s="23">
        <f>EXP(-LN(2)/25)*AA68+(1-EXP(-LN(2)/25))/(LN(2)/25)*Calculateur!V69*Calculateur!X69*VLOOKUP('Données projet'!$B$9,Paramètres!$A$1:$I$89,3,0)*0.475*44/12</f>
        <v>2.6755822254347654</v>
      </c>
      <c r="AB69" s="23">
        <f>EXP(-LN(2)/2)*AB68+(1-EXP(-LN(2)/2))/(LN(2)/2)*V69*Y69*VLOOKUP('Données projet'!$B$9,Paramètres!$A$1:$I$89,3,0)*0.475*44/12</f>
        <v>1.2321222344844642</v>
      </c>
      <c r="AC69" s="24">
        <f t="shared" si="57"/>
        <v>45.172244621269989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8.1999999999999993</v>
      </c>
      <c r="AI69" s="14">
        <f>IF('Données projet'!$A$62&gt;35,AI68+AH69-AQ68,IF(A69&lt;'Données projet'!$A$62,$AF$205^A69,IF(A69='Données projet'!$A$62,'Données projet'!$B$62,AI68+AH69-AQ68)))</f>
        <v>269.2</v>
      </c>
      <c r="AJ69" s="14">
        <f>AI69*VLOOKUP('Données projet'!$B$10,Paramètres!$A$1:$I$89,3,0)*VLOOKUP('Données projet'!$B$10,Paramètres!$A$1:$I$89,5,0)</f>
        <v>272.96879999999999</v>
      </c>
      <c r="AK69" s="14">
        <f t="shared" ref="AK69:AK132" si="89">EXP(-1.0587+0.8836*LN(AJ69)+0.284)</f>
        <v>65.478922017818945</v>
      </c>
      <c r="AL69" s="22">
        <f t="shared" si="58"/>
        <v>589.46311584770126</v>
      </c>
      <c r="AM69" s="62">
        <f t="shared" si="59"/>
        <v>882.79644918103463</v>
      </c>
      <c r="AN69" s="62">
        <f ca="1">AVERAGE(OFFSET($AM$3,0,0,'Données projet'!$E$10+1,1))-AVERAGE(OFFSET($H$3,0,0,'Données projet'!$E$10+1,1))</f>
        <v>360.56293184044779</v>
      </c>
      <c r="AO69" s="62">
        <f t="shared" ref="AO69:AO132" si="90">$AO$3</f>
        <v>219.32252911220542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46.24474328427241</v>
      </c>
      <c r="AV69" s="23">
        <f>EXP(-LN(2)/25)*AV68+(1-EXP(-LN(2)/25))/(LN(2)/25)*Calculateur!AQ69*Calculateur!AS69*VLOOKUP('Données projet'!$B$10,Paramètres!$A$1:$I$89,3,0)*0.475*44/12</f>
        <v>2.9984973216079278</v>
      </c>
      <c r="AW69" s="23">
        <f>EXP(-LN(2)/2)*AW68+(1-EXP(-LN(2)/2))/(LN(2)/2)*AQ69*AT69*VLOOKUP('Données projet'!$B$10,Paramètres!$A$1:$I$89,3,0)*0.475*44/12</f>
        <v>1.3808266420946582</v>
      </c>
      <c r="AX69" s="23">
        <f t="shared" si="60"/>
        <v>50.624067247974999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1.1368683772161603E-13</v>
      </c>
      <c r="BE69" s="14">
        <f>BD69*VLOOKUP('Données projet'!$B$11,Paramètres!$A$1:$I$89,3,0)*VLOOKUP('Données projet'!$B$11,Paramètres!$A$1:$I$89,5,0)</f>
        <v>8.3355189417488869E-14</v>
      </c>
      <c r="BF69" s="14">
        <f t="shared" ref="BF69:BF132" si="91">EXP(-1.0587+0.8836*LN(BE69)+0.284)</f>
        <v>1.2790518435140618E-12</v>
      </c>
      <c r="BG69" s="22">
        <f t="shared" si="61"/>
        <v>2.3728589156891171E-12</v>
      </c>
      <c r="BH69" s="62">
        <f t="shared" si="62"/>
        <v>293.3333333333357</v>
      </c>
      <c r="BI69" s="62">
        <f ca="1">AVERAGE(OFFSET($BH$3,0,0,'Données projet'!$E$11+1,1))-AVERAGE(OFFSET($H$3,0,0,'Données projet'!$E$11+1,1))</f>
        <v>182.06733089745194</v>
      </c>
      <c r="BJ69" s="62">
        <f t="shared" ref="BJ69:BJ132" si="92">$BJ$3</f>
        <v>320.36755413886021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29.288420410079656</v>
      </c>
      <c r="BQ69" s="23">
        <f>EXP(-LN(2)/25)*BQ68+(1-EXP(-LN(2)/25))/(LN(2)/25)*Calculateur!BL69*Calculateur!BN69*VLOOKUP('Données projet'!$B$11,Paramètres!$A$1:$I$89,3,0)*0.475*44/12</f>
        <v>4.6833662819298105</v>
      </c>
      <c r="BR69" s="23">
        <f>EXP(-LN(2)/2)*BR68+(1-EXP(-LN(2)/2))/(LN(2)/2)*BL69*BO69*VLOOKUP('Données projet'!$B$11,Paramètres!$A$1:$I$89,3,0)*0.475*44/12</f>
        <v>2.8243414158253457E-3</v>
      </c>
      <c r="BS69" s="24">
        <f t="shared" si="63"/>
        <v>33.97461103342529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10.199999999999999</v>
      </c>
      <c r="BY69" s="13">
        <f>IF('Données projet'!$A$114&gt;35,BY68+BX69-CG68,IF(A69&lt;'Données projet'!$A$114,$BV$205^A69,IF(A69='Données projet'!$A$114,'Données projet'!$B$114,BY68+BX69-CG68)))</f>
        <v>269.19999999999993</v>
      </c>
      <c r="BZ69" s="14">
        <f>BY69*VLOOKUP('Données projet'!$B$12,Paramètres!$A$1:$I$89,3,0)*VLOOKUP('Données projet'!$B$12,Paramètres!$A$1:$I$89,5,0)</f>
        <v>235.17311999999998</v>
      </c>
      <c r="CA69" s="14">
        <f t="shared" ref="CA69:CA132" si="93">EXP(-1.0587+0.8836*LN(BZ69)+0.284)</f>
        <v>57.399778925799218</v>
      </c>
      <c r="CB69" s="22">
        <f t="shared" si="64"/>
        <v>509.56446562910031</v>
      </c>
      <c r="CC69" s="62">
        <f t="shared" si="65"/>
        <v>802.89779896243363</v>
      </c>
      <c r="CD69" s="62">
        <f ca="1">AVERAGE(OFFSET($CC$3,0,0,'Données projet'!$E$12+1,1))-AVERAGE(OFFSET($H$3,0,0,'Données projet'!$E$12+1,1))</f>
        <v>248.60758320902863</v>
      </c>
      <c r="CE69" s="62">
        <f t="shared" ref="CE69:CE132" si="94">$CE$3</f>
        <v>222.23585883330111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34.358616405030858</v>
      </c>
      <c r="CL69" s="23">
        <f>EXP(-LN(2)/25)*CL68+(1-EXP(-LN(2)/25))/(LN(2)/25)*Calculateur!CG69*Calculateur!CI69*VLOOKUP('Données projet'!$B$12,Paramètres!$A$1:$I$89,3,0)*0.475*44/12</f>
        <v>8.625738862806644</v>
      </c>
      <c r="CM69" s="23">
        <f>EXP(-LN(2)/2)*CM68+(1-EXP(-LN(2)/2))/(LN(2)/2)*CG69*CJ69*VLOOKUP('Données projet'!$B$12,Paramètres!$A$1:$I$89,3,0)*0.475*44/12</f>
        <v>3.2956506591597163</v>
      </c>
      <c r="CN69" s="24">
        <f t="shared" si="66"/>
        <v>46.280005926997219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193.99999999999994</v>
      </c>
      <c r="CU69" s="18">
        <f>CT69*VLOOKUP('Données projet'!$B$13,Paramètres!$A$1:$I$89,3,0)*VLOOKUP('Données projet'!$B$13,Paramètres!$A$1:$I$89,5,0)</f>
        <v>105.92399999999998</v>
      </c>
      <c r="CV69" s="14">
        <f t="shared" ref="CV69:CV132" si="95">EXP(-1.0587+0.8836*LN(CU69)+0.284)</f>
        <v>28.36854701055546</v>
      </c>
      <c r="CW69" s="22">
        <f t="shared" si="67"/>
        <v>233.89285271005073</v>
      </c>
      <c r="CX69" s="62">
        <f t="shared" si="68"/>
        <v>527.22618604338402</v>
      </c>
      <c r="CY69" s="62">
        <f ca="1">AVERAGE(OFFSET($CX$3,0,0,'Données projet'!$E$13+1,1))-AVERAGE(OFFSET($H$3,0,0,'Données projet'!$E$13+1,1))</f>
        <v>135.44138026609272</v>
      </c>
      <c r="CZ69" s="62">
        <f t="shared" ref="CZ69:CZ132" si="96">$CZ$3</f>
        <v>254.77247578425659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32.391424986104084</v>
      </c>
      <c r="DG69" s="23">
        <f>EXP(-LN(2)/25)*DG68+(1-EXP(-LN(2)/25))/(LN(2)/25)*Calculateur!DB69*Calculateur!DD69*VLOOKUP('Données projet'!$B$13,Paramètres!$A$1:$I$89,3,0)*0.475*44/12</f>
        <v>16.672799231029909</v>
      </c>
      <c r="DH69" s="23">
        <f>EXP(-LN(2)/2)*DH68+(1-EXP(-LN(2)/2))/(LN(2)/2)*DB69*DE69*VLOOKUP('Données projet'!$B$13,Paramètres!$A$1:$I$89,3,0)*0.475*44/12</f>
        <v>3.2444621712323794E-4</v>
      </c>
      <c r="DI69" s="24">
        <f t="shared" si="69"/>
        <v>49.064548663351118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273.00000000000023</v>
      </c>
      <c r="DP69" s="18">
        <f>DO69*VLOOKUP('Données projet'!$B$14,Paramètres!$A$1:$I$89,3,0)*VLOOKUP('Données projet'!$B$14,Paramètres!$A$1:$I$89,5,0)</f>
        <v>264.04560000000021</v>
      </c>
      <c r="DQ69" s="14">
        <f t="shared" ref="DQ69:DQ132" si="97">EXP(-1.0587+0.8836*LN(DP69)+0.284)</f>
        <v>63.583959929973794</v>
      </c>
      <c r="DR69" s="22">
        <f t="shared" si="70"/>
        <v>570.6214835447048</v>
      </c>
      <c r="DS69" s="62">
        <f t="shared" si="71"/>
        <v>863.95481687803817</v>
      </c>
      <c r="DT69" s="62">
        <f ca="1">AVERAGE(OFFSET($DS$3,0,0,'Données projet'!$E$14+1,1))-AVERAGE(OFFSET($H$3,0,0,'Données projet'!$E$14+1,1))</f>
        <v>271.09447278906288</v>
      </c>
      <c r="DU69" s="62">
        <f t="shared" ref="DU69:DU132" si="98">$DU$3</f>
        <v>325.1094067861851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35.939738329630039</v>
      </c>
      <c r="EB69" s="23">
        <f>EXP(-LN(2)/25)*EB68+(1-EXP(-LN(2)/25))/(LN(2)/25)*Calculateur!DW69*Calculateur!DY69*VLOOKUP('Données projet'!$B$14,Paramètres!$A$1:$I$89,3,0)*0.475*44/12</f>
        <v>6.2289387752448544</v>
      </c>
      <c r="EC69" s="23">
        <f>EXP(-LN(2)/2)*EC68+(1-EXP(-LN(2)/2))/(LN(2)/2)*DW69*DZ69*VLOOKUP('Données projet'!$B$14,Paramètres!$A$1:$I$89,3,0)*0.475*44/12</f>
        <v>0.76172018395415453</v>
      </c>
      <c r="ED69" s="24">
        <f t="shared" si="72"/>
        <v>42.930397288829049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273.00000000000023</v>
      </c>
      <c r="EK69" s="18">
        <f>EJ69*VLOOKUP('Données projet'!$B$15,Paramètres!$A$1:$I$89,3,0)*VLOOKUP('Données projet'!$B$15,Paramètres!$A$1:$I$89,5,0)</f>
        <v>293.85720000000026</v>
      </c>
      <c r="EL69" s="14">
        <f t="shared" ref="EL69:EL132" si="99">EXP(-1.0587+0.8836*LN(EK69)+0.284)</f>
        <v>69.887150190339895</v>
      </c>
      <c r="EM69" s="22">
        <f t="shared" si="73"/>
        <v>633.52140991484237</v>
      </c>
      <c r="EN69" s="62">
        <f t="shared" si="74"/>
        <v>926.85474324817574</v>
      </c>
      <c r="EO69" s="62">
        <f ca="1">AVERAGE(OFFSET($EN$3,0,0,'Données projet'!$E$15+1,1))-AVERAGE(OFFSET($H$3,0,0,'Données projet'!$E$15+1,1))</f>
        <v>306.50593475734655</v>
      </c>
      <c r="EP69" s="62">
        <f t="shared" ref="EP69:EP132" si="100">$EP$3</f>
        <v>366.48643801375079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39.997450721685048</v>
      </c>
      <c r="EW69" s="23">
        <f>EXP(-LN(2)/25)*EW68+(1-EXP(-LN(2)/25))/(LN(2)/25)*Calculateur!ER69*Calculateur!ET69*VLOOKUP('Données projet'!$B$15,Paramètres!$A$1:$I$89,3,0)*0.475*44/12</f>
        <v>6.9322060563208874</v>
      </c>
      <c r="EX69" s="23">
        <f>EXP(-LN(2)/2)*EX68+(1-EXP(-LN(2)/2))/(LN(2)/2)*ER69*EU69*VLOOKUP('Données projet'!$B$15,Paramètres!$A$1:$I$89,3,0)*0.475*44/12</f>
        <v>0.84772084988446184</v>
      </c>
      <c r="EY69" s="24">
        <f t="shared" si="75"/>
        <v>47.777377627890395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49.124399999999916</v>
      </c>
      <c r="D70" s="12">
        <f t="shared" si="86"/>
        <v>14.387400160367701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490.26652755371492</v>
      </c>
      <c r="H70" s="70">
        <f t="shared" si="56"/>
        <v>403.94971861264025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8.1999999999999993</v>
      </c>
      <c r="N70" s="14">
        <f>IF('Données projet'!$A$36&gt;35,N69+M70-V69,IF(A70&lt;'Données projet'!$A$36,$K$205^A70,IF(A70='Données projet'!$A$36,'Données projet'!$B$36,N69+M70-V69)))</f>
        <v>277.39999999999998</v>
      </c>
      <c r="O70" s="14">
        <f>N70*VLOOKUP('Données projet'!$B$9,Paramètres!$A$1:$I$89,3,0)*VLOOKUP('Données projet'!$B$9,Paramètres!$A$1:$I$89,5,0)</f>
        <v>250.99151999999995</v>
      </c>
      <c r="P70" s="14">
        <f t="shared" si="87"/>
        <v>60.798211000769406</v>
      </c>
      <c r="Q70" s="22">
        <f t="shared" si="54"/>
        <v>543.03378149300659</v>
      </c>
      <c r="R70" s="62">
        <f t="shared" si="55"/>
        <v>836.36711482633996</v>
      </c>
      <c r="S70" s="62">
        <f ca="1">AVERAGE(OFFSET($R$3,0,0,'Données projet'!$E$9+1,1))-AVERAGE(OFFSET($H$3,0,0,'Données projet'!$E$9+1,1))</f>
        <v>312.57314929661908</v>
      </c>
      <c r="T70" s="62">
        <f t="shared" si="88"/>
        <v>190.92100876773804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40.455367697670951</v>
      </c>
      <c r="AA70" s="23">
        <f>EXP(-LN(2)/25)*AA69+(1-EXP(-LN(2)/25))/(LN(2)/25)*Calculateur!V70*Calculateur!X70*VLOOKUP('Données projet'!$B$9,Paramètres!$A$1:$I$89,3,0)*0.475*44/12</f>
        <v>2.6024182887774976</v>
      </c>
      <c r="AB70" s="23">
        <f>EXP(-LN(2)/2)*AB69+(1-EXP(-LN(2)/2))/(LN(2)/2)*V70*Y70*VLOOKUP('Données projet'!$B$9,Paramètres!$A$1:$I$89,3,0)*0.475*44/12</f>
        <v>0.87124198725468616</v>
      </c>
      <c r="AC70" s="24">
        <f t="shared" si="57"/>
        <v>43.929027973703136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8.1999999999999993</v>
      </c>
      <c r="AI70" s="14">
        <f>IF('Données projet'!$A$62&gt;35,AI69+AH70-AQ69,IF(A70&lt;'Données projet'!$A$62,$AF$205^A70,IF(A70='Données projet'!$A$62,'Données projet'!$B$62,AI69+AH70-AQ69)))</f>
        <v>277.39999999999998</v>
      </c>
      <c r="AJ70" s="14">
        <f>AI70*VLOOKUP('Données projet'!$B$10,Paramètres!$A$1:$I$89,3,0)*VLOOKUP('Données projet'!$B$10,Paramètres!$A$1:$I$89,5,0)</f>
        <v>281.28360000000004</v>
      </c>
      <c r="AK70" s="14">
        <f t="shared" si="89"/>
        <v>67.238198209347928</v>
      </c>
      <c r="AL70" s="22">
        <f t="shared" si="58"/>
        <v>607.00879854794766</v>
      </c>
      <c r="AM70" s="62">
        <f t="shared" si="59"/>
        <v>900.34213188128092</v>
      </c>
      <c r="AN70" s="62">
        <f ca="1">AVERAGE(OFFSET($AM$3,0,0,'Données projet'!$E$10+1,1))-AVERAGE(OFFSET($H$3,0,0,'Données projet'!$E$10+1,1))</f>
        <v>360.56293184044779</v>
      </c>
      <c r="AO70" s="62">
        <f t="shared" si="90"/>
        <v>219.32252911220542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45.337912074976067</v>
      </c>
      <c r="AV70" s="23">
        <f>EXP(-LN(2)/25)*AV69+(1-EXP(-LN(2)/25))/(LN(2)/25)*Calculateur!AQ70*Calculateur!AS70*VLOOKUP('Données projet'!$B$10,Paramètres!$A$1:$I$89,3,0)*0.475*44/12</f>
        <v>2.916503254664438</v>
      </c>
      <c r="AW70" s="23">
        <f>EXP(-LN(2)/2)*AW69+(1-EXP(-LN(2)/2))/(LN(2)/2)*AQ70*AT70*VLOOKUP('Données projet'!$B$10,Paramètres!$A$1:$I$89,3,0)*0.475*44/12</f>
        <v>0.97639188226818274</v>
      </c>
      <c r="AX70" s="23">
        <f t="shared" si="60"/>
        <v>49.23080721190869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1.1368683772161603E-13</v>
      </c>
      <c r="BE70" s="14">
        <f>BD70*VLOOKUP('Données projet'!$B$11,Paramètres!$A$1:$I$89,3,0)*VLOOKUP('Données projet'!$B$11,Paramètres!$A$1:$I$89,5,0)</f>
        <v>8.3355189417488869E-14</v>
      </c>
      <c r="BF70" s="14">
        <f t="shared" si="91"/>
        <v>1.2790518435140618E-12</v>
      </c>
      <c r="BG70" s="22">
        <f t="shared" si="61"/>
        <v>2.3728589156891171E-12</v>
      </c>
      <c r="BH70" s="62">
        <f t="shared" si="62"/>
        <v>293.3333333333357</v>
      </c>
      <c r="BI70" s="62">
        <f ca="1">AVERAGE(OFFSET($BH$3,0,0,'Données projet'!$E$11+1,1))-AVERAGE(OFFSET($H$3,0,0,'Données projet'!$E$11+1,1))</f>
        <v>182.06733089745194</v>
      </c>
      <c r="BJ70" s="62">
        <f t="shared" si="92"/>
        <v>320.36755413886021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28.714092350010503</v>
      </c>
      <c r="BQ70" s="23">
        <f>EXP(-LN(2)/25)*BQ69+(1-EXP(-LN(2)/25))/(LN(2)/25)*Calculateur!BL70*Calculateur!BN70*VLOOKUP('Données projet'!$B$11,Paramètres!$A$1:$I$89,3,0)*0.475*44/12</f>
        <v>4.5552993846629111</v>
      </c>
      <c r="BR70" s="23">
        <f>EXP(-LN(2)/2)*BR69+(1-EXP(-LN(2)/2))/(LN(2)/2)*BL70*BO70*VLOOKUP('Données projet'!$B$11,Paramètres!$A$1:$I$89,3,0)*0.475*44/12</f>
        <v>1.9971109675161166E-3</v>
      </c>
      <c r="BS70" s="24">
        <f t="shared" si="63"/>
        <v>33.271388845640928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10.199999999999999</v>
      </c>
      <c r="BY70" s="13">
        <f>IF('Données projet'!$A$114&gt;35,BY69+BX70-CG69,IF(A70&lt;'Données projet'!$A$114,$BV$205^A70,IF(A70='Données projet'!$A$114,'Données projet'!$B$114,BY69+BX70-CG69)))</f>
        <v>279.39999999999992</v>
      </c>
      <c r="BZ70" s="14">
        <f>BY70*VLOOKUP('Données projet'!$B$12,Paramètres!$A$1:$I$89,3,0)*VLOOKUP('Données projet'!$B$12,Paramètres!$A$1:$I$89,5,0)</f>
        <v>244.08383999999995</v>
      </c>
      <c r="CA70" s="14">
        <f t="shared" si="93"/>
        <v>59.317323850672388</v>
      </c>
      <c r="CB70" s="22">
        <f t="shared" si="64"/>
        <v>528.42369370658764</v>
      </c>
      <c r="CC70" s="62">
        <f t="shared" si="65"/>
        <v>821.75702703992101</v>
      </c>
      <c r="CD70" s="62">
        <f ca="1">AVERAGE(OFFSET($CC$3,0,0,'Données projet'!$E$12+1,1))-AVERAGE(OFFSET($H$3,0,0,'Données projet'!$E$12+1,1))</f>
        <v>248.60758320902863</v>
      </c>
      <c r="CE70" s="62">
        <f t="shared" si="94"/>
        <v>222.23585883330111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33.684864894014908</v>
      </c>
      <c r="CL70" s="23">
        <f>EXP(-LN(2)/25)*CL69+(1-EXP(-LN(2)/25))/(LN(2)/25)*Calculateur!CG70*Calculateur!CI70*VLOOKUP('Données projet'!$B$12,Paramètres!$A$1:$I$89,3,0)*0.475*44/12</f>
        <v>8.389867579995304</v>
      </c>
      <c r="CM70" s="23">
        <f>EXP(-LN(2)/2)*CM69+(1-EXP(-LN(2)/2))/(LN(2)/2)*CG70*CJ70*VLOOKUP('Données projet'!$B$12,Paramètres!$A$1:$I$89,3,0)*0.475*44/12</f>
        <v>2.3303769295137506</v>
      </c>
      <c r="CN70" s="24">
        <f t="shared" si="66"/>
        <v>44.405109403523966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193.99999999999994</v>
      </c>
      <c r="CU70" s="18">
        <f>CT70*VLOOKUP('Données projet'!$B$13,Paramètres!$A$1:$I$89,3,0)*VLOOKUP('Données projet'!$B$13,Paramètres!$A$1:$I$89,5,0)</f>
        <v>105.92399999999998</v>
      </c>
      <c r="CV70" s="14">
        <f t="shared" si="95"/>
        <v>28.36854701055546</v>
      </c>
      <c r="CW70" s="22">
        <f t="shared" si="67"/>
        <v>233.89285271005073</v>
      </c>
      <c r="CX70" s="62">
        <f t="shared" si="68"/>
        <v>527.22618604338402</v>
      </c>
      <c r="CY70" s="62">
        <f ca="1">AVERAGE(OFFSET($CX$3,0,0,'Données projet'!$E$13+1,1))-AVERAGE(OFFSET($H$3,0,0,'Données projet'!$E$13+1,1))</f>
        <v>135.44138026609272</v>
      </c>
      <c r="CZ70" s="62">
        <f t="shared" si="96"/>
        <v>254.77247578425659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31.756248898945</v>
      </c>
      <c r="DG70" s="23">
        <f>EXP(-LN(2)/25)*DG69+(1-EXP(-LN(2)/25))/(LN(2)/25)*Calculateur!DB70*Calculateur!DD70*VLOOKUP('Données projet'!$B$13,Paramètres!$A$1:$I$89,3,0)*0.475*44/12</f>
        <v>16.216880659272991</v>
      </c>
      <c r="DH70" s="23">
        <f>EXP(-LN(2)/2)*DH69+(1-EXP(-LN(2)/2))/(LN(2)/2)*DB70*DE70*VLOOKUP('Données projet'!$B$13,Paramètres!$A$1:$I$89,3,0)*0.475*44/12</f>
        <v>2.2941812025816452E-4</v>
      </c>
      <c r="DI70" s="24">
        <f t="shared" si="69"/>
        <v>47.973358976338247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273.00000000000023</v>
      </c>
      <c r="DP70" s="18">
        <f>DO70*VLOOKUP('Données projet'!$B$14,Paramètres!$A$1:$I$89,3,0)*VLOOKUP('Données projet'!$B$14,Paramètres!$A$1:$I$89,5,0)</f>
        <v>264.04560000000021</v>
      </c>
      <c r="DQ70" s="14">
        <f t="shared" si="97"/>
        <v>63.583959929973794</v>
      </c>
      <c r="DR70" s="22">
        <f t="shared" si="70"/>
        <v>570.6214835447048</v>
      </c>
      <c r="DS70" s="62">
        <f t="shared" si="71"/>
        <v>863.95481687803817</v>
      </c>
      <c r="DT70" s="62">
        <f ca="1">AVERAGE(OFFSET($DS$3,0,0,'Données projet'!$E$14+1,1))-AVERAGE(OFFSET($H$3,0,0,'Données projet'!$E$14+1,1))</f>
        <v>271.09447278906288</v>
      </c>
      <c r="DU70" s="62">
        <f t="shared" si="98"/>
        <v>325.1094067861851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35.234981982061846</v>
      </c>
      <c r="EB70" s="23">
        <f>EXP(-LN(2)/25)*EB69+(1-EXP(-LN(2)/25))/(LN(2)/25)*Calculateur!DW70*Calculateur!DY70*VLOOKUP('Données projet'!$B$14,Paramètres!$A$1:$I$89,3,0)*0.475*44/12</f>
        <v>6.05860811687013</v>
      </c>
      <c r="EC70" s="23">
        <f>EXP(-LN(2)/2)*EC69+(1-EXP(-LN(2)/2))/(LN(2)/2)*DW70*DZ70*VLOOKUP('Données projet'!$B$14,Paramètres!$A$1:$I$89,3,0)*0.475*44/12</f>
        <v>0.53861750744064707</v>
      </c>
      <c r="ED70" s="24">
        <f t="shared" si="72"/>
        <v>41.832207606372627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273.00000000000023</v>
      </c>
      <c r="EK70" s="18">
        <f>EJ70*VLOOKUP('Données projet'!$B$15,Paramètres!$A$1:$I$89,3,0)*VLOOKUP('Données projet'!$B$15,Paramètres!$A$1:$I$89,5,0)</f>
        <v>293.85720000000026</v>
      </c>
      <c r="EL70" s="14">
        <f t="shared" si="99"/>
        <v>69.887150190339895</v>
      </c>
      <c r="EM70" s="22">
        <f t="shared" si="73"/>
        <v>633.52140991484237</v>
      </c>
      <c r="EN70" s="62">
        <f t="shared" si="74"/>
        <v>926.85474324817574</v>
      </c>
      <c r="EO70" s="62">
        <f ca="1">AVERAGE(OFFSET($EN$3,0,0,'Données projet'!$E$15+1,1))-AVERAGE(OFFSET($H$3,0,0,'Données projet'!$E$15+1,1))</f>
        <v>306.50593475734655</v>
      </c>
      <c r="EP70" s="62">
        <f t="shared" si="100"/>
        <v>366.48643801375079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39.213125109068834</v>
      </c>
      <c r="EW70" s="23">
        <f>EXP(-LN(2)/25)*EW69+(1-EXP(-LN(2)/25))/(LN(2)/25)*Calculateur!ER70*Calculateur!ET70*VLOOKUP('Données projet'!$B$15,Paramètres!$A$1:$I$89,3,0)*0.475*44/12</f>
        <v>6.7426445171619198</v>
      </c>
      <c r="EX70" s="23">
        <f>EXP(-LN(2)/2)*EX69+(1-EXP(-LN(2)/2))/(LN(2)/2)*ER70*EU70*VLOOKUP('Données projet'!$B$15,Paramètres!$A$1:$I$89,3,0)*0.475*44/12</f>
        <v>0.59942916150652625</v>
      </c>
      <c r="EY70" s="24">
        <f t="shared" si="75"/>
        <v>46.555198787737282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49.857599999999913</v>
      </c>
      <c r="D71" s="12">
        <f t="shared" si="86"/>
        <v>14.576978140351192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497.38972599569274</v>
      </c>
      <c r="H71" s="70">
        <f t="shared" si="56"/>
        <v>405.5568902611115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8.1999999999999993</v>
      </c>
      <c r="N71" s="14">
        <f>IF('Données projet'!$A$36&gt;35,N70+M71-V70,IF(A71&lt;'Données projet'!$A$36,$K$205^A71,IF(A71='Données projet'!$A$36,'Données projet'!$B$36,N70+M71-V70)))</f>
        <v>285.59999999999997</v>
      </c>
      <c r="O71" s="14">
        <f>N71*VLOOKUP('Données projet'!$B$9,Paramètres!$A$1:$I$89,3,0)*VLOOKUP('Données projet'!$B$9,Paramètres!$A$1:$I$89,5,0)</f>
        <v>258.41087999999996</v>
      </c>
      <c r="P71" s="14">
        <f t="shared" si="87"/>
        <v>62.383521020316756</v>
      </c>
      <c r="Q71" s="22">
        <f t="shared" si="54"/>
        <v>558.71691511038489</v>
      </c>
      <c r="R71" s="62">
        <f t="shared" si="55"/>
        <v>852.05024844371815</v>
      </c>
      <c r="S71" s="62">
        <f ca="1">AVERAGE(OFFSET($R$3,0,0,'Données projet'!$E$9+1,1))-AVERAGE(OFFSET($H$3,0,0,'Données projet'!$E$9+1,1))</f>
        <v>312.57314929661908</v>
      </c>
      <c r="T71" s="62">
        <f t="shared" si="88"/>
        <v>190.92100876773804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39.662062612457433</v>
      </c>
      <c r="AA71" s="23">
        <f>EXP(-LN(2)/25)*AA70+(1-EXP(-LN(2)/25))/(LN(2)/25)*Calculateur!V71*Calculateur!X71*VLOOKUP('Données projet'!$B$9,Paramètres!$A$1:$I$89,3,0)*0.475*44/12</f>
        <v>2.531255023815647</v>
      </c>
      <c r="AB71" s="23">
        <f>EXP(-LN(2)/2)*AB70+(1-EXP(-LN(2)/2))/(LN(2)/2)*V71*Y71*VLOOKUP('Données projet'!$B$9,Paramètres!$A$1:$I$89,3,0)*0.475*44/12</f>
        <v>0.61606111724223223</v>
      </c>
      <c r="AC71" s="24">
        <f t="shared" si="57"/>
        <v>42.809378753515311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8.1999999999999993</v>
      </c>
      <c r="AI71" s="14">
        <f>IF('Données projet'!$A$62&gt;35,AI70+AH71-AQ70,IF(A71&lt;'Données projet'!$A$62,$AF$205^A71,IF(A71='Données projet'!$A$62,'Données projet'!$B$62,AI70+AH71-AQ70)))</f>
        <v>285.59999999999997</v>
      </c>
      <c r="AJ71" s="14">
        <f>AI71*VLOOKUP('Données projet'!$B$10,Paramètres!$A$1:$I$89,3,0)*VLOOKUP('Données projet'!$B$10,Paramètres!$A$1:$I$89,5,0)</f>
        <v>289.59839999999997</v>
      </c>
      <c r="AK71" s="14">
        <f t="shared" si="89"/>
        <v>68.991430542388798</v>
      </c>
      <c r="AL71" s="22">
        <f t="shared" si="58"/>
        <v>624.54395486132705</v>
      </c>
      <c r="AM71" s="62">
        <f t="shared" si="59"/>
        <v>917.87728819466042</v>
      </c>
      <c r="AN71" s="62">
        <f ca="1">AVERAGE(OFFSET($AM$3,0,0,'Données projet'!$E$10+1,1))-AVERAGE(OFFSET($H$3,0,0,'Données projet'!$E$10+1,1))</f>
        <v>360.56293184044779</v>
      </c>
      <c r="AO71" s="62">
        <f t="shared" si="90"/>
        <v>219.32252911220542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44.448863272581605</v>
      </c>
      <c r="AV71" s="23">
        <f>EXP(-LN(2)/25)*AV70+(1-EXP(-LN(2)/25))/(LN(2)/25)*Calculateur!AQ71*Calculateur!AS71*VLOOKUP('Données projet'!$B$10,Paramètres!$A$1:$I$89,3,0)*0.475*44/12</f>
        <v>2.8367513197933985</v>
      </c>
      <c r="AW71" s="23">
        <f>EXP(-LN(2)/2)*AW70+(1-EXP(-LN(2)/2))/(LN(2)/2)*AQ71*AT71*VLOOKUP('Données projet'!$B$10,Paramètres!$A$1:$I$89,3,0)*0.475*44/12</f>
        <v>0.69041332104732922</v>
      </c>
      <c r="AX71" s="23">
        <f t="shared" si="60"/>
        <v>47.976027913422335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1.1368683772161603E-13</v>
      </c>
      <c r="BE71" s="14">
        <f>BD71*VLOOKUP('Données projet'!$B$11,Paramètres!$A$1:$I$89,3,0)*VLOOKUP('Données projet'!$B$11,Paramètres!$A$1:$I$89,5,0)</f>
        <v>8.3355189417488869E-14</v>
      </c>
      <c r="BF71" s="14">
        <f t="shared" si="91"/>
        <v>1.2790518435140618E-12</v>
      </c>
      <c r="BG71" s="22">
        <f t="shared" si="61"/>
        <v>2.3728589156891171E-12</v>
      </c>
      <c r="BH71" s="62">
        <f t="shared" si="62"/>
        <v>293.3333333333357</v>
      </c>
      <c r="BI71" s="62">
        <f ca="1">AVERAGE(OFFSET($BH$3,0,0,'Données projet'!$E$11+1,1))-AVERAGE(OFFSET($H$3,0,0,'Données projet'!$E$11+1,1))</f>
        <v>182.06733089745194</v>
      </c>
      <c r="BJ71" s="62">
        <f t="shared" si="92"/>
        <v>320.36755413886021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28.151026512893779</v>
      </c>
      <c r="BQ71" s="23">
        <f>EXP(-LN(2)/25)*BQ70+(1-EXP(-LN(2)/25))/(LN(2)/25)*Calculateur!BL71*Calculateur!BN71*VLOOKUP('Données projet'!$B$11,Paramètres!$A$1:$I$89,3,0)*0.475*44/12</f>
        <v>4.4307344834365203</v>
      </c>
      <c r="BR71" s="23">
        <f>EXP(-LN(2)/2)*BR70+(1-EXP(-LN(2)/2))/(LN(2)/2)*BL71*BO71*VLOOKUP('Données projet'!$B$11,Paramètres!$A$1:$I$89,3,0)*0.475*44/12</f>
        <v>1.4121707079126728E-3</v>
      </c>
      <c r="BS71" s="24">
        <f t="shared" si="63"/>
        <v>32.583173167038218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10.199999999999999</v>
      </c>
      <c r="BY71" s="13">
        <f>IF('Données projet'!$A$114&gt;35,BY70+BX71-CG70,IF(A71&lt;'Données projet'!$A$114,$BV$205^A71,IF(A71='Données projet'!$A$114,'Données projet'!$B$114,BY70+BX71-CG70)))</f>
        <v>289.59999999999991</v>
      </c>
      <c r="BZ71" s="14">
        <f>BY71*VLOOKUP('Données projet'!$B$12,Paramètres!$A$1:$I$89,3,0)*VLOOKUP('Données projet'!$B$12,Paramètres!$A$1:$I$89,5,0)</f>
        <v>252.99455999999995</v>
      </c>
      <c r="CA71" s="14">
        <f t="shared" si="93"/>
        <v>61.226735756470482</v>
      </c>
      <c r="CB71" s="22">
        <f t="shared" si="64"/>
        <v>547.26875677585269</v>
      </c>
      <c r="CC71" s="62">
        <f t="shared" si="65"/>
        <v>840.60209010918607</v>
      </c>
      <c r="CD71" s="62">
        <f ca="1">AVERAGE(OFFSET($CC$3,0,0,'Données projet'!$E$12+1,1))-AVERAGE(OFFSET($H$3,0,0,'Données projet'!$E$12+1,1))</f>
        <v>248.60758320902863</v>
      </c>
      <c r="CE71" s="62">
        <f t="shared" si="94"/>
        <v>222.23585883330111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33.02432523918214</v>
      </c>
      <c r="CL71" s="23">
        <f>EXP(-LN(2)/25)*CL70+(1-EXP(-LN(2)/25))/(LN(2)/25)*Calculateur!CG71*Calculateur!CI71*VLOOKUP('Données projet'!$B$12,Paramètres!$A$1:$I$89,3,0)*0.475*44/12</f>
        <v>8.1604462098163708</v>
      </c>
      <c r="CM71" s="23">
        <f>EXP(-LN(2)/2)*CM70+(1-EXP(-LN(2)/2))/(LN(2)/2)*CG71*CJ71*VLOOKUP('Données projet'!$B$12,Paramètres!$A$1:$I$89,3,0)*0.475*44/12</f>
        <v>1.6478253295798582</v>
      </c>
      <c r="CN71" s="24">
        <f t="shared" si="66"/>
        <v>42.83259677857837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193.99999999999994</v>
      </c>
      <c r="CU71" s="18">
        <f>CT71*VLOOKUP('Données projet'!$B$13,Paramètres!$A$1:$I$89,3,0)*VLOOKUP('Données projet'!$B$13,Paramètres!$A$1:$I$89,5,0)</f>
        <v>105.92399999999998</v>
      </c>
      <c r="CV71" s="14">
        <f t="shared" si="95"/>
        <v>28.36854701055546</v>
      </c>
      <c r="CW71" s="22">
        <f t="shared" si="67"/>
        <v>233.89285271005073</v>
      </c>
      <c r="CX71" s="62">
        <f t="shared" si="68"/>
        <v>527.22618604338402</v>
      </c>
      <c r="CY71" s="62">
        <f ca="1">AVERAGE(OFFSET($CX$3,0,0,'Données projet'!$E$13+1,1))-AVERAGE(OFFSET($H$3,0,0,'Données projet'!$E$13+1,1))</f>
        <v>135.44138026609272</v>
      </c>
      <c r="CZ71" s="62">
        <f t="shared" si="96"/>
        <v>254.77247578425659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31.133528227435946</v>
      </c>
      <c r="DG71" s="23">
        <f>EXP(-LN(2)/25)*DG70+(1-EXP(-LN(2)/25))/(LN(2)/25)*Calculateur!DB71*Calculateur!DD71*VLOOKUP('Données projet'!$B$13,Paramètres!$A$1:$I$89,3,0)*0.475*44/12</f>
        <v>15.773429204836482</v>
      </c>
      <c r="DH71" s="23">
        <f>EXP(-LN(2)/2)*DH70+(1-EXP(-LN(2)/2))/(LN(2)/2)*DB71*DE71*VLOOKUP('Données projet'!$B$13,Paramètres!$A$1:$I$89,3,0)*0.475*44/12</f>
        <v>1.62223108561619E-4</v>
      </c>
      <c r="DI71" s="24">
        <f t="shared" si="69"/>
        <v>46.907119655380988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273.00000000000023</v>
      </c>
      <c r="DP71" s="18">
        <f>DO71*VLOOKUP('Données projet'!$B$14,Paramètres!$A$1:$I$89,3,0)*VLOOKUP('Données projet'!$B$14,Paramètres!$A$1:$I$89,5,0)</f>
        <v>264.04560000000021</v>
      </c>
      <c r="DQ71" s="14">
        <f t="shared" si="97"/>
        <v>63.583959929973794</v>
      </c>
      <c r="DR71" s="22">
        <f t="shared" si="70"/>
        <v>570.6214835447048</v>
      </c>
      <c r="DS71" s="62">
        <f t="shared" si="71"/>
        <v>863.95481687803817</v>
      </c>
      <c r="DT71" s="62">
        <f ca="1">AVERAGE(OFFSET($DS$3,0,0,'Données projet'!$E$14+1,1))-AVERAGE(OFFSET($H$3,0,0,'Données projet'!$E$14+1,1))</f>
        <v>271.09447278906288</v>
      </c>
      <c r="DU71" s="62">
        <f t="shared" si="98"/>
        <v>325.1094067861851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34.544045476610542</v>
      </c>
      <c r="EB71" s="23">
        <f>EXP(-LN(2)/25)*EB70+(1-EXP(-LN(2)/25))/(LN(2)/25)*Calculateur!DW71*Calculateur!DY71*VLOOKUP('Données projet'!$B$14,Paramètres!$A$1:$I$89,3,0)*0.475*44/12</f>
        <v>5.8929351593059627</v>
      </c>
      <c r="EC71" s="23">
        <f>EXP(-LN(2)/2)*EC70+(1-EXP(-LN(2)/2))/(LN(2)/2)*DW71*DZ71*VLOOKUP('Données projet'!$B$14,Paramètres!$A$1:$I$89,3,0)*0.475*44/12</f>
        <v>0.38086009197707726</v>
      </c>
      <c r="ED71" s="24">
        <f t="shared" si="72"/>
        <v>40.817840727893582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273.00000000000023</v>
      </c>
      <c r="EK71" s="18">
        <f>EJ71*VLOOKUP('Données projet'!$B$15,Paramètres!$A$1:$I$89,3,0)*VLOOKUP('Données projet'!$B$15,Paramètres!$A$1:$I$89,5,0)</f>
        <v>293.85720000000026</v>
      </c>
      <c r="EL71" s="14">
        <f t="shared" si="99"/>
        <v>69.887150190339895</v>
      </c>
      <c r="EM71" s="22">
        <f t="shared" si="73"/>
        <v>633.52140991484237</v>
      </c>
      <c r="EN71" s="62">
        <f t="shared" si="74"/>
        <v>926.85474324817574</v>
      </c>
      <c r="EO71" s="62">
        <f ca="1">AVERAGE(OFFSET($EN$3,0,0,'Données projet'!$E$15+1,1))-AVERAGE(OFFSET($H$3,0,0,'Données projet'!$E$15+1,1))</f>
        <v>306.50593475734655</v>
      </c>
      <c r="EP71" s="62">
        <f t="shared" si="100"/>
        <v>366.48643801375079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38.444179643324638</v>
      </c>
      <c r="EW71" s="23">
        <f>EXP(-LN(2)/25)*EW70+(1-EXP(-LN(2)/25))/(LN(2)/25)*Calculateur!ER71*Calculateur!ET71*VLOOKUP('Données projet'!$B$15,Paramètres!$A$1:$I$89,3,0)*0.475*44/12</f>
        <v>6.5582665482598621</v>
      </c>
      <c r="EX71" s="23">
        <f>EXP(-LN(2)/2)*EX70+(1-EXP(-LN(2)/2))/(LN(2)/2)*ER71*EU71*VLOOKUP('Données projet'!$B$15,Paramètres!$A$1:$I$89,3,0)*0.475*44/12</f>
        <v>0.42386042494223092</v>
      </c>
      <c r="EY71" s="24">
        <f t="shared" si="75"/>
        <v>45.42630661652673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50.590799999999909</v>
      </c>
      <c r="D72" s="12">
        <f t="shared" si="86"/>
        <v>14.766231872668596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504.51042147323056</v>
      </c>
      <c r="H72" s="70">
        <f t="shared" si="56"/>
        <v>407.16349717823095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8.1999999999999993</v>
      </c>
      <c r="N72" s="14">
        <f>IF('Données projet'!$A$36&gt;35,N71+M72-V71,IF(A72&lt;'Données projet'!$A$36,$K$205^A72,IF(A72='Données projet'!$A$36,'Données projet'!$B$36,N71+M72-V71)))</f>
        <v>293.79999999999995</v>
      </c>
      <c r="O72" s="14">
        <f>N72*VLOOKUP('Données projet'!$B$9,Paramètres!$A$1:$I$89,3,0)*VLOOKUP('Données projet'!$B$9,Paramètres!$A$1:$I$89,5,0)</f>
        <v>265.83023999999995</v>
      </c>
      <c r="P72" s="14">
        <f t="shared" si="87"/>
        <v>63.963540982526439</v>
      </c>
      <c r="Q72" s="22">
        <f t="shared" si="54"/>
        <v>574.39083521123348</v>
      </c>
      <c r="R72" s="62">
        <f t="shared" si="55"/>
        <v>867.72416854456674</v>
      </c>
      <c r="S72" s="62">
        <f ca="1">AVERAGE(OFFSET($R$3,0,0,'Données projet'!$E$9+1,1))-AVERAGE(OFFSET($H$3,0,0,'Données projet'!$E$9+1,1))</f>
        <v>312.57314929661908</v>
      </c>
      <c r="T72" s="62">
        <f t="shared" si="88"/>
        <v>190.92100876773804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38.884313756096624</v>
      </c>
      <c r="AA72" s="23">
        <f>EXP(-LN(2)/25)*AA71+(1-EXP(-LN(2)/25))/(LN(2)/25)*Calculateur!V72*Calculateur!X72*VLOOKUP('Données projet'!$B$9,Paramètres!$A$1:$I$89,3,0)*0.475*44/12</f>
        <v>2.4620377220764915</v>
      </c>
      <c r="AB72" s="23">
        <f>EXP(-LN(2)/2)*AB71+(1-EXP(-LN(2)/2))/(LN(2)/2)*V72*Y72*VLOOKUP('Données projet'!$B$9,Paramètres!$A$1:$I$89,3,0)*0.475*44/12</f>
        <v>0.43562099362734313</v>
      </c>
      <c r="AC72" s="24">
        <f t="shared" si="57"/>
        <v>41.781972471800465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8.1999999999999993</v>
      </c>
      <c r="AI72" s="14">
        <f>IF('Données projet'!$A$62&gt;35,AI71+AH72-AQ71,IF(A72&lt;'Données projet'!$A$62,$AF$205^A72,IF(A72='Données projet'!$A$62,'Données projet'!$B$62,AI71+AH72-AQ71)))</f>
        <v>293.79999999999995</v>
      </c>
      <c r="AJ72" s="14">
        <f>AI72*VLOOKUP('Données projet'!$B$10,Paramètres!$A$1:$I$89,3,0)*VLOOKUP('Données projet'!$B$10,Paramètres!$A$1:$I$89,5,0)</f>
        <v>297.91319999999996</v>
      </c>
      <c r="AK72" s="14">
        <f t="shared" si="89"/>
        <v>70.73881247427552</v>
      </c>
      <c r="AL72" s="22">
        <f t="shared" si="58"/>
        <v>642.06892172602977</v>
      </c>
      <c r="AM72" s="62">
        <f t="shared" si="59"/>
        <v>935.40225505936314</v>
      </c>
      <c r="AN72" s="62">
        <f ca="1">AVERAGE(OFFSET($AM$3,0,0,'Données projet'!$E$10+1,1))-AVERAGE(OFFSET($H$3,0,0,'Données projet'!$E$10+1,1))</f>
        <v>360.56293184044779</v>
      </c>
      <c r="AO72" s="62">
        <f t="shared" si="90"/>
        <v>219.32252911220542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43.577248174935875</v>
      </c>
      <c r="AV72" s="23">
        <f>EXP(-LN(2)/25)*AV71+(1-EXP(-LN(2)/25))/(LN(2)/25)*Calculateur!AQ72*Calculateur!AS72*VLOOKUP('Données projet'!$B$10,Paramètres!$A$1:$I$89,3,0)*0.475*44/12</f>
        <v>2.7591802057753796</v>
      </c>
      <c r="AW72" s="23">
        <f>EXP(-LN(2)/2)*AW71+(1-EXP(-LN(2)/2))/(LN(2)/2)*AQ72*AT72*VLOOKUP('Données projet'!$B$10,Paramètres!$A$1:$I$89,3,0)*0.475*44/12</f>
        <v>0.48819594113409143</v>
      </c>
      <c r="AX72" s="23">
        <f t="shared" si="60"/>
        <v>46.824624321845349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1.1368683772161603E-13</v>
      </c>
      <c r="BE72" s="14">
        <f>BD72*VLOOKUP('Données projet'!$B$11,Paramètres!$A$1:$I$89,3,0)*VLOOKUP('Données projet'!$B$11,Paramètres!$A$1:$I$89,5,0)</f>
        <v>8.3355189417488869E-14</v>
      </c>
      <c r="BF72" s="14">
        <f t="shared" si="91"/>
        <v>1.2790518435140618E-12</v>
      </c>
      <c r="BG72" s="22">
        <f t="shared" si="61"/>
        <v>2.3728589156891171E-12</v>
      </c>
      <c r="BH72" s="62">
        <f t="shared" si="62"/>
        <v>293.3333333333357</v>
      </c>
      <c r="BI72" s="62">
        <f ca="1">AVERAGE(OFFSET($BH$3,0,0,'Données projet'!$E$11+1,1))-AVERAGE(OFFSET($H$3,0,0,'Données projet'!$E$11+1,1))</f>
        <v>182.06733089745194</v>
      </c>
      <c r="BJ72" s="62">
        <f t="shared" si="92"/>
        <v>320.36755413886021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27.599002053406664</v>
      </c>
      <c r="BQ72" s="23">
        <f>EXP(-LN(2)/25)*BQ71+(1-EXP(-LN(2)/25))/(LN(2)/25)*Calculateur!BL72*Calculateur!BN72*VLOOKUP('Données projet'!$B$11,Paramètres!$A$1:$I$89,3,0)*0.475*44/12</f>
        <v>4.3095758159847488</v>
      </c>
      <c r="BR72" s="23">
        <f>EXP(-LN(2)/2)*BR71+(1-EXP(-LN(2)/2))/(LN(2)/2)*BL72*BO72*VLOOKUP('Données projet'!$B$11,Paramètres!$A$1:$I$89,3,0)*0.475*44/12</f>
        <v>9.9855548375805828E-4</v>
      </c>
      <c r="BS72" s="24">
        <f t="shared" si="63"/>
        <v>31.909576424875173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10.199999999999999</v>
      </c>
      <c r="BY72" s="13">
        <f>IF('Données projet'!$A$114&gt;35,BY71+BX72-CG71,IF(A72&lt;'Données projet'!$A$114,$BV$205^A72,IF(A72='Données projet'!$A$114,'Données projet'!$B$114,BY71+BX72-CG71)))</f>
        <v>299.7999999999999</v>
      </c>
      <c r="BZ72" s="14">
        <f>BY72*VLOOKUP('Données projet'!$B$12,Paramètres!$A$1:$I$89,3,0)*VLOOKUP('Données projet'!$B$12,Paramètres!$A$1:$I$89,5,0)</f>
        <v>261.90527999999995</v>
      </c>
      <c r="CA72" s="14">
        <f t="shared" si="93"/>
        <v>63.128333918905156</v>
      </c>
      <c r="CB72" s="22">
        <f t="shared" si="64"/>
        <v>566.10021090875966</v>
      </c>
      <c r="CC72" s="62">
        <f t="shared" si="65"/>
        <v>859.43354424209292</v>
      </c>
      <c r="CD72" s="62">
        <f ca="1">AVERAGE(OFFSET($CC$3,0,0,'Données projet'!$E$12+1,1))-AVERAGE(OFFSET($H$3,0,0,'Données projet'!$E$12+1,1))</f>
        <v>248.60758320902863</v>
      </c>
      <c r="CE72" s="62">
        <f t="shared" si="94"/>
        <v>222.23585883330111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32.376738364091231</v>
      </c>
      <c r="CL72" s="23">
        <f>EXP(-LN(2)/25)*CL71+(1-EXP(-LN(2)/25))/(LN(2)/25)*Calculateur!CG72*Calculateur!CI72*VLOOKUP('Données projet'!$B$12,Paramètres!$A$1:$I$89,3,0)*0.475*44/12</f>
        <v>7.9372983790697269</v>
      </c>
      <c r="CM72" s="23">
        <f>EXP(-LN(2)/2)*CM71+(1-EXP(-LN(2)/2))/(LN(2)/2)*CG72*CJ72*VLOOKUP('Données projet'!$B$12,Paramètres!$A$1:$I$89,3,0)*0.475*44/12</f>
        <v>1.1651884647568753</v>
      </c>
      <c r="CN72" s="24">
        <f t="shared" si="66"/>
        <v>41.479225207917828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193.99999999999994</v>
      </c>
      <c r="CU72" s="18">
        <f>CT72*VLOOKUP('Données projet'!$B$13,Paramètres!$A$1:$I$89,3,0)*VLOOKUP('Données projet'!$B$13,Paramètres!$A$1:$I$89,5,0)</f>
        <v>105.92399999999998</v>
      </c>
      <c r="CV72" s="14">
        <f t="shared" si="95"/>
        <v>28.36854701055546</v>
      </c>
      <c r="CW72" s="22">
        <f t="shared" si="67"/>
        <v>233.89285271005073</v>
      </c>
      <c r="CX72" s="62">
        <f t="shared" si="68"/>
        <v>527.22618604338402</v>
      </c>
      <c r="CY72" s="62">
        <f ca="1">AVERAGE(OFFSET($CX$3,0,0,'Données projet'!$E$13+1,1))-AVERAGE(OFFSET($H$3,0,0,'Données projet'!$E$13+1,1))</f>
        <v>135.44138026609272</v>
      </c>
      <c r="CZ72" s="62">
        <f t="shared" si="96"/>
        <v>254.77247578425659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30.52301872847308</v>
      </c>
      <c r="DG72" s="23">
        <f>EXP(-LN(2)/25)*DG71+(1-EXP(-LN(2)/25))/(LN(2)/25)*Calculateur!DB72*Calculateur!DD72*VLOOKUP('Données projet'!$B$13,Paramètres!$A$1:$I$89,3,0)*0.475*44/12</f>
        <v>15.342103953741637</v>
      </c>
      <c r="DH72" s="23">
        <f>EXP(-LN(2)/2)*DH71+(1-EXP(-LN(2)/2))/(LN(2)/2)*DB72*DE72*VLOOKUP('Données projet'!$B$13,Paramètres!$A$1:$I$89,3,0)*0.475*44/12</f>
        <v>1.1470906012908227E-4</v>
      </c>
      <c r="DI72" s="24">
        <f t="shared" si="69"/>
        <v>45.865237391274846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273.00000000000023</v>
      </c>
      <c r="DP72" s="18">
        <f>DO72*VLOOKUP('Données projet'!$B$14,Paramètres!$A$1:$I$89,3,0)*VLOOKUP('Données projet'!$B$14,Paramètres!$A$1:$I$89,5,0)</f>
        <v>264.04560000000021</v>
      </c>
      <c r="DQ72" s="14">
        <f t="shared" si="97"/>
        <v>63.583959929973794</v>
      </c>
      <c r="DR72" s="22">
        <f t="shared" si="70"/>
        <v>570.6214835447048</v>
      </c>
      <c r="DS72" s="62">
        <f t="shared" si="71"/>
        <v>863.95481687803817</v>
      </c>
      <c r="DT72" s="62">
        <f ca="1">AVERAGE(OFFSET($DS$3,0,0,'Données projet'!$E$14+1,1))-AVERAGE(OFFSET($H$3,0,0,'Données projet'!$E$14+1,1))</f>
        <v>271.09447278906288</v>
      </c>
      <c r="DU72" s="62">
        <f t="shared" si="98"/>
        <v>325.1094067861851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33.866657814601481</v>
      </c>
      <c r="EB72" s="23">
        <f>EXP(-LN(2)/25)*EB71+(1-EXP(-LN(2)/25))/(LN(2)/25)*Calculateur!DW72*Calculateur!DY72*VLOOKUP('Données projet'!$B$14,Paramètres!$A$1:$I$89,3,0)*0.475*44/12</f>
        <v>5.7317925374787499</v>
      </c>
      <c r="EC72" s="23">
        <f>EXP(-LN(2)/2)*EC71+(1-EXP(-LN(2)/2))/(LN(2)/2)*DW72*DZ72*VLOOKUP('Données projet'!$B$14,Paramètres!$A$1:$I$89,3,0)*0.475*44/12</f>
        <v>0.26930875372032353</v>
      </c>
      <c r="ED72" s="24">
        <f t="shared" si="72"/>
        <v>39.867759105800559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273.00000000000023</v>
      </c>
      <c r="EK72" s="18">
        <f>EJ72*VLOOKUP('Données projet'!$B$15,Paramètres!$A$1:$I$89,3,0)*VLOOKUP('Données projet'!$B$15,Paramètres!$A$1:$I$89,5,0)</f>
        <v>293.85720000000026</v>
      </c>
      <c r="EL72" s="14">
        <f t="shared" si="99"/>
        <v>69.887150190339895</v>
      </c>
      <c r="EM72" s="22">
        <f t="shared" si="73"/>
        <v>633.52140991484237</v>
      </c>
      <c r="EN72" s="62">
        <f t="shared" si="74"/>
        <v>926.85474324817574</v>
      </c>
      <c r="EO72" s="62">
        <f ca="1">AVERAGE(OFFSET($EN$3,0,0,'Données projet'!$E$15+1,1))-AVERAGE(OFFSET($H$3,0,0,'Données projet'!$E$15+1,1))</f>
        <v>306.50593475734655</v>
      </c>
      <c r="EP72" s="62">
        <f t="shared" si="100"/>
        <v>366.48643801375079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37.690312729153263</v>
      </c>
      <c r="EW72" s="23">
        <f>EXP(-LN(2)/25)*EW71+(1-EXP(-LN(2)/25))/(LN(2)/25)*Calculateur!ER72*Calculateur!ET72*VLOOKUP('Données projet'!$B$15,Paramètres!$A$1:$I$89,3,0)*0.475*44/12</f>
        <v>6.3789304046134472</v>
      </c>
      <c r="EX72" s="23">
        <f>EXP(-LN(2)/2)*EX71+(1-EXP(-LN(2)/2))/(LN(2)/2)*ER72*EU72*VLOOKUP('Données projet'!$B$15,Paramètres!$A$1:$I$89,3,0)*0.475*44/12</f>
        <v>0.29971458075326313</v>
      </c>
      <c r="EY72" s="24">
        <f t="shared" si="75"/>
        <v>44.368957714519972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51.323999999999906</v>
      </c>
      <c r="D73" s="12">
        <f t="shared" si="86"/>
        <v>14.955166599500004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511.62865445228005</v>
      </c>
      <c r="H73" s="70">
        <f t="shared" si="56"/>
        <v>408.76954849412897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>
        <f>VLOOKUP(A73,'Données projet'!$A$35:$I$55,2,0)</f>
        <v>302</v>
      </c>
      <c r="L73" s="13">
        <f>VLOOKUP(A73,'Données projet'!$A$35:$I$55,9,0)</f>
        <v>8.1999999999999993</v>
      </c>
      <c r="M73" s="13">
        <f t="array" ref="M73">INDEX(L:L,MIN(IF(ISNUMBER(L73:L269),ROW(L73:L269),"")))</f>
        <v>8.1999999999999993</v>
      </c>
      <c r="N73" s="14">
        <f>IF('Données projet'!$A$36&gt;35,N72+M73-V72,IF(A73&lt;'Données projet'!$A$36,$K$205^A73,IF(A73='Données projet'!$A$36,'Données projet'!$B$36,N72+M73-V72)))</f>
        <v>301.99999999999994</v>
      </c>
      <c r="O73" s="14">
        <f>N73*VLOOKUP('Données projet'!$B$9,Paramètres!$A$1:$I$89,3,0)*VLOOKUP('Données projet'!$B$9,Paramètres!$A$1:$I$89,5,0)</f>
        <v>273.24959999999999</v>
      </c>
      <c r="P73" s="14">
        <f t="shared" si="87"/>
        <v>65.538435495514321</v>
      </c>
      <c r="Q73" s="22">
        <f t="shared" si="54"/>
        <v>590.05582848802067</v>
      </c>
      <c r="R73" s="62">
        <f t="shared" si="55"/>
        <v>883.38916182135404</v>
      </c>
      <c r="S73" s="62">
        <f ca="1">AVERAGE(OFFSET($R$3,0,0,'Données projet'!$E$9+1,1))-AVERAGE(OFFSET($H$3,0,0,'Données projet'!$E$9+1,1))</f>
        <v>312.57314929661908</v>
      </c>
      <c r="T73" s="62">
        <f t="shared" si="88"/>
        <v>190.92100876773804</v>
      </c>
      <c r="U73" s="16">
        <f>IF(ISNA(VLOOKUP(A73,'Données projet'!$A$35:$I$55,3,0)),0,VLOOKUP(A73,'Données projet'!$A$35:$I$55,3,0))</f>
        <v>11</v>
      </c>
      <c r="V73" s="16">
        <f>IF(ISNA(VLOOKUP(A73,'Données projet'!$A$35:$I$55,4,0)),0,VLOOKUP(A73,'Données projet'!$A$35:$I$55,4,0))</f>
        <v>28</v>
      </c>
      <c r="W73" s="17">
        <f>IF(ISNA(VLOOKUP(A73,'Données projet'!$A$35:$I$55,5,0)),0%,VLOOKUP(A73,'Données projet'!$A$35:$I$55,5,0)*VLOOKUP('Données projet'!$B$9,Paramètres!$A$1:$I$89,7,0))</f>
        <v>0.34400000000000003</v>
      </c>
      <c r="X73" s="17">
        <f>IF(ISNA(VLOOKUP(A73,'Données projet'!$A$35:$I$55,6,0)),0%,VLOOKUP(A73,'Données projet'!$A$35:$I$55,6,0)*VLOOKUP('Données projet'!$B$9,Paramètres!$A$1:$I$89,7,0))</f>
        <v>1.72E-2</v>
      </c>
      <c r="Y73" s="17">
        <f>IF(ISNA(VLOOKUP(A73,'Données projet'!$A$35:$I$55,7,0)),0%,VLOOKUP(A73,'Données projet'!$A$35:$I$55,7,0))</f>
        <v>0.06</v>
      </c>
      <c r="Z73" s="23">
        <f>EXP(-LN(2)/35)*Z72+(1-EXP(-LN(2)/35))/(LN(2)/35)*V73*W73*VLOOKUP('Données projet'!$B$9,Paramètres!$A$1:$I$89,3,0)*0.475*44/12</f>
        <v>47.756027581863506</v>
      </c>
      <c r="AA73" s="23">
        <f>EXP(-LN(2)/25)*AA72+(1-EXP(-LN(2)/25))/(LN(2)/25)*Calculateur!V73*Calculateur!X73*VLOOKUP('Données projet'!$B$9,Paramètres!$A$1:$I$89,3,0)*0.475*44/12</f>
        <v>2.8745270680849173</v>
      </c>
      <c r="AB73" s="23">
        <f>EXP(-LN(2)/2)*AB72+(1-EXP(-LN(2)/2))/(LN(2)/2)*V73*Y73*VLOOKUP('Données projet'!$B$9,Paramètres!$A$1:$I$89,3,0)*0.475*44/12</f>
        <v>1.742251854543841</v>
      </c>
      <c r="AC73" s="24">
        <f t="shared" si="57"/>
        <v>52.37280650449226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302</v>
      </c>
      <c r="AG73" s="13">
        <f>VLOOKUP(A73,'Données projet'!$A$61:$I$81,9,0)</f>
        <v>8.1999999999999993</v>
      </c>
      <c r="AH73" s="13">
        <f t="array" ref="AH73">INDEX(AG:AG,MIN(IF(ISNUMBER(AG73:AG269),ROW(AG73:AG269),"")))</f>
        <v>8.1999999999999993</v>
      </c>
      <c r="AI73" s="14">
        <f>IF('Données projet'!$A$62&gt;35,AI72+AH73-AQ72,IF(A73&lt;'Données projet'!$A$62,$AF$205^A73,IF(A73='Données projet'!$A$62,'Données projet'!$B$62,AI72+AH73-AQ72)))</f>
        <v>301.99999999999994</v>
      </c>
      <c r="AJ73" s="14">
        <f>AI73*VLOOKUP('Données projet'!$B$10,Paramètres!$A$1:$I$89,3,0)*VLOOKUP('Données projet'!$B$10,Paramètres!$A$1:$I$89,5,0)</f>
        <v>306.22800000000001</v>
      </c>
      <c r="AK73" s="14">
        <f t="shared" si="89"/>
        <v>72.480526049067294</v>
      </c>
      <c r="AL73" s="22">
        <f t="shared" si="58"/>
        <v>659.58401620212555</v>
      </c>
      <c r="AM73" s="62">
        <f t="shared" si="59"/>
        <v>952.91734953545892</v>
      </c>
      <c r="AN73" s="62">
        <f ca="1">AVERAGE(OFFSET($AM$3,0,0,'Données projet'!$E$10+1,1))-AVERAGE(OFFSET($H$3,0,0,'Données projet'!$E$10+1,1))</f>
        <v>360.56293184044779</v>
      </c>
      <c r="AO73" s="62">
        <f t="shared" si="90"/>
        <v>219.32252911220542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28</v>
      </c>
      <c r="AR73" s="17">
        <f>IF(ISNA(VLOOKUP(A73,'Données projet'!$A$61:$I$81,5,0)),0%,VLOOKUP(A73,'Données projet'!$A$61:$I$81,5,0)*VLOOKUP('Données projet'!$B$10,Paramètres!$A$1:$I$89,7,0))</f>
        <v>0.34400000000000003</v>
      </c>
      <c r="AS73" s="17">
        <f>IF(ISNA(VLOOKUP(A73,'Données projet'!$A$61:$I$81,6,0)),0%,VLOOKUP(A73,'Données projet'!$A$61:$I$81,6,0)*VLOOKUP('Données projet'!$B$10,Paramètres!$A$1:$I$89,7,0))</f>
        <v>1.72E-2</v>
      </c>
      <c r="AT73" s="17">
        <f>IF(ISNA(VLOOKUP(A73,'Données projet'!$A$61:$I$81,7,0)),0%,VLOOKUP(A73,'Données projet'!$A$61:$I$81,7,0))</f>
        <v>0.06</v>
      </c>
      <c r="AU73" s="23">
        <f>EXP(-LN(2)/35)*AU72+(1-EXP(-LN(2)/35))/(LN(2)/35)*AQ73*AR73*VLOOKUP('Données projet'!$B$10,Paramètres!$A$1:$I$89,3,0)*0.475*44/12</f>
        <v>53.519686083122899</v>
      </c>
      <c r="AV73" s="23">
        <f>EXP(-LN(2)/25)*AV72+(1-EXP(-LN(2)/25))/(LN(2)/25)*Calculateur!AQ73*Calculateur!AS73*VLOOKUP('Données projet'!$B$10,Paramètres!$A$1:$I$89,3,0)*0.475*44/12</f>
        <v>3.2214527487158571</v>
      </c>
      <c r="AW73" s="23">
        <f>EXP(-LN(2)/2)*AW72+(1-EXP(-LN(2)/2))/(LN(2)/2)*AQ73*AT73*VLOOKUP('Données projet'!$B$10,Paramètres!$A$1:$I$89,3,0)*0.475*44/12</f>
        <v>1.9525236300922355</v>
      </c>
      <c r="AX73" s="23">
        <f t="shared" si="60"/>
        <v>58.693662461930991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1.1368683772161603E-13</v>
      </c>
      <c r="BE73" s="14">
        <f>BD73*VLOOKUP('Données projet'!$B$11,Paramètres!$A$1:$I$89,3,0)*VLOOKUP('Données projet'!$B$11,Paramètres!$A$1:$I$89,5,0)</f>
        <v>8.3355189417488869E-14</v>
      </c>
      <c r="BF73" s="14">
        <f t="shared" si="91"/>
        <v>1.2790518435140618E-12</v>
      </c>
      <c r="BG73" s="22">
        <f t="shared" si="61"/>
        <v>2.3728589156891171E-12</v>
      </c>
      <c r="BH73" s="62">
        <f t="shared" si="62"/>
        <v>293.3333333333357</v>
      </c>
      <c r="BI73" s="62">
        <f ca="1">AVERAGE(OFFSET($BH$3,0,0,'Données projet'!$E$11+1,1))-AVERAGE(OFFSET($H$3,0,0,'Données projet'!$E$11+1,1))</f>
        <v>182.06733089745194</v>
      </c>
      <c r="BJ73" s="62">
        <f t="shared" si="92"/>
        <v>320.36755413886021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27.057802456868419</v>
      </c>
      <c r="BQ73" s="23">
        <f>EXP(-LN(2)/25)*BQ72+(1-EXP(-LN(2)/25))/(LN(2)/25)*Calculateur!BL73*Calculateur!BN73*VLOOKUP('Données projet'!$B$11,Paramètres!$A$1:$I$89,3,0)*0.475*44/12</f>
        <v>4.1917302386659037</v>
      </c>
      <c r="BR73" s="23">
        <f>EXP(-LN(2)/2)*BR72+(1-EXP(-LN(2)/2))/(LN(2)/2)*BL73*BO73*VLOOKUP('Données projet'!$B$11,Paramètres!$A$1:$I$89,3,0)*0.475*44/12</f>
        <v>7.0608535395633642E-4</v>
      </c>
      <c r="BS73" s="24">
        <f t="shared" si="63"/>
        <v>31.250238780888282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310</v>
      </c>
      <c r="BW73" s="13">
        <f>VLOOKUP(A73,'Données projet'!$A$113:$I$133,9,0)</f>
        <v>10.199999999999999</v>
      </c>
      <c r="BX73" s="13">
        <f t="array" ref="BX73">INDEX(BW:BW,MIN(IF(ISNUMBER(BW73:BW269),ROW(BW73:BW269),"")))</f>
        <v>10.199999999999999</v>
      </c>
      <c r="BY73" s="13">
        <f>IF('Données projet'!$A$114&gt;35,BY72+BX73-CG72,IF(A73&lt;'Données projet'!$A$114,$BV$205^A73,IF(A73='Données projet'!$A$114,'Données projet'!$B$114,BY72+BX73-CG72)))</f>
        <v>309.99999999999989</v>
      </c>
      <c r="BZ73" s="14">
        <f>BY73*VLOOKUP('Données projet'!$B$12,Paramètres!$A$1:$I$89,3,0)*VLOOKUP('Données projet'!$B$12,Paramètres!$A$1:$I$89,5,0)</f>
        <v>270.81599999999997</v>
      </c>
      <c r="CA73" s="14">
        <f t="shared" si="93"/>
        <v>65.022414656032311</v>
      </c>
      <c r="CB73" s="22">
        <f t="shared" si="64"/>
        <v>584.91857219258952</v>
      </c>
      <c r="CC73" s="62">
        <f t="shared" si="65"/>
        <v>878.25190552592289</v>
      </c>
      <c r="CD73" s="62">
        <f ca="1">AVERAGE(OFFSET($CC$3,0,0,'Données projet'!$E$12+1,1))-AVERAGE(OFFSET($H$3,0,0,'Données projet'!$E$12+1,1))</f>
        <v>248.60758320902863</v>
      </c>
      <c r="CE73" s="62">
        <f t="shared" si="94"/>
        <v>222.23585883330111</v>
      </c>
      <c r="CF73" s="16">
        <f>IF(ISNA(VLOOKUP(A73,'Données projet'!$A$113:$I$133,3,0)),0,VLOOKUP(A73,'Données projet'!$A$113:$I$133,3,0))</f>
        <v>11</v>
      </c>
      <c r="CG73" s="16">
        <f>IF(ISNA(VLOOKUP(A73,'Données projet'!$A$113:$I$133,4,0)),0,VLOOKUP(A73,'Données projet'!$A$113:$I$133,4,0))</f>
        <v>31</v>
      </c>
      <c r="CH73" s="17">
        <f>IF(ISNA(VLOOKUP(A73,'Données projet'!$A$113:$I$133,5,0)),0%,VLOOKUP(A73,'Données projet'!$A$113:$I$133,5,0)*VLOOKUP('Données projet'!$B$12,Paramètres!$A$1:$I$89,7,0))</f>
        <v>0.34400000000000003</v>
      </c>
      <c r="CI73" s="17">
        <f>IF(ISNA(VLOOKUP(A73,'Données projet'!$A$113:$I$133,6,0)),0%,VLOOKUP(A73,'Données projet'!$A$113:$I$133,6,0)*VLOOKUP('Données projet'!$B$12,Paramètres!$A$1:$I$89,7,0))</f>
        <v>1.72E-2</v>
      </c>
      <c r="CJ73" s="17">
        <f>IF(ISNA(VLOOKUP(A73,'Données projet'!$A$113:$I$133,7,0)),0%,VLOOKUP(A73,'Données projet'!$A$113:$I$133,7,0))</f>
        <v>0.06</v>
      </c>
      <c r="CK73" s="23">
        <f>EXP(-LN(2)/35)*CK72+(1-EXP(-LN(2)/35))/(LN(2)/35)*CG73*CH73*VLOOKUP('Données projet'!$B$12,Paramètres!$A$1:$I$89,3,0)*0.475*44/12</f>
        <v>42.040490153475552</v>
      </c>
      <c r="CL73" s="23">
        <f>EXP(-LN(2)/25)*CL72+(1-EXP(-LN(2)/25))/(LN(2)/25)*Calculateur!CG73*Calculateur!CI73*VLOOKUP('Données projet'!$B$12,Paramètres!$A$1:$I$89,3,0)*0.475*44/12</f>
        <v>8.2331570480668521</v>
      </c>
      <c r="CM73" s="23">
        <f>EXP(-LN(2)/2)*CM72+(1-EXP(-LN(2)/2))/(LN(2)/2)*CG73*CJ73*VLOOKUP('Données projet'!$B$12,Paramètres!$A$1:$I$89,3,0)*0.475*44/12</f>
        <v>2.3570457742245656</v>
      </c>
      <c r="CN73" s="24">
        <f t="shared" si="66"/>
        <v>52.630692975766969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193.99999999999994</v>
      </c>
      <c r="CU73" s="18">
        <f>CT73*VLOOKUP('Données projet'!$B$13,Paramètres!$A$1:$I$89,3,0)*VLOOKUP('Données projet'!$B$13,Paramètres!$A$1:$I$89,5,0)</f>
        <v>105.92399999999998</v>
      </c>
      <c r="CV73" s="14">
        <f t="shared" si="95"/>
        <v>28.36854701055546</v>
      </c>
      <c r="CW73" s="22">
        <f t="shared" si="67"/>
        <v>233.89285271005073</v>
      </c>
      <c r="CX73" s="62">
        <f t="shared" si="68"/>
        <v>527.22618604338402</v>
      </c>
      <c r="CY73" s="62">
        <f ca="1">AVERAGE(OFFSET($CX$3,0,0,'Données projet'!$E$13+1,1))-AVERAGE(OFFSET($H$3,0,0,'Données projet'!$E$13+1,1))</f>
        <v>135.44138026609272</v>
      </c>
      <c r="CZ73" s="62">
        <f t="shared" si="96"/>
        <v>254.77247578425659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29.924480948410849</v>
      </c>
      <c r="DG73" s="23">
        <f>EXP(-LN(2)/25)*DG72+(1-EXP(-LN(2)/25))/(LN(2)/25)*Calculateur!DB73*Calculateur!DD73*VLOOKUP('Données projet'!$B$13,Paramètres!$A$1:$I$89,3,0)*0.475*44/12</f>
        <v>14.92257331432039</v>
      </c>
      <c r="DH73" s="23">
        <f>EXP(-LN(2)/2)*DH72+(1-EXP(-LN(2)/2))/(LN(2)/2)*DB73*DE73*VLOOKUP('Données projet'!$B$13,Paramètres!$A$1:$I$89,3,0)*0.475*44/12</f>
        <v>8.11115542808095E-5</v>
      </c>
      <c r="DI73" s="24">
        <f t="shared" si="69"/>
        <v>44.847135374285521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273.00000000000023</v>
      </c>
      <c r="DP73" s="18">
        <f>DO73*VLOOKUP('Données projet'!$B$14,Paramètres!$A$1:$I$89,3,0)*VLOOKUP('Données projet'!$B$14,Paramètres!$A$1:$I$89,5,0)</f>
        <v>264.04560000000021</v>
      </c>
      <c r="DQ73" s="14">
        <f t="shared" si="97"/>
        <v>63.583959929973794</v>
      </c>
      <c r="DR73" s="22">
        <f t="shared" si="70"/>
        <v>570.6214835447048</v>
      </c>
      <c r="DS73" s="62">
        <f t="shared" si="71"/>
        <v>863.95481687803817</v>
      </c>
      <c r="DT73" s="62">
        <f ca="1">AVERAGE(OFFSET($DS$3,0,0,'Données projet'!$E$14+1,1))-AVERAGE(OFFSET($H$3,0,0,'Données projet'!$E$14+1,1))</f>
        <v>271.09447278906288</v>
      </c>
      <c r="DU73" s="62">
        <f t="shared" si="98"/>
        <v>325.1094067861851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33.202553311478738</v>
      </c>
      <c r="EB73" s="23">
        <f>EXP(-LN(2)/25)*EB72+(1-EXP(-LN(2)/25))/(LN(2)/25)*Calculateur!DW73*Calculateur!DY73*VLOOKUP('Données projet'!$B$14,Paramètres!$A$1:$I$89,3,0)*0.475*44/12</f>
        <v>5.5750563691195243</v>
      </c>
      <c r="EC73" s="23">
        <f>EXP(-LN(2)/2)*EC72+(1-EXP(-LN(2)/2))/(LN(2)/2)*DW73*DZ73*VLOOKUP('Données projet'!$B$14,Paramètres!$A$1:$I$89,3,0)*0.475*44/12</f>
        <v>0.19043004598853863</v>
      </c>
      <c r="ED73" s="24">
        <f t="shared" si="72"/>
        <v>38.968039726586802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273.00000000000023</v>
      </c>
      <c r="EK73" s="18">
        <f>EJ73*VLOOKUP('Données projet'!$B$15,Paramètres!$A$1:$I$89,3,0)*VLOOKUP('Données projet'!$B$15,Paramètres!$A$1:$I$89,5,0)</f>
        <v>293.85720000000026</v>
      </c>
      <c r="EL73" s="14">
        <f t="shared" si="99"/>
        <v>69.887150190339895</v>
      </c>
      <c r="EM73" s="22">
        <f t="shared" si="73"/>
        <v>633.52140991484237</v>
      </c>
      <c r="EN73" s="62">
        <f t="shared" si="74"/>
        <v>926.85474324817574</v>
      </c>
      <c r="EO73" s="62">
        <f ca="1">AVERAGE(OFFSET($EN$3,0,0,'Données projet'!$E$15+1,1))-AVERAGE(OFFSET($H$3,0,0,'Données projet'!$E$15+1,1))</f>
        <v>306.50593475734655</v>
      </c>
      <c r="EP73" s="62">
        <f t="shared" si="100"/>
        <v>366.48643801375079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36.951228685355375</v>
      </c>
      <c r="EW73" s="23">
        <f>EXP(-LN(2)/25)*EW72+(1-EXP(-LN(2)/25))/(LN(2)/25)*Calculateur!ER73*Calculateur!ET73*VLOOKUP('Données projet'!$B$15,Paramètres!$A$1:$I$89,3,0)*0.475*44/12</f>
        <v>6.2044982172459218</v>
      </c>
      <c r="EX73" s="23">
        <f>EXP(-LN(2)/2)*EX72+(1-EXP(-LN(2)/2))/(LN(2)/2)*ER73*EU73*VLOOKUP('Données projet'!$B$15,Paramètres!$A$1:$I$89,3,0)*0.475*44/12</f>
        <v>0.21193021247111546</v>
      </c>
      <c r="EY73" s="24">
        <f t="shared" si="75"/>
        <v>43.367657115072412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52.057199999999902</v>
      </c>
      <c r="D74" s="12">
        <f t="shared" si="86"/>
        <v>15.14378740464756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518.74446417622607</v>
      </c>
      <c r="H74" s="70">
        <f t="shared" si="56"/>
        <v>410.3750530630943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7.6</v>
      </c>
      <c r="N74" s="14">
        <f>IF('Données projet'!$A$36&gt;35,N73+M74-V73,IF(A74&lt;'Données projet'!$A$36,$K$205^A74,IF(A74='Données projet'!$A$36,'Données projet'!$B$36,N73+M74-V73)))</f>
        <v>281.59999999999997</v>
      </c>
      <c r="O74" s="14">
        <f>N74*VLOOKUP('Données projet'!$B$9,Paramètres!$A$1:$I$89,3,0)*VLOOKUP('Données projet'!$B$9,Paramètres!$A$1:$I$89,5,0)</f>
        <v>254.79167999999996</v>
      </c>
      <c r="P74" s="14">
        <f t="shared" si="87"/>
        <v>61.610870508448471</v>
      </c>
      <c r="Q74" s="22">
        <f t="shared" si="54"/>
        <v>551.067775468881</v>
      </c>
      <c r="R74" s="62">
        <f t="shared" si="55"/>
        <v>844.40110880221437</v>
      </c>
      <c r="S74" s="62">
        <f ca="1">AVERAGE(OFFSET($R$3,0,0,'Données projet'!$E$9+1,1))-AVERAGE(OFFSET($H$3,0,0,'Données projet'!$E$9+1,1))</f>
        <v>312.57314929661908</v>
      </c>
      <c r="T74" s="62">
        <f t="shared" si="88"/>
        <v>190.92100876773804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46.819561009283809</v>
      </c>
      <c r="AA74" s="23">
        <f>EXP(-LN(2)/25)*AA73+(1-EXP(-LN(2)/25))/(LN(2)/25)*Calculateur!V74*Calculateur!X74*VLOOKUP('Données projet'!$B$9,Paramètres!$A$1:$I$89,3,0)*0.475*44/12</f>
        <v>2.7959229742433265</v>
      </c>
      <c r="AB74" s="23">
        <f>EXP(-LN(2)/2)*AB73+(1-EXP(-LN(2)/2))/(LN(2)/2)*V74*Y74*VLOOKUP('Données projet'!$B$9,Paramètres!$A$1:$I$89,3,0)*0.475*44/12</f>
        <v>1.2319581008827885</v>
      </c>
      <c r="AC74" s="24">
        <f t="shared" si="57"/>
        <v>50.84744208440992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7.6</v>
      </c>
      <c r="AI74" s="14">
        <f>IF('Données projet'!$A$62&gt;35,AI73+AH74-AQ73,IF(A74&lt;'Données projet'!$A$62,$AF$205^A74,IF(A74='Données projet'!$A$62,'Données projet'!$B$62,AI73+AH74-AQ73)))</f>
        <v>281.59999999999997</v>
      </c>
      <c r="AJ74" s="14">
        <f>AI74*VLOOKUP('Données projet'!$B$10,Paramètres!$A$1:$I$89,3,0)*VLOOKUP('Données projet'!$B$10,Paramètres!$A$1:$I$89,5,0)</f>
        <v>285.54239999999999</v>
      </c>
      <c r="AK74" s="14">
        <f t="shared" si="89"/>
        <v>68.136937829389524</v>
      </c>
      <c r="AL74" s="22">
        <f t="shared" si="58"/>
        <v>615.99151338618674</v>
      </c>
      <c r="AM74" s="62">
        <f t="shared" si="59"/>
        <v>909.32484671952011</v>
      </c>
      <c r="AN74" s="62">
        <f ca="1">AVERAGE(OFFSET($AM$3,0,0,'Données projet'!$E$10+1,1))-AVERAGE(OFFSET($H$3,0,0,'Données projet'!$E$10+1,1))</f>
        <v>360.56293184044779</v>
      </c>
      <c r="AO74" s="62">
        <f t="shared" si="90"/>
        <v>219.32252911220542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52.470197682818061</v>
      </c>
      <c r="AV74" s="23">
        <f>EXP(-LN(2)/25)*AV73+(1-EXP(-LN(2)/25))/(LN(2)/25)*Calculateur!AQ74*Calculateur!AS74*VLOOKUP('Données projet'!$B$10,Paramètres!$A$1:$I$89,3,0)*0.475*44/12</f>
        <v>3.1333619538933846</v>
      </c>
      <c r="AW74" s="23">
        <f>EXP(-LN(2)/2)*AW73+(1-EXP(-LN(2)/2))/(LN(2)/2)*AQ74*AT74*VLOOKUP('Données projet'!$B$10,Paramètres!$A$1:$I$89,3,0)*0.475*44/12</f>
        <v>1.3806426992651939</v>
      </c>
      <c r="AX74" s="23">
        <f t="shared" si="60"/>
        <v>56.98420233597664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1.1368683772161603E-13</v>
      </c>
      <c r="BE74" s="14">
        <f>BD74*VLOOKUP('Données projet'!$B$11,Paramètres!$A$1:$I$89,3,0)*VLOOKUP('Données projet'!$B$11,Paramètres!$A$1:$I$89,5,0)</f>
        <v>8.3355189417488869E-14</v>
      </c>
      <c r="BF74" s="14">
        <f t="shared" si="91"/>
        <v>1.2790518435140618E-12</v>
      </c>
      <c r="BG74" s="22">
        <f t="shared" si="61"/>
        <v>2.3728589156891171E-12</v>
      </c>
      <c r="BH74" s="62">
        <f t="shared" si="62"/>
        <v>293.3333333333357</v>
      </c>
      <c r="BI74" s="62">
        <f ca="1">AVERAGE(OFFSET($BH$3,0,0,'Données projet'!$E$11+1,1))-AVERAGE(OFFSET($H$3,0,0,'Données projet'!$E$11+1,1))</f>
        <v>182.06733089745194</v>
      </c>
      <c r="BJ74" s="62">
        <f t="shared" si="92"/>
        <v>320.36755413886021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26.52721545431913</v>
      </c>
      <c r="BQ74" s="23">
        <f>EXP(-LN(2)/25)*BQ73+(1-EXP(-LN(2)/25))/(LN(2)/25)*Calculateur!BL74*Calculateur!BN74*VLOOKUP('Données projet'!$B$11,Paramètres!$A$1:$I$89,3,0)*0.475*44/12</f>
        <v>4.0771071548560718</v>
      </c>
      <c r="BR74" s="23">
        <f>EXP(-LN(2)/2)*BR73+(1-EXP(-LN(2)/2))/(LN(2)/2)*BL74*BO74*VLOOKUP('Données projet'!$B$11,Paramètres!$A$1:$I$89,3,0)*0.475*44/12</f>
        <v>4.9927774187902914E-4</v>
      </c>
      <c r="BS74" s="24">
        <f t="shared" si="63"/>
        <v>30.604821886917083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10.4</v>
      </c>
      <c r="BY74" s="13">
        <f>IF('Données projet'!$A$114&gt;35,BY73+BX74-CG73,IF(A74&lt;'Données projet'!$A$114,$BV$205^A74,IF(A74='Données projet'!$A$114,'Données projet'!$B$114,BY73+BX74-CG73)))</f>
        <v>289.39999999999986</v>
      </c>
      <c r="BZ74" s="14">
        <f>BY74*VLOOKUP('Données projet'!$B$12,Paramètres!$A$1:$I$89,3,0)*VLOOKUP('Données projet'!$B$12,Paramètres!$A$1:$I$89,5,0)</f>
        <v>252.81983999999991</v>
      </c>
      <c r="CA74" s="14">
        <f t="shared" si="93"/>
        <v>61.189372414804382</v>
      </c>
      <c r="CB74" s="22">
        <f t="shared" si="64"/>
        <v>546.89937828911752</v>
      </c>
      <c r="CC74" s="62">
        <f t="shared" si="65"/>
        <v>840.23271162245078</v>
      </c>
      <c r="CD74" s="62">
        <f ca="1">AVERAGE(OFFSET($CC$3,0,0,'Données projet'!$E$12+1,1))-AVERAGE(OFFSET($H$3,0,0,'Données projet'!$E$12+1,1))</f>
        <v>248.60758320902863</v>
      </c>
      <c r="CE74" s="62">
        <f t="shared" si="94"/>
        <v>222.23585883330111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41.216101783732938</v>
      </c>
      <c r="CL74" s="23">
        <f>EXP(-LN(2)/25)*CL73+(1-EXP(-LN(2)/25))/(LN(2)/25)*Calculateur!CG74*Calculateur!CI74*VLOOKUP('Données projet'!$B$12,Paramètres!$A$1:$I$89,3,0)*0.475*44/12</f>
        <v>8.0080209356245522</v>
      </c>
      <c r="CM74" s="23">
        <f>EXP(-LN(2)/2)*CM73+(1-EXP(-LN(2)/2))/(LN(2)/2)*CG74*CJ74*VLOOKUP('Données projet'!$B$12,Paramètres!$A$1:$I$89,3,0)*0.475*44/12</f>
        <v>1.6666830505212866</v>
      </c>
      <c r="CN74" s="24">
        <f t="shared" si="66"/>
        <v>50.890805769878774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193.99999999999994</v>
      </c>
      <c r="CU74" s="18">
        <f>CT74*VLOOKUP('Données projet'!$B$13,Paramètres!$A$1:$I$89,3,0)*VLOOKUP('Données projet'!$B$13,Paramètres!$A$1:$I$89,5,0)</f>
        <v>105.92399999999998</v>
      </c>
      <c r="CV74" s="14">
        <f t="shared" si="95"/>
        <v>28.36854701055546</v>
      </c>
      <c r="CW74" s="22">
        <f t="shared" si="67"/>
        <v>233.89285271005073</v>
      </c>
      <c r="CX74" s="62">
        <f t="shared" si="68"/>
        <v>527.22618604338402</v>
      </c>
      <c r="CY74" s="62">
        <f ca="1">AVERAGE(OFFSET($CX$3,0,0,'Données projet'!$E$13+1,1))-AVERAGE(OFFSET($H$3,0,0,'Données projet'!$E$13+1,1))</f>
        <v>135.44138026609272</v>
      </c>
      <c r="CZ74" s="62">
        <f t="shared" si="96"/>
        <v>254.77247578425659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29.337680129143642</v>
      </c>
      <c r="DG74" s="23">
        <f>EXP(-LN(2)/25)*DG73+(1-EXP(-LN(2)/25))/(LN(2)/25)*Calculateur!DB74*Calculateur!DD74*VLOOKUP('Données projet'!$B$13,Paramètres!$A$1:$I$89,3,0)*0.475*44/12</f>
        <v>14.514514762296274</v>
      </c>
      <c r="DH74" s="23">
        <f>EXP(-LN(2)/2)*DH73+(1-EXP(-LN(2)/2))/(LN(2)/2)*DB74*DE74*VLOOKUP('Données projet'!$B$13,Paramètres!$A$1:$I$89,3,0)*0.475*44/12</f>
        <v>5.7354530064541136E-5</v>
      </c>
      <c r="DI74" s="24">
        <f t="shared" si="69"/>
        <v>43.852252245969979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273.00000000000023</v>
      </c>
      <c r="DP74" s="18">
        <f>DO74*VLOOKUP('Données projet'!$B$14,Paramètres!$A$1:$I$89,3,0)*VLOOKUP('Données projet'!$B$14,Paramètres!$A$1:$I$89,5,0)</f>
        <v>264.04560000000021</v>
      </c>
      <c r="DQ74" s="14">
        <f t="shared" si="97"/>
        <v>63.583959929973794</v>
      </c>
      <c r="DR74" s="22">
        <f t="shared" si="70"/>
        <v>570.6214835447048</v>
      </c>
      <c r="DS74" s="62">
        <f t="shared" si="71"/>
        <v>863.95481687803817</v>
      </c>
      <c r="DT74" s="62">
        <f ca="1">AVERAGE(OFFSET($DS$3,0,0,'Données projet'!$E$14+1,1))-AVERAGE(OFFSET($H$3,0,0,'Données projet'!$E$14+1,1))</f>
        <v>271.09447278906288</v>
      </c>
      <c r="DU74" s="62">
        <f t="shared" si="98"/>
        <v>325.1094067861851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32.551471492598488</v>
      </c>
      <c r="EB74" s="23">
        <f>EXP(-LN(2)/25)*EB73+(1-EXP(-LN(2)/25))/(LN(2)/25)*Calculateur!DW74*Calculateur!DY74*VLOOKUP('Données projet'!$B$14,Paramètres!$A$1:$I$89,3,0)*0.475*44/12</f>
        <v>5.4226061595264783</v>
      </c>
      <c r="EC74" s="23">
        <f>EXP(-LN(2)/2)*EC73+(1-EXP(-LN(2)/2))/(LN(2)/2)*DW74*DZ74*VLOOKUP('Données projet'!$B$14,Paramètres!$A$1:$I$89,3,0)*0.475*44/12</f>
        <v>0.13465437686016177</v>
      </c>
      <c r="ED74" s="24">
        <f t="shared" si="72"/>
        <v>38.108732028985131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273.00000000000023</v>
      </c>
      <c r="EK74" s="18">
        <f>EJ74*VLOOKUP('Données projet'!$B$15,Paramètres!$A$1:$I$89,3,0)*VLOOKUP('Données projet'!$B$15,Paramètres!$A$1:$I$89,5,0)</f>
        <v>293.85720000000026</v>
      </c>
      <c r="EL74" s="14">
        <f t="shared" si="99"/>
        <v>69.887150190339895</v>
      </c>
      <c r="EM74" s="22">
        <f t="shared" si="73"/>
        <v>633.52140991484237</v>
      </c>
      <c r="EN74" s="62">
        <f t="shared" si="74"/>
        <v>926.85474324817574</v>
      </c>
      <c r="EO74" s="62">
        <f ca="1">AVERAGE(OFFSET($EN$3,0,0,'Données projet'!$E$15+1,1))-AVERAGE(OFFSET($H$3,0,0,'Données projet'!$E$15+1,1))</f>
        <v>306.50593475734655</v>
      </c>
      <c r="EP74" s="62">
        <f t="shared" si="100"/>
        <v>366.48643801375079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36.226637628859606</v>
      </c>
      <c r="EW74" s="23">
        <f>EXP(-LN(2)/25)*EW73+(1-EXP(-LN(2)/25))/(LN(2)/25)*Calculateur!ER74*Calculateur!ET74*VLOOKUP('Données projet'!$B$15,Paramètres!$A$1:$I$89,3,0)*0.475*44/12</f>
        <v>6.0348358872149515</v>
      </c>
      <c r="EX74" s="23">
        <f>EXP(-LN(2)/2)*EX73+(1-EXP(-LN(2)/2))/(LN(2)/2)*ER74*EU74*VLOOKUP('Données projet'!$B$15,Paramètres!$A$1:$I$89,3,0)*0.475*44/12</f>
        <v>0.14985729037663156</v>
      </c>
      <c r="EY74" s="24">
        <f t="shared" si="75"/>
        <v>42.41133080645119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52.790399999999899</v>
      </c>
      <c r="D75" s="12">
        <f t="shared" si="86"/>
        <v>15.332099220482363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525.85788871951229</v>
      </c>
      <c r="H75" s="70">
        <f t="shared" si="56"/>
        <v>411.98001947567326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7.6</v>
      </c>
      <c r="N75" s="14">
        <f>IF('Données projet'!$A$36&gt;35,N74+M75-V74,IF(A75&lt;'Données projet'!$A$36,$K$205^A75,IF(A75='Données projet'!$A$36,'Données projet'!$B$36,N74+M75-V74)))</f>
        <v>289.2</v>
      </c>
      <c r="O75" s="14">
        <f>N75*VLOOKUP('Données projet'!$B$9,Paramètres!$A$1:$I$89,3,0)*VLOOKUP('Données projet'!$B$9,Paramètres!$A$1:$I$89,5,0)</f>
        <v>261.66816</v>
      </c>
      <c r="P75" s="14">
        <f t="shared" si="87"/>
        <v>63.077829793082856</v>
      </c>
      <c r="Q75" s="22">
        <f t="shared" si="54"/>
        <v>565.5992655562859</v>
      </c>
      <c r="R75" s="62">
        <f t="shared" si="55"/>
        <v>858.93259888961916</v>
      </c>
      <c r="S75" s="62">
        <f ca="1">AVERAGE(OFFSET($R$3,0,0,'Données projet'!$E$9+1,1))-AVERAGE(OFFSET($H$3,0,0,'Données projet'!$E$9+1,1))</f>
        <v>312.57314929661908</v>
      </c>
      <c r="T75" s="62">
        <f t="shared" si="88"/>
        <v>190.92100876773804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45.901457975004192</v>
      </c>
      <c r="AA75" s="23">
        <f>EXP(-LN(2)/25)*AA74+(1-EXP(-LN(2)/25))/(LN(2)/25)*Calculateur!V75*Calculateur!X75*VLOOKUP('Données projet'!$B$9,Paramètres!$A$1:$I$89,3,0)*0.475*44/12</f>
        <v>2.7194683134814435</v>
      </c>
      <c r="AB75" s="23">
        <f>EXP(-LN(2)/2)*AB74+(1-EXP(-LN(2)/2))/(LN(2)/2)*V75*Y75*VLOOKUP('Données projet'!$B$9,Paramètres!$A$1:$I$89,3,0)*0.475*44/12</f>
        <v>0.87112592727192062</v>
      </c>
      <c r="AC75" s="24">
        <f t="shared" si="57"/>
        <v>49.492052215757553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7.6</v>
      </c>
      <c r="AI75" s="14">
        <f>IF('Données projet'!$A$62&gt;35,AI74+AH75-AQ74,IF(A75&lt;'Données projet'!$A$62,$AF$205^A75,IF(A75='Données projet'!$A$62,'Données projet'!$B$62,AI74+AH75-AQ74)))</f>
        <v>289.2</v>
      </c>
      <c r="AJ75" s="14">
        <f>AI75*VLOOKUP('Données projet'!$B$10,Paramètres!$A$1:$I$89,3,0)*VLOOKUP('Données projet'!$B$10,Paramètres!$A$1:$I$89,5,0)</f>
        <v>293.24880000000002</v>
      </c>
      <c r="AK75" s="14">
        <f t="shared" si="89"/>
        <v>69.759283249126327</v>
      </c>
      <c r="AL75" s="22">
        <f t="shared" si="58"/>
        <v>632.23907832556176</v>
      </c>
      <c r="AM75" s="62">
        <f t="shared" si="59"/>
        <v>925.57241165889513</v>
      </c>
      <c r="AN75" s="62">
        <f ca="1">AVERAGE(OFFSET($AM$3,0,0,'Données projet'!$E$10+1,1))-AVERAGE(OFFSET($H$3,0,0,'Données projet'!$E$10+1,1))</f>
        <v>360.56293184044779</v>
      </c>
      <c r="AO75" s="62">
        <f t="shared" si="90"/>
        <v>219.32252911220542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51.441289109918486</v>
      </c>
      <c r="AV75" s="23">
        <f>EXP(-LN(2)/25)*AV74+(1-EXP(-LN(2)/25))/(LN(2)/25)*Calculateur!AQ75*Calculateur!AS75*VLOOKUP('Données projet'!$B$10,Paramètres!$A$1:$I$89,3,0)*0.475*44/12</f>
        <v>3.047680006487826</v>
      </c>
      <c r="AW75" s="23">
        <f>EXP(-LN(2)/2)*AW74+(1-EXP(-LN(2)/2))/(LN(2)/2)*AQ75*AT75*VLOOKUP('Données projet'!$B$10,Paramètres!$A$1:$I$89,3,0)*0.475*44/12</f>
        <v>0.97626181504611786</v>
      </c>
      <c r="AX75" s="23">
        <f t="shared" si="60"/>
        <v>55.465230931452425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1.1368683772161603E-13</v>
      </c>
      <c r="BE75" s="14">
        <f>BD75*VLOOKUP('Données projet'!$B$11,Paramètres!$A$1:$I$89,3,0)*VLOOKUP('Données projet'!$B$11,Paramètres!$A$1:$I$89,5,0)</f>
        <v>8.3355189417488869E-14</v>
      </c>
      <c r="BF75" s="14">
        <f t="shared" si="91"/>
        <v>1.2790518435140618E-12</v>
      </c>
      <c r="BG75" s="22">
        <f t="shared" si="61"/>
        <v>2.3728589156891171E-12</v>
      </c>
      <c r="BH75" s="62">
        <f t="shared" si="62"/>
        <v>293.3333333333357</v>
      </c>
      <c r="BI75" s="62">
        <f ca="1">AVERAGE(OFFSET($BH$3,0,0,'Données projet'!$E$11+1,1))-AVERAGE(OFFSET($H$3,0,0,'Données projet'!$E$11+1,1))</f>
        <v>182.06733089745194</v>
      </c>
      <c r="BJ75" s="62">
        <f t="shared" si="92"/>
        <v>320.36755413886021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26.007032939263716</v>
      </c>
      <c r="BQ75" s="23">
        <f>EXP(-LN(2)/25)*BQ74+(1-EXP(-LN(2)/25))/(LN(2)/25)*Calculateur!BL75*Calculateur!BN75*VLOOKUP('Données projet'!$B$11,Paramètres!$A$1:$I$89,3,0)*0.475*44/12</f>
        <v>3.9656184453007857</v>
      </c>
      <c r="BR75" s="23">
        <f>EXP(-LN(2)/2)*BR74+(1-EXP(-LN(2)/2))/(LN(2)/2)*BL75*BO75*VLOOKUP('Données projet'!$B$11,Paramètres!$A$1:$I$89,3,0)*0.475*44/12</f>
        <v>3.5304267697816821E-4</v>
      </c>
      <c r="BS75" s="24">
        <f t="shared" si="63"/>
        <v>29.973004427241477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10.4</v>
      </c>
      <c r="BY75" s="13">
        <f>IF('Données projet'!$A$114&gt;35,BY74+BX75-CG74,IF(A75&lt;'Données projet'!$A$114,$BV$205^A75,IF(A75='Données projet'!$A$114,'Données projet'!$B$114,BY74+BX75-CG74)))</f>
        <v>299.79999999999984</v>
      </c>
      <c r="BZ75" s="14">
        <f>BY75*VLOOKUP('Données projet'!$B$12,Paramètres!$A$1:$I$89,3,0)*VLOOKUP('Données projet'!$B$12,Paramètres!$A$1:$I$89,5,0)</f>
        <v>261.90527999999989</v>
      </c>
      <c r="CA75" s="14">
        <f t="shared" si="93"/>
        <v>63.128333918905156</v>
      </c>
      <c r="CB75" s="22">
        <f t="shared" si="64"/>
        <v>566.10021090875966</v>
      </c>
      <c r="CC75" s="62">
        <f t="shared" si="65"/>
        <v>859.43354424209292</v>
      </c>
      <c r="CD75" s="62">
        <f ca="1">AVERAGE(OFFSET($CC$3,0,0,'Données projet'!$E$12+1,1))-AVERAGE(OFFSET($H$3,0,0,'Données projet'!$E$12+1,1))</f>
        <v>248.60758320902863</v>
      </c>
      <c r="CE75" s="62">
        <f t="shared" si="94"/>
        <v>222.23585883330111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40.407879167093718</v>
      </c>
      <c r="CL75" s="23">
        <f>EXP(-LN(2)/25)*CL74+(1-EXP(-LN(2)/25))/(LN(2)/25)*Calculateur!CG75*Calculateur!CI75*VLOOKUP('Données projet'!$B$12,Paramètres!$A$1:$I$89,3,0)*0.475*44/12</f>
        <v>7.7890411820163807</v>
      </c>
      <c r="CM75" s="23">
        <f>EXP(-LN(2)/2)*CM74+(1-EXP(-LN(2)/2))/(LN(2)/2)*CG75*CJ75*VLOOKUP('Données projet'!$B$12,Paramètres!$A$1:$I$89,3,0)*0.475*44/12</f>
        <v>1.178522887112283</v>
      </c>
      <c r="CN75" s="24">
        <f t="shared" si="66"/>
        <v>49.375443236222381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193.99999999999994</v>
      </c>
      <c r="CU75" s="18">
        <f>CT75*VLOOKUP('Données projet'!$B$13,Paramètres!$A$1:$I$89,3,0)*VLOOKUP('Données projet'!$B$13,Paramètres!$A$1:$I$89,5,0)</f>
        <v>105.92399999999998</v>
      </c>
      <c r="CV75" s="14">
        <f t="shared" si="95"/>
        <v>28.36854701055546</v>
      </c>
      <c r="CW75" s="22">
        <f t="shared" si="67"/>
        <v>233.89285271005073</v>
      </c>
      <c r="CX75" s="62">
        <f t="shared" si="68"/>
        <v>527.22618604338402</v>
      </c>
      <c r="CY75" s="62">
        <f ca="1">AVERAGE(OFFSET($CX$3,0,0,'Données projet'!$E$13+1,1))-AVERAGE(OFFSET($H$3,0,0,'Données projet'!$E$13+1,1))</f>
        <v>135.44138026609272</v>
      </c>
      <c r="CZ75" s="62">
        <f t="shared" si="96"/>
        <v>254.77247578425659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28.762386116029106</v>
      </c>
      <c r="DG75" s="23">
        <f>EXP(-LN(2)/25)*DG74+(1-EXP(-LN(2)/25))/(LN(2)/25)*Calculateur!DB75*Calculateur!DD75*VLOOKUP('Données projet'!$B$13,Paramètres!$A$1:$I$89,3,0)*0.475*44/12</f>
        <v>14.117614592836125</v>
      </c>
      <c r="DH75" s="23">
        <f>EXP(-LN(2)/2)*DH74+(1-EXP(-LN(2)/2))/(LN(2)/2)*DB75*DE75*VLOOKUP('Données projet'!$B$13,Paramètres!$A$1:$I$89,3,0)*0.475*44/12</f>
        <v>4.055577714040475E-5</v>
      </c>
      <c r="DI75" s="24">
        <f t="shared" si="69"/>
        <v>42.880041264642372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273.00000000000023</v>
      </c>
      <c r="DP75" s="18">
        <f>DO75*VLOOKUP('Données projet'!$B$14,Paramètres!$A$1:$I$89,3,0)*VLOOKUP('Données projet'!$B$14,Paramètres!$A$1:$I$89,5,0)</f>
        <v>264.04560000000021</v>
      </c>
      <c r="DQ75" s="14">
        <f t="shared" si="97"/>
        <v>63.583959929973794</v>
      </c>
      <c r="DR75" s="22">
        <f t="shared" si="70"/>
        <v>570.6214835447048</v>
      </c>
      <c r="DS75" s="62">
        <f t="shared" si="71"/>
        <v>863.95481687803817</v>
      </c>
      <c r="DT75" s="62">
        <f ca="1">AVERAGE(OFFSET($DS$3,0,0,'Données projet'!$E$14+1,1))-AVERAGE(OFFSET($H$3,0,0,'Données projet'!$E$14+1,1))</f>
        <v>271.09447278906288</v>
      </c>
      <c r="DU75" s="62">
        <f t="shared" si="98"/>
        <v>325.1094067861851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31.91315699106578</v>
      </c>
      <c r="EB75" s="23">
        <f>EXP(-LN(2)/25)*EB74+(1-EXP(-LN(2)/25))/(LN(2)/25)*Calculateur!DW75*Calculateur!DY75*VLOOKUP('Données projet'!$B$14,Paramètres!$A$1:$I$89,3,0)*0.475*44/12</f>
        <v>5.2743247089317622</v>
      </c>
      <c r="EC75" s="23">
        <f>EXP(-LN(2)/2)*EC74+(1-EXP(-LN(2)/2))/(LN(2)/2)*DW75*DZ75*VLOOKUP('Données projet'!$B$14,Paramètres!$A$1:$I$89,3,0)*0.475*44/12</f>
        <v>9.5215022994269316E-2</v>
      </c>
      <c r="ED75" s="24">
        <f t="shared" si="72"/>
        <v>37.282696722991808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273.00000000000023</v>
      </c>
      <c r="EK75" s="18">
        <f>EJ75*VLOOKUP('Données projet'!$B$15,Paramètres!$A$1:$I$89,3,0)*VLOOKUP('Données projet'!$B$15,Paramètres!$A$1:$I$89,5,0)</f>
        <v>293.85720000000026</v>
      </c>
      <c r="EL75" s="14">
        <f t="shared" si="99"/>
        <v>69.887150190339895</v>
      </c>
      <c r="EM75" s="22">
        <f t="shared" si="73"/>
        <v>633.52140991484237</v>
      </c>
      <c r="EN75" s="62">
        <f t="shared" si="74"/>
        <v>926.85474324817574</v>
      </c>
      <c r="EO75" s="62">
        <f ca="1">AVERAGE(OFFSET($EN$3,0,0,'Données projet'!$E$15+1,1))-AVERAGE(OFFSET($H$3,0,0,'Données projet'!$E$15+1,1))</f>
        <v>306.50593475734655</v>
      </c>
      <c r="EP75" s="62">
        <f t="shared" si="100"/>
        <v>366.48643801375079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35.516255361024818</v>
      </c>
      <c r="EW75" s="23">
        <f>EXP(-LN(2)/25)*EW74+(1-EXP(-LN(2)/25))/(LN(2)/25)*Calculateur!ER75*Calculateur!ET75*VLOOKUP('Données projet'!$B$15,Paramètres!$A$1:$I$89,3,0)*0.475*44/12</f>
        <v>5.8698129825208323</v>
      </c>
      <c r="EX75" s="23">
        <f>EXP(-LN(2)/2)*EX74+(1-EXP(-LN(2)/2))/(LN(2)/2)*ER75*EU75*VLOOKUP('Données projet'!$B$15,Paramètres!$A$1:$I$89,3,0)*0.475*44/12</f>
        <v>0.10596510623555773</v>
      </c>
      <c r="EY75" s="24">
        <f t="shared" si="75"/>
        <v>41.492033449781211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53.523599999999895</v>
      </c>
      <c r="D76" s="12">
        <f t="shared" si="86"/>
        <v>15.520106834494458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532.9689650382021</v>
      </c>
      <c r="H76" s="70">
        <f t="shared" si="56"/>
        <v>413.58445607007764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7.6</v>
      </c>
      <c r="N76" s="14">
        <f>IF('Données projet'!$A$36&gt;35,N75+M76-V75,IF(A76&lt;'Données projet'!$A$36,$K$205^A76,IF(A76='Données projet'!$A$36,'Données projet'!$B$36,N75+M76-V75)))</f>
        <v>296.8</v>
      </c>
      <c r="O76" s="14">
        <f>N76*VLOOKUP('Données projet'!$B$9,Paramètres!$A$1:$I$89,3,0)*VLOOKUP('Données projet'!$B$9,Paramètres!$A$1:$I$89,5,0)</f>
        <v>268.54464000000002</v>
      </c>
      <c r="P76" s="14">
        <f t="shared" si="87"/>
        <v>64.54030807605065</v>
      </c>
      <c r="Q76" s="22">
        <f t="shared" si="54"/>
        <v>580.12295123245474</v>
      </c>
      <c r="R76" s="62">
        <f t="shared" si="55"/>
        <v>873.45628456578811</v>
      </c>
      <c r="S76" s="62">
        <f ca="1">AVERAGE(OFFSET($R$3,0,0,'Données projet'!$E$9+1,1))-AVERAGE(OFFSET($H$3,0,0,'Données projet'!$E$9+1,1))</f>
        <v>312.57314929661908</v>
      </c>
      <c r="T76" s="62">
        <f t="shared" si="88"/>
        <v>190.92100876773804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45.001358381239235</v>
      </c>
      <c r="AA76" s="23">
        <f>EXP(-LN(2)/25)*AA75+(1-EXP(-LN(2)/25))/(LN(2)/25)*Calculateur!V76*Calculateur!X76*VLOOKUP('Données projet'!$B$9,Paramètres!$A$1:$I$89,3,0)*0.475*44/12</f>
        <v>2.6451043094386701</v>
      </c>
      <c r="AB76" s="23">
        <f>EXP(-LN(2)/2)*AB75+(1-EXP(-LN(2)/2))/(LN(2)/2)*V76*Y76*VLOOKUP('Données projet'!$B$9,Paramètres!$A$1:$I$89,3,0)*0.475*44/12</f>
        <v>0.61597905044139434</v>
      </c>
      <c r="AC76" s="24">
        <f t="shared" si="57"/>
        <v>48.262441741119304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7.6</v>
      </c>
      <c r="AI76" s="14">
        <f>IF('Données projet'!$A$62&gt;35,AI75+AH76-AQ75,IF(A76&lt;'Données projet'!$A$62,$AF$205^A76,IF(A76='Données projet'!$A$62,'Données projet'!$B$62,AI75+AH76-AQ75)))</f>
        <v>296.8</v>
      </c>
      <c r="AJ76" s="14">
        <f>AI76*VLOOKUP('Données projet'!$B$10,Paramètres!$A$1:$I$89,3,0)*VLOOKUP('Données projet'!$B$10,Paramètres!$A$1:$I$89,5,0)</f>
        <v>300.95520000000005</v>
      </c>
      <c r="AK76" s="14">
        <f t="shared" si="89"/>
        <v>71.376673021759785</v>
      </c>
      <c r="AL76" s="22">
        <f t="shared" si="58"/>
        <v>648.4780121795651</v>
      </c>
      <c r="AM76" s="62">
        <f t="shared" si="59"/>
        <v>941.81134551289847</v>
      </c>
      <c r="AN76" s="62">
        <f ca="1">AVERAGE(OFFSET($AM$3,0,0,'Données projet'!$E$10+1,1))-AVERAGE(OFFSET($H$3,0,0,'Données projet'!$E$10+1,1))</f>
        <v>360.56293184044779</v>
      </c>
      <c r="AO76" s="62">
        <f t="shared" si="90"/>
        <v>219.32252911220542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50.432556806561209</v>
      </c>
      <c r="AV76" s="23">
        <f>EXP(-LN(2)/25)*AV75+(1-EXP(-LN(2)/25))/(LN(2)/25)*Calculateur!AQ76*Calculateur!AS76*VLOOKUP('Données projet'!$B$10,Paramètres!$A$1:$I$89,3,0)*0.475*44/12</f>
        <v>2.9643410364398903</v>
      </c>
      <c r="AW76" s="23">
        <f>EXP(-LN(2)/2)*AW75+(1-EXP(-LN(2)/2))/(LN(2)/2)*AQ76*AT76*VLOOKUP('Données projet'!$B$10,Paramètres!$A$1:$I$89,3,0)*0.475*44/12</f>
        <v>0.69032134963259706</v>
      </c>
      <c r="AX76" s="23">
        <f t="shared" si="60"/>
        <v>54.087219192633697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1.1368683772161603E-13</v>
      </c>
      <c r="BE76" s="14">
        <f>BD76*VLOOKUP('Données projet'!$B$11,Paramètres!$A$1:$I$89,3,0)*VLOOKUP('Données projet'!$B$11,Paramètres!$A$1:$I$89,5,0)</f>
        <v>8.3355189417488869E-14</v>
      </c>
      <c r="BF76" s="14">
        <f t="shared" si="91"/>
        <v>1.2790518435140618E-12</v>
      </c>
      <c r="BG76" s="22">
        <f t="shared" si="61"/>
        <v>2.3728589156891171E-12</v>
      </c>
      <c r="BH76" s="62">
        <f t="shared" si="62"/>
        <v>293.3333333333357</v>
      </c>
      <c r="BI76" s="62">
        <f ca="1">AVERAGE(OFFSET($BH$3,0,0,'Données projet'!$E$11+1,1))-AVERAGE(OFFSET($H$3,0,0,'Données projet'!$E$11+1,1))</f>
        <v>182.06733089745194</v>
      </c>
      <c r="BJ76" s="62">
        <f t="shared" si="92"/>
        <v>320.36755413886021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25.497050886048534</v>
      </c>
      <c r="BQ76" s="23">
        <f>EXP(-LN(2)/25)*BQ75+(1-EXP(-LN(2)/25))/(LN(2)/25)*Calculateur!BL76*Calculateur!BN76*VLOOKUP('Données projet'!$B$11,Paramètres!$A$1:$I$89,3,0)*0.475*44/12</f>
        <v>3.8571784003712253</v>
      </c>
      <c r="BR76" s="23">
        <f>EXP(-LN(2)/2)*BR75+(1-EXP(-LN(2)/2))/(LN(2)/2)*BL76*BO76*VLOOKUP('Données projet'!$B$11,Paramètres!$A$1:$I$89,3,0)*0.475*44/12</f>
        <v>2.4963887093951457E-4</v>
      </c>
      <c r="BS76" s="24">
        <f t="shared" si="63"/>
        <v>29.354478925290699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10.4</v>
      </c>
      <c r="BY76" s="13">
        <f>IF('Données projet'!$A$114&gt;35,BY75+BX76-CG75,IF(A76&lt;'Données projet'!$A$114,$BV$205^A76,IF(A76='Données projet'!$A$114,'Données projet'!$B$114,BY75+BX76-CG75)))</f>
        <v>310.19999999999982</v>
      </c>
      <c r="BZ76" s="14">
        <f>BY76*VLOOKUP('Données projet'!$B$12,Paramètres!$A$1:$I$89,3,0)*VLOOKUP('Données projet'!$B$12,Paramètres!$A$1:$I$89,5,0)</f>
        <v>270.99071999999984</v>
      </c>
      <c r="CA76" s="14">
        <f t="shared" si="93"/>
        <v>65.05948023590976</v>
      </c>
      <c r="CB76" s="22">
        <f t="shared" si="64"/>
        <v>585.28743207754246</v>
      </c>
      <c r="CC76" s="62">
        <f t="shared" si="65"/>
        <v>878.62076541087572</v>
      </c>
      <c r="CD76" s="62">
        <f ca="1">AVERAGE(OFFSET($CC$3,0,0,'Données projet'!$E$12+1,1))-AVERAGE(OFFSET($H$3,0,0,'Données projet'!$E$12+1,1))</f>
        <v>248.60758320902863</v>
      </c>
      <c r="CE76" s="62">
        <f t="shared" si="94"/>
        <v>222.23585883330111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39.615505302999672</v>
      </c>
      <c r="CL76" s="23">
        <f>EXP(-LN(2)/25)*CL75+(1-EXP(-LN(2)/25))/(LN(2)/25)*Calculateur!CG76*Calculateur!CI76*VLOOKUP('Données projet'!$B$12,Paramètres!$A$1:$I$89,3,0)*0.475*44/12</f>
        <v>7.5760494412862691</v>
      </c>
      <c r="CM76" s="23">
        <f>EXP(-LN(2)/2)*CM75+(1-EXP(-LN(2)/2))/(LN(2)/2)*CG76*CJ76*VLOOKUP('Données projet'!$B$12,Paramètres!$A$1:$I$89,3,0)*0.475*44/12</f>
        <v>0.83334152526064342</v>
      </c>
      <c r="CN76" s="24">
        <f t="shared" si="66"/>
        <v>48.024896269546581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193.99999999999994</v>
      </c>
      <c r="CU76" s="18">
        <f>CT76*VLOOKUP('Données projet'!$B$13,Paramètres!$A$1:$I$89,3,0)*VLOOKUP('Données projet'!$B$13,Paramètres!$A$1:$I$89,5,0)</f>
        <v>105.92399999999998</v>
      </c>
      <c r="CV76" s="14">
        <f t="shared" si="95"/>
        <v>28.36854701055546</v>
      </c>
      <c r="CW76" s="22">
        <f t="shared" si="67"/>
        <v>233.89285271005073</v>
      </c>
      <c r="CX76" s="62">
        <f t="shared" si="68"/>
        <v>527.22618604338402</v>
      </c>
      <c r="CY76" s="62">
        <f ca="1">AVERAGE(OFFSET($CX$3,0,0,'Données projet'!$E$13+1,1))-AVERAGE(OFFSET($H$3,0,0,'Données projet'!$E$13+1,1))</f>
        <v>135.44138026609272</v>
      </c>
      <c r="CZ76" s="62">
        <f t="shared" si="96"/>
        <v>254.77247578425659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28.198373267617047</v>
      </c>
      <c r="DG76" s="23">
        <f>EXP(-LN(2)/25)*DG75+(1-EXP(-LN(2)/25))/(LN(2)/25)*Calculateur!DB76*Calculateur!DD76*VLOOKUP('Données projet'!$B$13,Paramètres!$A$1:$I$89,3,0)*0.475*44/12</f>
        <v>13.731567679381936</v>
      </c>
      <c r="DH76" s="23">
        <f>EXP(-LN(2)/2)*DH75+(1-EXP(-LN(2)/2))/(LN(2)/2)*DB76*DE76*VLOOKUP('Données projet'!$B$13,Paramètres!$A$1:$I$89,3,0)*0.475*44/12</f>
        <v>2.8677265032270568E-5</v>
      </c>
      <c r="DI76" s="24">
        <f t="shared" si="69"/>
        <v>41.929969624264018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273.00000000000023</v>
      </c>
      <c r="DP76" s="18">
        <f>DO76*VLOOKUP('Données projet'!$B$14,Paramètres!$A$1:$I$89,3,0)*VLOOKUP('Données projet'!$B$14,Paramètres!$A$1:$I$89,5,0)</f>
        <v>264.04560000000021</v>
      </c>
      <c r="DQ76" s="14">
        <f t="shared" si="97"/>
        <v>63.583959929973794</v>
      </c>
      <c r="DR76" s="22">
        <f t="shared" si="70"/>
        <v>570.6214835447048</v>
      </c>
      <c r="DS76" s="62">
        <f t="shared" si="71"/>
        <v>863.95481687803817</v>
      </c>
      <c r="DT76" s="62">
        <f ca="1">AVERAGE(OFFSET($DS$3,0,0,'Données projet'!$E$14+1,1))-AVERAGE(OFFSET($H$3,0,0,'Données projet'!$E$14+1,1))</f>
        <v>271.09447278906288</v>
      </c>
      <c r="DU76" s="62">
        <f t="shared" si="98"/>
        <v>325.1094067861851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31.287359447574726</v>
      </c>
      <c r="EB76" s="23">
        <f>EXP(-LN(2)/25)*EB75+(1-EXP(-LN(2)/25))/(LN(2)/25)*Calculateur!DW76*Calculateur!DY76*VLOOKUP('Données projet'!$B$14,Paramètres!$A$1:$I$89,3,0)*0.475*44/12</f>
        <v>5.1300980224013415</v>
      </c>
      <c r="EC76" s="23">
        <f>EXP(-LN(2)/2)*EC75+(1-EXP(-LN(2)/2))/(LN(2)/2)*DW76*DZ76*VLOOKUP('Données projet'!$B$14,Paramètres!$A$1:$I$89,3,0)*0.475*44/12</f>
        <v>6.7327188430080884E-2</v>
      </c>
      <c r="ED76" s="24">
        <f t="shared" si="72"/>
        <v>36.484784658406149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273.00000000000023</v>
      </c>
      <c r="EK76" s="18">
        <f>EJ76*VLOOKUP('Données projet'!$B$15,Paramètres!$A$1:$I$89,3,0)*VLOOKUP('Données projet'!$B$15,Paramètres!$A$1:$I$89,5,0)</f>
        <v>293.85720000000026</v>
      </c>
      <c r="EL76" s="14">
        <f t="shared" si="99"/>
        <v>69.887150190339895</v>
      </c>
      <c r="EM76" s="22">
        <f t="shared" si="73"/>
        <v>633.52140991484237</v>
      </c>
      <c r="EN76" s="62">
        <f t="shared" si="74"/>
        <v>926.85474324817574</v>
      </c>
      <c r="EO76" s="62">
        <f ca="1">AVERAGE(OFFSET($EN$3,0,0,'Données projet'!$E$15+1,1))-AVERAGE(OFFSET($H$3,0,0,'Données projet'!$E$15+1,1))</f>
        <v>306.50593475734655</v>
      </c>
      <c r="EP76" s="62">
        <f t="shared" si="100"/>
        <v>366.48643801375079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34.819803256171873</v>
      </c>
      <c r="EW76" s="23">
        <f>EXP(-LN(2)/25)*EW75+(1-EXP(-LN(2)/25))/(LN(2)/25)*Calculateur!ER76*Calculateur!ET76*VLOOKUP('Données projet'!$B$15,Paramètres!$A$1:$I$89,3,0)*0.475*44/12</f>
        <v>5.7093026378337512</v>
      </c>
      <c r="EX76" s="23">
        <f>EXP(-LN(2)/2)*EX75+(1-EXP(-LN(2)/2))/(LN(2)/2)*ER76*EU76*VLOOKUP('Données projet'!$B$15,Paramètres!$A$1:$I$89,3,0)*0.475*44/12</f>
        <v>7.4928645188315782E-2</v>
      </c>
      <c r="EY76" s="24">
        <f t="shared" si="75"/>
        <v>40.60403453919394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54.256799999999892</v>
      </c>
      <c r="D77" s="12">
        <f t="shared" si="86"/>
        <v>15.707814895473696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540.07772901769079</v>
      </c>
      <c r="H77" s="70">
        <f t="shared" si="56"/>
        <v>415.1883709429498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7.6</v>
      </c>
      <c r="N77" s="14">
        <f>IF('Données projet'!$A$36&gt;35,N76+M77-V76,IF(A77&lt;'Données projet'!$A$36,$K$205^A77,IF(A77='Données projet'!$A$36,'Données projet'!$B$36,N76+M77-V76)))</f>
        <v>304.40000000000003</v>
      </c>
      <c r="O77" s="14">
        <f>N77*VLOOKUP('Données projet'!$B$9,Paramètres!$A$1:$I$89,3,0)*VLOOKUP('Données projet'!$B$9,Paramètres!$A$1:$I$89,5,0)</f>
        <v>275.42112000000003</v>
      </c>
      <c r="P77" s="14">
        <f t="shared" si="87"/>
        <v>65.998433293601067</v>
      </c>
      <c r="Q77" s="22">
        <f t="shared" si="54"/>
        <v>594.63905531968851</v>
      </c>
      <c r="R77" s="62">
        <f t="shared" si="55"/>
        <v>887.97238865302188</v>
      </c>
      <c r="S77" s="62">
        <f ca="1">AVERAGE(OFFSET($R$3,0,0,'Données projet'!$E$9+1,1))-AVERAGE(OFFSET($H$3,0,0,'Données projet'!$E$9+1,1))</f>
        <v>312.57314929661908</v>
      </c>
      <c r="T77" s="62">
        <f t="shared" si="88"/>
        <v>190.92100876773804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44.118909191501473</v>
      </c>
      <c r="AA77" s="23">
        <f>EXP(-LN(2)/25)*AA76+(1-EXP(-LN(2)/25))/(LN(2)/25)*Calculateur!V77*Calculateur!X77*VLOOKUP('Données projet'!$B$9,Paramètres!$A$1:$I$89,3,0)*0.475*44/12</f>
        <v>2.5727737929970798</v>
      </c>
      <c r="AB77" s="23">
        <f>EXP(-LN(2)/2)*AB76+(1-EXP(-LN(2)/2))/(LN(2)/2)*V77*Y77*VLOOKUP('Données projet'!$B$9,Paramètres!$A$1:$I$89,3,0)*0.475*44/12</f>
        <v>0.43556296363596037</v>
      </c>
      <c r="AC77" s="24">
        <f t="shared" si="57"/>
        <v>47.127245948134515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7.6</v>
      </c>
      <c r="AI77" s="14">
        <f>IF('Données projet'!$A$62&gt;35,AI76+AH77-AQ76,IF(A77&lt;'Données projet'!$A$62,$AF$205^A77,IF(A77='Données projet'!$A$62,'Données projet'!$B$62,AI76+AH77-AQ76)))</f>
        <v>304.40000000000003</v>
      </c>
      <c r="AJ77" s="14">
        <f>AI77*VLOOKUP('Données projet'!$B$10,Paramètres!$A$1:$I$89,3,0)*VLOOKUP('Données projet'!$B$10,Paramètres!$A$1:$I$89,5,0)</f>
        <v>308.66160000000008</v>
      </c>
      <c r="AK77" s="14">
        <f t="shared" si="89"/>
        <v>72.98924863505313</v>
      </c>
      <c r="AL77" s="22">
        <f t="shared" si="58"/>
        <v>664.70856137271755</v>
      </c>
      <c r="AM77" s="62">
        <f t="shared" si="59"/>
        <v>958.04189470605093</v>
      </c>
      <c r="AN77" s="62">
        <f ca="1">AVERAGE(OFFSET($AM$3,0,0,'Données projet'!$E$10+1,1))-AVERAGE(OFFSET($H$3,0,0,'Données projet'!$E$10+1,1))</f>
        <v>360.56293184044779</v>
      </c>
      <c r="AO77" s="62">
        <f t="shared" si="90"/>
        <v>219.32252911220542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49.443605128406816</v>
      </c>
      <c r="AV77" s="23">
        <f>EXP(-LN(2)/25)*AV76+(1-EXP(-LN(2)/25))/(LN(2)/25)*Calculateur!AQ77*Calculateur!AS77*VLOOKUP('Données projet'!$B$10,Paramètres!$A$1:$I$89,3,0)*0.475*44/12</f>
        <v>2.8832809749105217</v>
      </c>
      <c r="AW77" s="23">
        <f>EXP(-LN(2)/2)*AW76+(1-EXP(-LN(2)/2))/(LN(2)/2)*AQ77*AT77*VLOOKUP('Données projet'!$B$10,Paramètres!$A$1:$I$89,3,0)*0.475*44/12</f>
        <v>0.48813090752305899</v>
      </c>
      <c r="AX77" s="23">
        <f t="shared" si="60"/>
        <v>52.815017010840393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1.1368683772161603E-13</v>
      </c>
      <c r="BE77" s="14">
        <f>BD77*VLOOKUP('Données projet'!$B$11,Paramètres!$A$1:$I$89,3,0)*VLOOKUP('Données projet'!$B$11,Paramètres!$A$1:$I$89,5,0)</f>
        <v>8.3355189417488869E-14</v>
      </c>
      <c r="BF77" s="14">
        <f t="shared" si="91"/>
        <v>1.2790518435140618E-12</v>
      </c>
      <c r="BG77" s="22">
        <f t="shared" si="61"/>
        <v>2.3728589156891171E-12</v>
      </c>
      <c r="BH77" s="62">
        <f t="shared" si="62"/>
        <v>293.3333333333357</v>
      </c>
      <c r="BI77" s="62">
        <f ca="1">AVERAGE(OFFSET($BH$3,0,0,'Données projet'!$E$11+1,1))-AVERAGE(OFFSET($H$3,0,0,'Données projet'!$E$11+1,1))</f>
        <v>182.06733089745194</v>
      </c>
      <c r="BJ77" s="62">
        <f t="shared" si="92"/>
        <v>320.36755413886021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24.997069269838562</v>
      </c>
      <c r="BQ77" s="23">
        <f>EXP(-LN(2)/25)*BQ76+(1-EXP(-LN(2)/25))/(LN(2)/25)*Calculateur!BL77*Calculateur!BN77*VLOOKUP('Données projet'!$B$11,Paramètres!$A$1:$I$89,3,0)*0.475*44/12</f>
        <v>3.7517036541728777</v>
      </c>
      <c r="BR77" s="23">
        <f>EXP(-LN(2)/2)*BR76+(1-EXP(-LN(2)/2))/(LN(2)/2)*BL77*BO77*VLOOKUP('Données projet'!$B$11,Paramètres!$A$1:$I$89,3,0)*0.475*44/12</f>
        <v>1.7652133848908411E-4</v>
      </c>
      <c r="BS77" s="24">
        <f t="shared" si="63"/>
        <v>28.748949445349929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10.4</v>
      </c>
      <c r="BY77" s="13">
        <f>IF('Données projet'!$A$114&gt;35,BY76+BX77-CG76,IF(A77&lt;'Données projet'!$A$114,$BV$205^A77,IF(A77='Données projet'!$A$114,'Données projet'!$B$114,BY76+BX77-CG76)))</f>
        <v>320.5999999999998</v>
      </c>
      <c r="BZ77" s="14">
        <f>BY77*VLOOKUP('Données projet'!$B$12,Paramètres!$A$1:$I$89,3,0)*VLOOKUP('Données projet'!$B$12,Paramètres!$A$1:$I$89,5,0)</f>
        <v>280.0761599999999</v>
      </c>
      <c r="CA77" s="14">
        <f t="shared" si="93"/>
        <v>66.983103423687609</v>
      </c>
      <c r="CB77" s="22">
        <f t="shared" si="64"/>
        <v>604.46155046292245</v>
      </c>
      <c r="CC77" s="62">
        <f t="shared" si="65"/>
        <v>897.79488379625582</v>
      </c>
      <c r="CD77" s="62">
        <f ca="1">AVERAGE(OFFSET($CC$3,0,0,'Données projet'!$E$12+1,1))-AVERAGE(OFFSET($H$3,0,0,'Données projet'!$E$12+1,1))</f>
        <v>248.60758320902863</v>
      </c>
      <c r="CE77" s="62">
        <f t="shared" si="94"/>
        <v>222.23585883330111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38.838669407080175</v>
      </c>
      <c r="CL77" s="23">
        <f>EXP(-LN(2)/25)*CL76+(1-EXP(-LN(2)/25))/(LN(2)/25)*Calculateur!CG77*Calculateur!CI77*VLOOKUP('Données projet'!$B$12,Paramètres!$A$1:$I$89,3,0)*0.475*44/12</f>
        <v>7.3688819709071716</v>
      </c>
      <c r="CM77" s="23">
        <f>EXP(-LN(2)/2)*CM76+(1-EXP(-LN(2)/2))/(LN(2)/2)*CG77*CJ77*VLOOKUP('Données projet'!$B$12,Paramètres!$A$1:$I$89,3,0)*0.475*44/12</f>
        <v>0.58926144355614163</v>
      </c>
      <c r="CN77" s="24">
        <f t="shared" si="66"/>
        <v>46.796812821543483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193.99999999999994</v>
      </c>
      <c r="CU77" s="18">
        <f>CT77*VLOOKUP('Données projet'!$B$13,Paramètres!$A$1:$I$89,3,0)*VLOOKUP('Données projet'!$B$13,Paramètres!$A$1:$I$89,5,0)</f>
        <v>105.92399999999998</v>
      </c>
      <c r="CV77" s="14">
        <f t="shared" si="95"/>
        <v>28.36854701055546</v>
      </c>
      <c r="CW77" s="22">
        <f t="shared" si="67"/>
        <v>233.89285271005073</v>
      </c>
      <c r="CX77" s="62">
        <f t="shared" si="68"/>
        <v>527.22618604338402</v>
      </c>
      <c r="CY77" s="62">
        <f ca="1">AVERAGE(OFFSET($CX$3,0,0,'Données projet'!$E$13+1,1))-AVERAGE(OFFSET($H$3,0,0,'Données projet'!$E$13+1,1))</f>
        <v>135.44138026609272</v>
      </c>
      <c r="CZ77" s="62">
        <f t="shared" si="96"/>
        <v>254.77247578425659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27.645420367148478</v>
      </c>
      <c r="DG77" s="23">
        <f>EXP(-LN(2)/25)*DG76+(1-EXP(-LN(2)/25))/(LN(2)/25)*Calculateur!DB77*Calculateur!DD77*VLOOKUP('Données projet'!$B$13,Paramètres!$A$1:$I$89,3,0)*0.475*44/12</f>
        <v>13.356077239077477</v>
      </c>
      <c r="DH77" s="23">
        <f>EXP(-LN(2)/2)*DH76+(1-EXP(-LN(2)/2))/(LN(2)/2)*DB77*DE77*VLOOKUP('Données projet'!$B$13,Paramètres!$A$1:$I$89,3,0)*0.475*44/12</f>
        <v>2.0277888570202375E-5</v>
      </c>
      <c r="DI77" s="24">
        <f t="shared" si="69"/>
        <v>41.001517884114527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273.00000000000023</v>
      </c>
      <c r="DP77" s="18">
        <f>DO77*VLOOKUP('Données projet'!$B$14,Paramètres!$A$1:$I$89,3,0)*VLOOKUP('Données projet'!$B$14,Paramètres!$A$1:$I$89,5,0)</f>
        <v>264.04560000000021</v>
      </c>
      <c r="DQ77" s="14">
        <f t="shared" si="97"/>
        <v>63.583959929973794</v>
      </c>
      <c r="DR77" s="22">
        <f t="shared" si="70"/>
        <v>570.6214835447048</v>
      </c>
      <c r="DS77" s="62">
        <f t="shared" si="71"/>
        <v>863.95481687803817</v>
      </c>
      <c r="DT77" s="62">
        <f ca="1">AVERAGE(OFFSET($DS$3,0,0,'Données projet'!$E$14+1,1))-AVERAGE(OFFSET($H$3,0,0,'Données projet'!$E$14+1,1))</f>
        <v>271.09447278906288</v>
      </c>
      <c r="DU77" s="62">
        <f t="shared" si="98"/>
        <v>325.1094067861851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30.673833412212719</v>
      </c>
      <c r="EB77" s="23">
        <f>EXP(-LN(2)/25)*EB76+(1-EXP(-LN(2)/25))/(LN(2)/25)*Calculateur!DW77*Calculateur!DY77*VLOOKUP('Données projet'!$B$14,Paramètres!$A$1:$I$89,3,0)*0.475*44/12</f>
        <v>4.9898152221986471</v>
      </c>
      <c r="EC77" s="23">
        <f>EXP(-LN(2)/2)*EC76+(1-EXP(-LN(2)/2))/(LN(2)/2)*DW77*DZ77*VLOOKUP('Données projet'!$B$14,Paramètres!$A$1:$I$89,3,0)*0.475*44/12</f>
        <v>4.7607511497134658E-2</v>
      </c>
      <c r="ED77" s="24">
        <f t="shared" si="72"/>
        <v>35.7112561459085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273.00000000000023</v>
      </c>
      <c r="EK77" s="18">
        <f>EJ77*VLOOKUP('Données projet'!$B$15,Paramètres!$A$1:$I$89,3,0)*VLOOKUP('Données projet'!$B$15,Paramètres!$A$1:$I$89,5,0)</f>
        <v>293.85720000000026</v>
      </c>
      <c r="EL77" s="14">
        <f t="shared" si="99"/>
        <v>69.887150190339895</v>
      </c>
      <c r="EM77" s="22">
        <f t="shared" si="73"/>
        <v>633.52140991484237</v>
      </c>
      <c r="EN77" s="62">
        <f t="shared" si="74"/>
        <v>926.85474324817574</v>
      </c>
      <c r="EO77" s="62">
        <f ca="1">AVERAGE(OFFSET($EN$3,0,0,'Données projet'!$E$15+1,1))-AVERAGE(OFFSET($H$3,0,0,'Données projet'!$E$15+1,1))</f>
        <v>306.50593475734655</v>
      </c>
      <c r="EP77" s="62">
        <f t="shared" si="100"/>
        <v>366.48643801375079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34.137008152301256</v>
      </c>
      <c r="EW77" s="23">
        <f>EXP(-LN(2)/25)*EW76+(1-EXP(-LN(2)/25))/(LN(2)/25)*Calculateur!ER77*Calculateur!ET77*VLOOKUP('Données projet'!$B$15,Paramètres!$A$1:$I$89,3,0)*0.475*44/12</f>
        <v>5.55318145696301</v>
      </c>
      <c r="EX77" s="23">
        <f>EXP(-LN(2)/2)*EX76+(1-EXP(-LN(2)/2))/(LN(2)/2)*ER77*EU77*VLOOKUP('Données projet'!$B$15,Paramètres!$A$1:$I$89,3,0)*0.475*44/12</f>
        <v>5.2982553117778865E-2</v>
      </c>
      <c r="EY77" s="24">
        <f t="shared" si="75"/>
        <v>39.743172162382045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54.989999999999888</v>
      </c>
      <c r="D78" s="12">
        <f t="shared" si="86"/>
        <v>15.895227919346986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547.18421551776544</v>
      </c>
      <c r="H78" s="70">
        <f t="shared" si="56"/>
        <v>416.79177195952911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>
        <f>VLOOKUP(A78,'Données projet'!$A$35:$I$55,2,0)</f>
        <v>312</v>
      </c>
      <c r="L78" s="13">
        <f>VLOOKUP(A78,'Données projet'!$A$35:$I$55,9,0)</f>
        <v>7.6</v>
      </c>
      <c r="M78" s="13">
        <f t="array" ref="M78">INDEX(L:L,MIN(IF(ISNUMBER(L78:L274),ROW(L78:L274),"")))</f>
        <v>7.6</v>
      </c>
      <c r="N78" s="14">
        <f>IF('Données projet'!$A$36&gt;35,N77+M78-V77,IF(A78&lt;'Données projet'!$A$36,$K$205^A78,IF(A78='Données projet'!$A$36,'Données projet'!$B$36,N77+M78-V77)))</f>
        <v>312.00000000000006</v>
      </c>
      <c r="O78" s="14">
        <f>N78*VLOOKUP('Données projet'!$B$9,Paramètres!$A$1:$I$89,3,0)*VLOOKUP('Données projet'!$B$9,Paramètres!$A$1:$I$89,5,0)</f>
        <v>282.29760000000005</v>
      </c>
      <c r="P78" s="14">
        <f t="shared" si="87"/>
        <v>67.452326629470178</v>
      </c>
      <c r="Q78" s="22">
        <f t="shared" si="54"/>
        <v>609.14778887966054</v>
      </c>
      <c r="R78" s="62">
        <f t="shared" si="55"/>
        <v>902.4811222129938</v>
      </c>
      <c r="S78" s="62">
        <f ca="1">AVERAGE(OFFSET($R$3,0,0,'Données projet'!$E$9+1,1))-AVERAGE(OFFSET($H$3,0,0,'Données projet'!$E$9+1,1))</f>
        <v>312.57314929661908</v>
      </c>
      <c r="T78" s="62">
        <f t="shared" si="88"/>
        <v>190.92100876773804</v>
      </c>
      <c r="U78" s="16">
        <f>IF(ISNA(VLOOKUP(A78,'Données projet'!$A$35:$I$55,3,0)),0,VLOOKUP(A78,'Données projet'!$A$35:$I$55,3,0))</f>
        <v>12</v>
      </c>
      <c r="V78" s="16">
        <f>IF(ISNA(VLOOKUP(A78,'Données projet'!$A$35:$I$55,4,0)),0,VLOOKUP(A78,'Données projet'!$A$35:$I$55,4,0))</f>
        <v>28</v>
      </c>
      <c r="W78" s="17">
        <f>IF(ISNA(VLOOKUP(A78,'Données projet'!$A$35:$I$55,5,0)),0%,VLOOKUP(A78,'Données projet'!$A$35:$I$55,5,0)*VLOOKUP('Données projet'!$B$9,Paramètres!$A$1:$I$89,7,0))</f>
        <v>0.34400000000000003</v>
      </c>
      <c r="X78" s="17">
        <f>IF(ISNA(VLOOKUP(A78,'Données projet'!$A$35:$I$55,6,0)),0%,VLOOKUP(A78,'Données projet'!$A$35:$I$55,6,0)*VLOOKUP('Données projet'!$B$9,Paramètres!$A$1:$I$89,7,0))</f>
        <v>1.72E-2</v>
      </c>
      <c r="Y78" s="17">
        <f>IF(ISNA(VLOOKUP(A78,'Données projet'!$A$35:$I$55,7,0)),0%,VLOOKUP(A78,'Données projet'!$A$35:$I$55,7,0))</f>
        <v>0.06</v>
      </c>
      <c r="Z78" s="23">
        <f>EXP(-LN(2)/35)*Z77+(1-EXP(-LN(2)/35))/(LN(2)/35)*V78*W78*VLOOKUP('Données projet'!$B$9,Paramètres!$A$1:$I$89,3,0)*0.475*44/12</f>
        <v>52.887975793568017</v>
      </c>
      <c r="AA78" s="23">
        <f>EXP(-LN(2)/25)*AA77+(1-EXP(-LN(2)/25))/(LN(2)/25)*Calculateur!V78*Calculateur!X78*VLOOKUP('Données projet'!$B$9,Paramètres!$A$1:$I$89,3,0)*0.475*44/12</f>
        <v>2.9822350553228252</v>
      </c>
      <c r="AB78" s="23">
        <f>EXP(-LN(2)/2)*AB77+(1-EXP(-LN(2)/2))/(LN(2)/2)*V78*Y78*VLOOKUP('Données projet'!$B$9,Paramètres!$A$1:$I$89,3,0)*0.475*44/12</f>
        <v>1.742210821143422</v>
      </c>
      <c r="AC78" s="24">
        <f t="shared" si="57"/>
        <v>57.612421670034266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312</v>
      </c>
      <c r="AG78" s="13">
        <f>VLOOKUP(A78,'Données projet'!$A$61:$I$81,9,0)</f>
        <v>7.6</v>
      </c>
      <c r="AH78" s="13">
        <f t="array" ref="AH78">INDEX(AG:AG,MIN(IF(ISNUMBER(AG78:AG274),ROW(AG78:AG274),"")))</f>
        <v>7.6</v>
      </c>
      <c r="AI78" s="14">
        <f>IF('Données projet'!$A$62&gt;35,AI77+AH78-AQ77,IF(A78&lt;'Données projet'!$A$62,$AF$205^A78,IF(A78='Données projet'!$A$62,'Données projet'!$B$62,AI77+AH78-AQ77)))</f>
        <v>312.00000000000006</v>
      </c>
      <c r="AJ78" s="14">
        <f>AI78*VLOOKUP('Données projet'!$B$10,Paramètres!$A$1:$I$89,3,0)*VLOOKUP('Données projet'!$B$10,Paramètres!$A$1:$I$89,5,0)</f>
        <v>316.36800000000005</v>
      </c>
      <c r="AK78" s="14">
        <f t="shared" si="89"/>
        <v>74.597144109003438</v>
      </c>
      <c r="AL78" s="22">
        <f t="shared" si="58"/>
        <v>680.93095932318113</v>
      </c>
      <c r="AM78" s="62">
        <f t="shared" si="59"/>
        <v>974.2642926565145</v>
      </c>
      <c r="AN78" s="62">
        <f ca="1">AVERAGE(OFFSET($AM$3,0,0,'Données projet'!$E$10+1,1))-AVERAGE(OFFSET($H$3,0,0,'Données projet'!$E$10+1,1))</f>
        <v>360.56293184044779</v>
      </c>
      <c r="AO78" s="62">
        <f t="shared" si="90"/>
        <v>219.32252911220542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28</v>
      </c>
      <c r="AR78" s="17">
        <f>IF(ISNA(VLOOKUP(A78,'Données projet'!$A$61:$I$81,5,0)),0%,VLOOKUP(A78,'Données projet'!$A$61:$I$81,5,0)*VLOOKUP('Données projet'!$B$10,Paramètres!$A$1:$I$89,7,0))</f>
        <v>0.34400000000000003</v>
      </c>
      <c r="AS78" s="17">
        <f>IF(ISNA(VLOOKUP(A78,'Données projet'!$A$61:$I$81,6,0)),0%,VLOOKUP(A78,'Données projet'!$A$61:$I$81,6,0)*VLOOKUP('Données projet'!$B$10,Paramètres!$A$1:$I$89,7,0))</f>
        <v>1.72E-2</v>
      </c>
      <c r="AT78" s="17">
        <f>IF(ISNA(VLOOKUP(A78,'Données projet'!$A$61:$I$81,7,0)),0%,VLOOKUP(A78,'Données projet'!$A$61:$I$81,7,0))</f>
        <v>0.06</v>
      </c>
      <c r="AU78" s="23">
        <f>EXP(-LN(2)/35)*AU77+(1-EXP(-LN(2)/35))/(LN(2)/35)*AQ78*AR78*VLOOKUP('Données projet'!$B$10,Paramètres!$A$1:$I$89,3,0)*0.475*44/12</f>
        <v>59.271007354860707</v>
      </c>
      <c r="AV78" s="23">
        <f>EXP(-LN(2)/25)*AV77+(1-EXP(-LN(2)/25))/(LN(2)/25)*Calculateur!AQ78*Calculateur!AS78*VLOOKUP('Données projet'!$B$10,Paramètres!$A$1:$I$89,3,0)*0.475*44/12</f>
        <v>3.3421599757928226</v>
      </c>
      <c r="AW78" s="23">
        <f>EXP(-LN(2)/2)*AW77+(1-EXP(-LN(2)/2))/(LN(2)/2)*AQ78*AT78*VLOOKUP('Données projet'!$B$10,Paramètres!$A$1:$I$89,3,0)*0.475*44/12</f>
        <v>1.9524776443848695</v>
      </c>
      <c r="AX78" s="23">
        <f t="shared" si="60"/>
        <v>64.565644975038396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1.1368683772161603E-13</v>
      </c>
      <c r="BE78" s="14">
        <f>BD78*VLOOKUP('Données projet'!$B$11,Paramètres!$A$1:$I$89,3,0)*VLOOKUP('Données projet'!$B$11,Paramètres!$A$1:$I$89,5,0)</f>
        <v>8.3355189417488869E-14</v>
      </c>
      <c r="BF78" s="14">
        <f t="shared" si="91"/>
        <v>1.2790518435140618E-12</v>
      </c>
      <c r="BG78" s="22">
        <f t="shared" si="61"/>
        <v>2.3728589156891171E-12</v>
      </c>
      <c r="BH78" s="62">
        <f t="shared" si="62"/>
        <v>293.3333333333357</v>
      </c>
      <c r="BI78" s="62">
        <f ca="1">AVERAGE(OFFSET($BH$3,0,0,'Données projet'!$E$11+1,1))-AVERAGE(OFFSET($H$3,0,0,'Données projet'!$E$11+1,1))</f>
        <v>182.06733089745194</v>
      </c>
      <c r="BJ78" s="62">
        <f t="shared" si="92"/>
        <v>320.36755413886021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24.506891988163794</v>
      </c>
      <c r="BQ78" s="23">
        <f>EXP(-LN(2)/25)*BQ77+(1-EXP(-LN(2)/25))/(LN(2)/25)*Calculateur!BL78*Calculateur!BN78*VLOOKUP('Données projet'!$B$11,Paramètres!$A$1:$I$89,3,0)*0.475*44/12</f>
        <v>3.6491131204559997</v>
      </c>
      <c r="BR78" s="23">
        <f>EXP(-LN(2)/2)*BR77+(1-EXP(-LN(2)/2))/(LN(2)/2)*BL78*BO78*VLOOKUP('Données projet'!$B$11,Paramètres!$A$1:$I$89,3,0)*0.475*44/12</f>
        <v>1.2481943546975729E-4</v>
      </c>
      <c r="BS78" s="24">
        <f t="shared" si="63"/>
        <v>28.156129928055265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331</v>
      </c>
      <c r="BW78" s="13">
        <f>VLOOKUP(A78,'Données projet'!$A$113:$I$133,9,0)</f>
        <v>10.4</v>
      </c>
      <c r="BX78" s="13">
        <f t="array" ref="BX78">INDEX(BW:BW,MIN(IF(ISNUMBER(BW78:BW274),ROW(BW78:BW274),"")))</f>
        <v>10.4</v>
      </c>
      <c r="BY78" s="13">
        <f>IF('Données projet'!$A$114&gt;35,BY77+BX78-CG77,IF(A78&lt;'Données projet'!$A$114,$BV$205^A78,IF(A78='Données projet'!$A$114,'Données projet'!$B$114,BY77+BX78-CG77)))</f>
        <v>330.99999999999977</v>
      </c>
      <c r="BZ78" s="14">
        <f>BY78*VLOOKUP('Données projet'!$B$12,Paramètres!$A$1:$I$89,3,0)*VLOOKUP('Données projet'!$B$12,Paramètres!$A$1:$I$89,5,0)</f>
        <v>289.16159999999985</v>
      </c>
      <c r="CA78" s="14">
        <f t="shared" si="93"/>
        <v>68.899475516226261</v>
      </c>
      <c r="CB78" s="22">
        <f t="shared" si="64"/>
        <v>623.6230398574271</v>
      </c>
      <c r="CC78" s="62">
        <f t="shared" si="65"/>
        <v>916.95637319076036</v>
      </c>
      <c r="CD78" s="62">
        <f ca="1">AVERAGE(OFFSET($CC$3,0,0,'Données projet'!$E$12+1,1))-AVERAGE(OFFSET($H$3,0,0,'Données projet'!$E$12+1,1))</f>
        <v>248.60758320902863</v>
      </c>
      <c r="CE78" s="62">
        <f t="shared" si="94"/>
        <v>222.23585883330111</v>
      </c>
      <c r="CF78" s="16">
        <f>IF(ISNA(VLOOKUP(A78,'Données projet'!$A$113:$I$133,3,0)),0,VLOOKUP(A78,'Données projet'!$A$113:$I$133,3,0))</f>
        <v>12</v>
      </c>
      <c r="CG78" s="16">
        <f>IF(ISNA(VLOOKUP(A78,'Données projet'!$A$113:$I$133,4,0)),0,VLOOKUP(A78,'Données projet'!$A$113:$I$133,4,0))</f>
        <v>31</v>
      </c>
      <c r="CH78" s="17">
        <f>IF(ISNA(VLOOKUP(A78,'Données projet'!$A$113:$I$133,5,0)),0%,VLOOKUP(A78,'Données projet'!$A$113:$I$133,5,0)*VLOOKUP('Données projet'!$B$12,Paramètres!$A$1:$I$89,7,0))</f>
        <v>0.34400000000000003</v>
      </c>
      <c r="CI78" s="17">
        <f>IF(ISNA(VLOOKUP(A78,'Données projet'!$A$113:$I$133,6,0)),0%,VLOOKUP(A78,'Données projet'!$A$113:$I$133,6,0)*VLOOKUP('Données projet'!$B$12,Paramètres!$A$1:$I$89,7,0))</f>
        <v>1.72E-2</v>
      </c>
      <c r="CJ78" s="17">
        <f>IF(ISNA(VLOOKUP(A78,'Données projet'!$A$113:$I$133,7,0)),0%,VLOOKUP(A78,'Données projet'!$A$113:$I$133,7,0))</f>
        <v>0.06</v>
      </c>
      <c r="CK78" s="23">
        <f>EXP(-LN(2)/35)*CK77+(1-EXP(-LN(2)/35))/(LN(2)/35)*CG78*CH78*VLOOKUP('Données projet'!$B$12,Paramètres!$A$1:$I$89,3,0)*0.475*44/12</f>
        <v>48.375706670100243</v>
      </c>
      <c r="CL78" s="23">
        <f>EXP(-LN(2)/25)*CL77+(1-EXP(-LN(2)/25))/(LN(2)/25)*Calculateur!CG78*Calculateur!CI78*VLOOKUP('Données projet'!$B$12,Paramètres!$A$1:$I$89,3,0)*0.475*44/12</f>
        <v>7.6802840164772217</v>
      </c>
      <c r="CM78" s="23">
        <f>EXP(-LN(2)/2)*CM77+(1-EXP(-LN(2)/2))/(LN(2)/2)*CG78*CJ78*VLOOKUP('Données projet'!$B$12,Paramètres!$A$1:$I$89,3,0)*0.475*44/12</f>
        <v>1.9498038720649586</v>
      </c>
      <c r="CN78" s="24">
        <f t="shared" si="66"/>
        <v>58.005794558642428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193.99999999999994</v>
      </c>
      <c r="CU78" s="18">
        <f>CT78*VLOOKUP('Données projet'!$B$13,Paramètres!$A$1:$I$89,3,0)*VLOOKUP('Données projet'!$B$13,Paramètres!$A$1:$I$89,5,0)</f>
        <v>105.92399999999998</v>
      </c>
      <c r="CV78" s="14">
        <f t="shared" si="95"/>
        <v>28.36854701055546</v>
      </c>
      <c r="CW78" s="22">
        <f t="shared" si="67"/>
        <v>233.89285271005073</v>
      </c>
      <c r="CX78" s="62">
        <f t="shared" si="68"/>
        <v>527.22618604338402</v>
      </c>
      <c r="CY78" s="62">
        <f ca="1">AVERAGE(OFFSET($CX$3,0,0,'Données projet'!$E$13+1,1))-AVERAGE(OFFSET($H$3,0,0,'Données projet'!$E$13+1,1))</f>
        <v>135.44138026609272</v>
      </c>
      <c r="CZ78" s="62">
        <f t="shared" si="96"/>
        <v>254.77247578425659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27.103310535790133</v>
      </c>
      <c r="DG78" s="23">
        <f>EXP(-LN(2)/25)*DG77+(1-EXP(-LN(2)/25))/(LN(2)/25)*Calculateur!DB78*Calculateur!DD78*VLOOKUP('Données projet'!$B$13,Paramètres!$A$1:$I$89,3,0)*0.475*44/12</f>
        <v>12.990854604609327</v>
      </c>
      <c r="DH78" s="23">
        <f>EXP(-LN(2)/2)*DH77+(1-EXP(-LN(2)/2))/(LN(2)/2)*DB78*DE78*VLOOKUP('Données projet'!$B$13,Paramètres!$A$1:$I$89,3,0)*0.475*44/12</f>
        <v>1.4338632516135284E-5</v>
      </c>
      <c r="DI78" s="24">
        <f t="shared" si="69"/>
        <v>40.094179479031979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273.00000000000023</v>
      </c>
      <c r="DP78" s="18">
        <f>DO78*VLOOKUP('Données projet'!$B$14,Paramètres!$A$1:$I$89,3,0)*VLOOKUP('Données projet'!$B$14,Paramètres!$A$1:$I$89,5,0)</f>
        <v>264.04560000000021</v>
      </c>
      <c r="DQ78" s="14">
        <f t="shared" si="97"/>
        <v>63.583959929973794</v>
      </c>
      <c r="DR78" s="22">
        <f t="shared" si="70"/>
        <v>570.6214835447048</v>
      </c>
      <c r="DS78" s="62">
        <f t="shared" si="71"/>
        <v>863.95481687803817</v>
      </c>
      <c r="DT78" s="62">
        <f ca="1">AVERAGE(OFFSET($DS$3,0,0,'Données projet'!$E$14+1,1))-AVERAGE(OFFSET($H$3,0,0,'Données projet'!$E$14+1,1))</f>
        <v>271.09447278906288</v>
      </c>
      <c r="DU78" s="62">
        <f t="shared" si="98"/>
        <v>325.1094067861851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30.072338248190231</v>
      </c>
      <c r="EB78" s="23">
        <f>EXP(-LN(2)/25)*EB77+(1-EXP(-LN(2)/25))/(LN(2)/25)*Calculateur!DW78*Calculateur!DY78*VLOOKUP('Données projet'!$B$14,Paramètres!$A$1:$I$89,3,0)*0.475*44/12</f>
        <v>4.8533684625446467</v>
      </c>
      <c r="EC78" s="23">
        <f>EXP(-LN(2)/2)*EC77+(1-EXP(-LN(2)/2))/(LN(2)/2)*DW78*DZ78*VLOOKUP('Données projet'!$B$14,Paramètres!$A$1:$I$89,3,0)*0.475*44/12</f>
        <v>3.3663594215040442E-2</v>
      </c>
      <c r="ED78" s="24">
        <f t="shared" si="72"/>
        <v>34.959370304949921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273.00000000000023</v>
      </c>
      <c r="EK78" s="18">
        <f>EJ78*VLOOKUP('Données projet'!$B$15,Paramètres!$A$1:$I$89,3,0)*VLOOKUP('Données projet'!$B$15,Paramètres!$A$1:$I$89,5,0)</f>
        <v>293.85720000000026</v>
      </c>
      <c r="EL78" s="14">
        <f t="shared" si="99"/>
        <v>69.887150190339895</v>
      </c>
      <c r="EM78" s="22">
        <f t="shared" si="73"/>
        <v>633.52140991484237</v>
      </c>
      <c r="EN78" s="62">
        <f t="shared" si="74"/>
        <v>926.85474324817574</v>
      </c>
      <c r="EO78" s="62">
        <f ca="1">AVERAGE(OFFSET($EN$3,0,0,'Données projet'!$E$15+1,1))-AVERAGE(OFFSET($H$3,0,0,'Données projet'!$E$15+1,1))</f>
        <v>306.50593475734655</v>
      </c>
      <c r="EP78" s="62">
        <f t="shared" si="100"/>
        <v>366.48643801375079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33.46760224395365</v>
      </c>
      <c r="EW78" s="23">
        <f>EXP(-LN(2)/25)*EW77+(1-EXP(-LN(2)/25))/(LN(2)/25)*Calculateur!ER78*Calculateur!ET78*VLOOKUP('Données projet'!$B$15,Paramètres!$A$1:$I$89,3,0)*0.475*44/12</f>
        <v>5.4013294179932361</v>
      </c>
      <c r="EX78" s="23">
        <f>EXP(-LN(2)/2)*EX77+(1-EXP(-LN(2)/2))/(LN(2)/2)*ER78*EU78*VLOOKUP('Données projet'!$B$15,Paramètres!$A$1:$I$89,3,0)*0.475*44/12</f>
        <v>3.7464322594157891E-2</v>
      </c>
      <c r="EY78" s="24">
        <f t="shared" si="75"/>
        <v>38.906395984541049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55.723199999999885</v>
      </c>
      <c r="D79" s="12">
        <f t="shared" si="86"/>
        <v>16.08235029469542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554.28845841519194</v>
      </c>
      <c r="H79" s="70">
        <f t="shared" si="56"/>
        <v>418.394666763261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7.2</v>
      </c>
      <c r="N79" s="14">
        <f>IF('Données projet'!$A$36&gt;35,N78+M79-V78,IF(A79&lt;'Données projet'!$A$36,$K$205^A79,IF(A79='Données projet'!$A$36,'Données projet'!$B$36,N78+M79-V78)))</f>
        <v>291.20000000000005</v>
      </c>
      <c r="O79" s="14">
        <f>N79*VLOOKUP('Données projet'!$B$9,Paramètres!$A$1:$I$89,3,0)*VLOOKUP('Données projet'!$B$9,Paramètres!$A$1:$I$89,5,0)</f>
        <v>263.47776000000005</v>
      </c>
      <c r="P79" s="14">
        <f t="shared" si="87"/>
        <v>63.46312159763346</v>
      </c>
      <c r="Q79" s="22">
        <f t="shared" si="54"/>
        <v>569.42203544921165</v>
      </c>
      <c r="R79" s="62">
        <f t="shared" si="55"/>
        <v>862.75536878254502</v>
      </c>
      <c r="S79" s="62">
        <f ca="1">AVERAGE(OFFSET($R$3,0,0,'Données projet'!$E$9+1,1))-AVERAGE(OFFSET($H$3,0,0,'Données projet'!$E$9+1,1))</f>
        <v>312.57314929661908</v>
      </c>
      <c r="T79" s="62">
        <f t="shared" si="88"/>
        <v>190.92100876773804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51.850874846736126</v>
      </c>
      <c r="AA79" s="23">
        <f>EXP(-LN(2)/25)*AA78+(1-EXP(-LN(2)/25))/(LN(2)/25)*Calculateur!V79*Calculateur!X79*VLOOKUP('Données projet'!$B$9,Paramètres!$A$1:$I$89,3,0)*0.475*44/12</f>
        <v>2.900685680906097</v>
      </c>
      <c r="AB79" s="23">
        <f>EXP(-LN(2)/2)*AB78+(1-EXP(-LN(2)/2))/(LN(2)/2)*V79*Y79*VLOOKUP('Données projet'!$B$9,Paramètres!$A$1:$I$89,3,0)*0.475*44/12</f>
        <v>1.231929085887097</v>
      </c>
      <c r="AC79" s="24">
        <f t="shared" si="57"/>
        <v>55.983489613529322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7.2</v>
      </c>
      <c r="AI79" s="14">
        <f>IF('Données projet'!$A$62&gt;35,AI78+AH79-AQ78,IF(A79&lt;'Données projet'!$A$62,$AF$205^A79,IF(A79='Données projet'!$A$62,'Données projet'!$B$62,AI78+AH79-AQ78)))</f>
        <v>291.20000000000005</v>
      </c>
      <c r="AJ79" s="14">
        <f>AI79*VLOOKUP('Données projet'!$B$10,Paramètres!$A$1:$I$89,3,0)*VLOOKUP('Données projet'!$B$10,Paramètres!$A$1:$I$89,5,0)</f>
        <v>295.27680000000004</v>
      </c>
      <c r="AK79" s="14">
        <f t="shared" si="89"/>
        <v>70.185386686980493</v>
      </c>
      <c r="AL79" s="22">
        <f t="shared" si="58"/>
        <v>636.51330847982445</v>
      </c>
      <c r="AM79" s="62">
        <f t="shared" si="59"/>
        <v>929.8466418131577</v>
      </c>
      <c r="AN79" s="62">
        <f ca="1">AVERAGE(OFFSET($AM$3,0,0,'Données projet'!$E$10+1,1))-AVERAGE(OFFSET($H$3,0,0,'Données projet'!$E$10+1,1))</f>
        <v>360.56293184044779</v>
      </c>
      <c r="AO79" s="62">
        <f t="shared" si="90"/>
        <v>219.32252911220542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58.108739052376684</v>
      </c>
      <c r="AV79" s="23">
        <f>EXP(-LN(2)/25)*AV78+(1-EXP(-LN(2)/25))/(LN(2)/25)*Calculateur!AQ79*Calculateur!AS79*VLOOKUP('Données projet'!$B$10,Paramètres!$A$1:$I$89,3,0)*0.475*44/12</f>
        <v>3.2507684354982134</v>
      </c>
      <c r="AW79" s="23">
        <f>EXP(-LN(2)/2)*AW78+(1-EXP(-LN(2)/2))/(LN(2)/2)*AQ79*AT79*VLOOKUP('Données projet'!$B$10,Paramètres!$A$1:$I$89,3,0)*0.475*44/12</f>
        <v>1.3806101824596777</v>
      </c>
      <c r="AX79" s="23">
        <f t="shared" si="60"/>
        <v>62.740117670334577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1.1368683772161603E-13</v>
      </c>
      <c r="BE79" s="14">
        <f>BD79*VLOOKUP('Données projet'!$B$11,Paramètres!$A$1:$I$89,3,0)*VLOOKUP('Données projet'!$B$11,Paramètres!$A$1:$I$89,5,0)</f>
        <v>8.3355189417488869E-14</v>
      </c>
      <c r="BF79" s="14">
        <f t="shared" si="91"/>
        <v>1.2790518435140618E-12</v>
      </c>
      <c r="BG79" s="22">
        <f t="shared" si="61"/>
        <v>2.3728589156891171E-12</v>
      </c>
      <c r="BH79" s="62">
        <f t="shared" si="62"/>
        <v>293.3333333333357</v>
      </c>
      <c r="BI79" s="62">
        <f ca="1">AVERAGE(OFFSET($BH$3,0,0,'Données projet'!$E$11+1,1))-AVERAGE(OFFSET($H$3,0,0,'Données projet'!$E$11+1,1))</f>
        <v>182.06733089745194</v>
      </c>
      <c r="BJ79" s="62">
        <f t="shared" si="92"/>
        <v>320.36755413886021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24.026326784004048</v>
      </c>
      <c r="BQ79" s="23">
        <f>EXP(-LN(2)/25)*BQ78+(1-EXP(-LN(2)/25))/(LN(2)/25)*Calculateur!BL79*Calculateur!BN79*VLOOKUP('Données projet'!$B$11,Paramètres!$A$1:$I$89,3,0)*0.475*44/12</f>
        <v>3.5493279302786114</v>
      </c>
      <c r="BR79" s="23">
        <f>EXP(-LN(2)/2)*BR78+(1-EXP(-LN(2)/2))/(LN(2)/2)*BL79*BO79*VLOOKUP('Données projet'!$B$11,Paramètres!$A$1:$I$89,3,0)*0.475*44/12</f>
        <v>8.8260669244542053E-5</v>
      </c>
      <c r="BS79" s="24">
        <f t="shared" si="63"/>
        <v>27.575742974951904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10.199999999999999</v>
      </c>
      <c r="BY79" s="13">
        <f>IF('Données projet'!$A$114&gt;35,BY78+BX79-CG78,IF(A79&lt;'Données projet'!$A$114,$BV$205^A79,IF(A79='Données projet'!$A$114,'Données projet'!$B$114,BY78+BX79-CG78)))</f>
        <v>310.19999999999976</v>
      </c>
      <c r="BZ79" s="14">
        <f>BY79*VLOOKUP('Données projet'!$B$12,Paramètres!$A$1:$I$89,3,0)*VLOOKUP('Données projet'!$B$12,Paramètres!$A$1:$I$89,5,0)</f>
        <v>270.99071999999984</v>
      </c>
      <c r="CA79" s="14">
        <f t="shared" si="93"/>
        <v>65.05948023590976</v>
      </c>
      <c r="CB79" s="22">
        <f t="shared" si="64"/>
        <v>585.28743207754246</v>
      </c>
      <c r="CC79" s="62">
        <f t="shared" si="65"/>
        <v>878.62076541087572</v>
      </c>
      <c r="CD79" s="62">
        <f ca="1">AVERAGE(OFFSET($CC$3,0,0,'Données projet'!$E$12+1,1))-AVERAGE(OFFSET($H$3,0,0,'Données projet'!$E$12+1,1))</f>
        <v>248.60758320902863</v>
      </c>
      <c r="CE79" s="62">
        <f t="shared" si="94"/>
        <v>222.23585883330111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47.427088568567143</v>
      </c>
      <c r="CL79" s="23">
        <f>EXP(-LN(2)/25)*CL78+(1-EXP(-LN(2)/25))/(LN(2)/25)*Calculateur!CG79*Calculateur!CI79*VLOOKUP('Données projet'!$B$12,Paramètres!$A$1:$I$89,3,0)*0.475*44/12</f>
        <v>7.4702662461580696</v>
      </c>
      <c r="CM79" s="23">
        <f>EXP(-LN(2)/2)*CM78+(1-EXP(-LN(2)/2))/(LN(2)/2)*CG79*CJ79*VLOOKUP('Données projet'!$B$12,Paramètres!$A$1:$I$89,3,0)*0.475*44/12</f>
        <v>1.37871953992092</v>
      </c>
      <c r="CN79" s="24">
        <f t="shared" si="66"/>
        <v>56.276074354646134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193.99999999999994</v>
      </c>
      <c r="CU79" s="18">
        <f>CT79*VLOOKUP('Données projet'!$B$13,Paramètres!$A$1:$I$89,3,0)*VLOOKUP('Données projet'!$B$13,Paramètres!$A$1:$I$89,5,0)</f>
        <v>105.92399999999998</v>
      </c>
      <c r="CV79" s="14">
        <f t="shared" si="95"/>
        <v>28.36854701055546</v>
      </c>
      <c r="CW79" s="22">
        <f t="shared" si="67"/>
        <v>233.89285271005073</v>
      </c>
      <c r="CX79" s="62">
        <f t="shared" si="68"/>
        <v>527.22618604338402</v>
      </c>
      <c r="CY79" s="62">
        <f ca="1">AVERAGE(OFFSET($CX$3,0,0,'Données projet'!$E$13+1,1))-AVERAGE(OFFSET($H$3,0,0,'Données projet'!$E$13+1,1))</f>
        <v>135.44138026609272</v>
      </c>
      <c r="CZ79" s="62">
        <f t="shared" si="96"/>
        <v>254.77247578425659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26.571831147570375</v>
      </c>
      <c r="DG79" s="23">
        <f>EXP(-LN(2)/25)*DG78+(1-EXP(-LN(2)/25))/(LN(2)/25)*Calculateur!DB79*Calculateur!DD79*VLOOKUP('Données projet'!$B$13,Paramètres!$A$1:$I$89,3,0)*0.475*44/12</f>
        <v>12.635619002286932</v>
      </c>
      <c r="DH79" s="23">
        <f>EXP(-LN(2)/2)*DH78+(1-EXP(-LN(2)/2))/(LN(2)/2)*DB79*DE79*VLOOKUP('Données projet'!$B$13,Paramètres!$A$1:$I$89,3,0)*0.475*44/12</f>
        <v>1.0138944285101187E-5</v>
      </c>
      <c r="DI79" s="24">
        <f t="shared" si="69"/>
        <v>39.207460288801592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273.00000000000023</v>
      </c>
      <c r="DP79" s="18">
        <f>DO79*VLOOKUP('Données projet'!$B$14,Paramètres!$A$1:$I$89,3,0)*VLOOKUP('Données projet'!$B$14,Paramètres!$A$1:$I$89,5,0)</f>
        <v>264.04560000000021</v>
      </c>
      <c r="DQ79" s="14">
        <f t="shared" si="97"/>
        <v>63.583959929973794</v>
      </c>
      <c r="DR79" s="22">
        <f t="shared" si="70"/>
        <v>570.6214835447048</v>
      </c>
      <c r="DS79" s="62">
        <f t="shared" si="71"/>
        <v>863.95481687803817</v>
      </c>
      <c r="DT79" s="62">
        <f ca="1">AVERAGE(OFFSET($DS$3,0,0,'Données projet'!$E$14+1,1))-AVERAGE(OFFSET($H$3,0,0,'Données projet'!$E$14+1,1))</f>
        <v>271.09447278906288</v>
      </c>
      <c r="DU79" s="62">
        <f t="shared" si="98"/>
        <v>325.1094067861851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29.482638037458401</v>
      </c>
      <c r="EB79" s="23">
        <f>EXP(-LN(2)/25)*EB78+(1-EXP(-LN(2)/25))/(LN(2)/25)*Calculateur!DW79*Calculateur!DY79*VLOOKUP('Données projet'!$B$14,Paramètres!$A$1:$I$89,3,0)*0.475*44/12</f>
        <v>4.7206528467088082</v>
      </c>
      <c r="EC79" s="23">
        <f>EXP(-LN(2)/2)*EC78+(1-EXP(-LN(2)/2))/(LN(2)/2)*DW79*DZ79*VLOOKUP('Données projet'!$B$14,Paramètres!$A$1:$I$89,3,0)*0.475*44/12</f>
        <v>2.3803755748567329E-2</v>
      </c>
      <c r="ED79" s="24">
        <f t="shared" si="72"/>
        <v>34.227094639915776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273.00000000000023</v>
      </c>
      <c r="EK79" s="18">
        <f>EJ79*VLOOKUP('Données projet'!$B$15,Paramètres!$A$1:$I$89,3,0)*VLOOKUP('Données projet'!$B$15,Paramètres!$A$1:$I$89,5,0)</f>
        <v>293.85720000000026</v>
      </c>
      <c r="EL79" s="14">
        <f t="shared" si="99"/>
        <v>69.887150190339895</v>
      </c>
      <c r="EM79" s="22">
        <f t="shared" si="73"/>
        <v>633.52140991484237</v>
      </c>
      <c r="EN79" s="62">
        <f t="shared" si="74"/>
        <v>926.85474324817574</v>
      </c>
      <c r="EO79" s="62">
        <f ca="1">AVERAGE(OFFSET($EN$3,0,0,'Données projet'!$E$15+1,1))-AVERAGE(OFFSET($H$3,0,0,'Données projet'!$E$15+1,1))</f>
        <v>306.50593475734655</v>
      </c>
      <c r="EP79" s="62">
        <f t="shared" si="100"/>
        <v>366.48643801375079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32.81132297717145</v>
      </c>
      <c r="EW79" s="23">
        <f>EXP(-LN(2)/25)*EW78+(1-EXP(-LN(2)/25))/(LN(2)/25)*Calculateur!ER79*Calculateur!ET79*VLOOKUP('Données projet'!$B$15,Paramètres!$A$1:$I$89,3,0)*0.475*44/12</f>
        <v>5.2536297810146415</v>
      </c>
      <c r="EX79" s="23">
        <f>EXP(-LN(2)/2)*EX78+(1-EXP(-LN(2)/2))/(LN(2)/2)*ER79*EU79*VLOOKUP('Données projet'!$B$15,Paramètres!$A$1:$I$89,3,0)*0.475*44/12</f>
        <v>2.6491276558889432E-2</v>
      </c>
      <c r="EY79" s="24">
        <f t="shared" si="75"/>
        <v>38.091444034744981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56.456399999999881</v>
      </c>
      <c r="D80" s="12">
        <f t="shared" si="86"/>
        <v>16.269186287972673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561.39049064399876</v>
      </c>
      <c r="H80" s="70">
        <f t="shared" si="56"/>
        <v>419.99706278488549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7.2</v>
      </c>
      <c r="N80" s="14">
        <f>IF('Données projet'!$A$36&gt;35,N79+M80-V79,IF(A80&lt;'Données projet'!$A$36,$K$205^A80,IF(A80='Données projet'!$A$36,'Données projet'!$B$36,N79+M80-V79)))</f>
        <v>298.40000000000003</v>
      </c>
      <c r="O80" s="14">
        <f>N80*VLOOKUP('Données projet'!$B$9,Paramètres!$A$1:$I$89,3,0)*VLOOKUP('Données projet'!$B$9,Paramètres!$A$1:$I$89,5,0)</f>
        <v>269.99232000000001</v>
      </c>
      <c r="P80" s="14">
        <f t="shared" si="87"/>
        <v>64.847639395310296</v>
      </c>
      <c r="Q80" s="22">
        <f t="shared" si="54"/>
        <v>583.17959594683214</v>
      </c>
      <c r="R80" s="62">
        <f t="shared" si="55"/>
        <v>876.51292928016551</v>
      </c>
      <c r="S80" s="62">
        <f ca="1">AVERAGE(OFFSET($R$3,0,0,'Données projet'!$E$9+1,1))-AVERAGE(OFFSET($H$3,0,0,'Données projet'!$E$9+1,1))</f>
        <v>312.57314929661908</v>
      </c>
      <c r="T80" s="62">
        <f t="shared" si="88"/>
        <v>190.92100876773804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50.834110816902488</v>
      </c>
      <c r="AA80" s="23">
        <f>EXP(-LN(2)/25)*AA79+(1-EXP(-LN(2)/25))/(LN(2)/25)*Calculateur!V80*Calculateur!X80*VLOOKUP('Données projet'!$B$9,Paramètres!$A$1:$I$89,3,0)*0.475*44/12</f>
        <v>2.8213662784212894</v>
      </c>
      <c r="AB80" s="23">
        <f>EXP(-LN(2)/2)*AB79+(1-EXP(-LN(2)/2))/(LN(2)/2)*V80*Y80*VLOOKUP('Données projet'!$B$9,Paramètres!$A$1:$I$89,3,0)*0.475*44/12</f>
        <v>0.87110541057171109</v>
      </c>
      <c r="AC80" s="24">
        <f t="shared" si="57"/>
        <v>54.526582505895483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7.2</v>
      </c>
      <c r="AI80" s="14">
        <f>IF('Données projet'!$A$62&gt;35,AI79+AH80-AQ79,IF(A80&lt;'Données projet'!$A$62,$AF$205^A80,IF(A80='Données projet'!$A$62,'Données projet'!$B$62,AI79+AH80-AQ79)))</f>
        <v>298.40000000000003</v>
      </c>
      <c r="AJ80" s="14">
        <f>AI80*VLOOKUP('Données projet'!$B$10,Paramètres!$A$1:$I$89,3,0)*VLOOKUP('Données projet'!$B$10,Paramètres!$A$1:$I$89,5,0)</f>
        <v>302.57760000000007</v>
      </c>
      <c r="AK80" s="14">
        <f t="shared" si="89"/>
        <v>71.716558091076294</v>
      </c>
      <c r="AL80" s="22">
        <f t="shared" si="58"/>
        <v>651.89565867529132</v>
      </c>
      <c r="AM80" s="62">
        <f t="shared" si="59"/>
        <v>945.22899200862457</v>
      </c>
      <c r="AN80" s="62">
        <f ca="1">AVERAGE(OFFSET($AM$3,0,0,'Données projet'!$E$10+1,1))-AVERAGE(OFFSET($H$3,0,0,'Données projet'!$E$10+1,1))</f>
        <v>360.56293184044779</v>
      </c>
      <c r="AO80" s="62">
        <f t="shared" si="90"/>
        <v>219.32252911220542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56.96926212239071</v>
      </c>
      <c r="AV80" s="23">
        <f>EXP(-LN(2)/25)*AV79+(1-EXP(-LN(2)/25))/(LN(2)/25)*Calculateur!AQ80*Calculateur!AS80*VLOOKUP('Données projet'!$B$10,Paramètres!$A$1:$I$89,3,0)*0.475*44/12</f>
        <v>3.1618760016790324</v>
      </c>
      <c r="AW80" s="23">
        <f>EXP(-LN(2)/2)*AW79+(1-EXP(-LN(2)/2))/(LN(2)/2)*AQ80*AT80*VLOOKUP('Données projet'!$B$10,Paramètres!$A$1:$I$89,3,0)*0.475*44/12</f>
        <v>0.97623882219243485</v>
      </c>
      <c r="AX80" s="23">
        <f t="shared" si="60"/>
        <v>61.107376946262178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1.1368683772161603E-13</v>
      </c>
      <c r="BE80" s="14">
        <f>BD80*VLOOKUP('Données projet'!$B$11,Paramètres!$A$1:$I$89,3,0)*VLOOKUP('Données projet'!$B$11,Paramètres!$A$1:$I$89,5,0)</f>
        <v>8.3355189417488869E-14</v>
      </c>
      <c r="BF80" s="14">
        <f t="shared" si="91"/>
        <v>1.2790518435140618E-12</v>
      </c>
      <c r="BG80" s="22">
        <f t="shared" si="61"/>
        <v>2.3728589156891171E-12</v>
      </c>
      <c r="BH80" s="62">
        <f t="shared" si="62"/>
        <v>293.3333333333357</v>
      </c>
      <c r="BI80" s="62">
        <f ca="1">AVERAGE(OFFSET($BH$3,0,0,'Données projet'!$E$11+1,1))-AVERAGE(OFFSET($H$3,0,0,'Données projet'!$E$11+1,1))</f>
        <v>182.06733089745194</v>
      </c>
      <c r="BJ80" s="62">
        <f t="shared" si="92"/>
        <v>320.36755413886021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23.555185170382046</v>
      </c>
      <c r="BQ80" s="23">
        <f>EXP(-LN(2)/25)*BQ79+(1-EXP(-LN(2)/25))/(LN(2)/25)*Calculateur!BL80*Calculateur!BN80*VLOOKUP('Données projet'!$B$11,Paramètres!$A$1:$I$89,3,0)*0.475*44/12</f>
        <v>3.4522713713740991</v>
      </c>
      <c r="BR80" s="23">
        <f>EXP(-LN(2)/2)*BR79+(1-EXP(-LN(2)/2))/(LN(2)/2)*BL80*BO80*VLOOKUP('Données projet'!$B$11,Paramètres!$A$1:$I$89,3,0)*0.475*44/12</f>
        <v>6.2409717734878643E-5</v>
      </c>
      <c r="BS80" s="24">
        <f t="shared" si="63"/>
        <v>27.00751895147388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10.199999999999999</v>
      </c>
      <c r="BY80" s="13">
        <f>IF('Données projet'!$A$114&gt;35,BY79+BX80-CG79,IF(A80&lt;'Données projet'!$A$114,$BV$205^A80,IF(A80='Données projet'!$A$114,'Données projet'!$B$114,BY79+BX80-CG79)))</f>
        <v>320.39999999999975</v>
      </c>
      <c r="BZ80" s="14">
        <f>BY80*VLOOKUP('Données projet'!$B$12,Paramètres!$A$1:$I$89,3,0)*VLOOKUP('Données projet'!$B$12,Paramètres!$A$1:$I$89,5,0)</f>
        <v>279.90143999999981</v>
      </c>
      <c r="CA80" s="14">
        <f t="shared" si="93"/>
        <v>66.946179893085159</v>
      </c>
      <c r="CB80" s="22">
        <f t="shared" si="64"/>
        <v>604.09293798045633</v>
      </c>
      <c r="CC80" s="62">
        <f t="shared" si="65"/>
        <v>897.42627131378958</v>
      </c>
      <c r="CD80" s="62">
        <f ca="1">AVERAGE(OFFSET($CC$3,0,0,'Données projet'!$E$12+1,1))-AVERAGE(OFFSET($H$3,0,0,'Données projet'!$E$12+1,1))</f>
        <v>248.60758320902863</v>
      </c>
      <c r="CE80" s="62">
        <f t="shared" si="94"/>
        <v>222.23585883330111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46.497072289405196</v>
      </c>
      <c r="CL80" s="23">
        <f>EXP(-LN(2)/25)*CL79+(1-EXP(-LN(2)/25))/(LN(2)/25)*Calculateur!CG80*Calculateur!CI80*VLOOKUP('Données projet'!$B$12,Paramètres!$A$1:$I$89,3,0)*0.475*44/12</f>
        <v>7.2659914228126485</v>
      </c>
      <c r="CM80" s="23">
        <f>EXP(-LN(2)/2)*CM79+(1-EXP(-LN(2)/2))/(LN(2)/2)*CG80*CJ80*VLOOKUP('Données projet'!$B$12,Paramètres!$A$1:$I$89,3,0)*0.475*44/12</f>
        <v>0.97490193603247954</v>
      </c>
      <c r="CN80" s="24">
        <f t="shared" si="66"/>
        <v>54.737965648250324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193.99999999999994</v>
      </c>
      <c r="CU80" s="18">
        <f>CT80*VLOOKUP('Données projet'!$B$13,Paramètres!$A$1:$I$89,3,0)*VLOOKUP('Données projet'!$B$13,Paramètres!$A$1:$I$89,5,0)</f>
        <v>105.92399999999998</v>
      </c>
      <c r="CV80" s="14">
        <f t="shared" si="95"/>
        <v>28.36854701055546</v>
      </c>
      <c r="CW80" s="22">
        <f t="shared" si="67"/>
        <v>233.89285271005073</v>
      </c>
      <c r="CX80" s="62">
        <f t="shared" si="68"/>
        <v>527.22618604338402</v>
      </c>
      <c r="CY80" s="62">
        <f ca="1">AVERAGE(OFFSET($CX$3,0,0,'Données projet'!$E$13+1,1))-AVERAGE(OFFSET($H$3,0,0,'Données projet'!$E$13+1,1))</f>
        <v>135.44138026609272</v>
      </c>
      <c r="CZ80" s="62">
        <f t="shared" si="96"/>
        <v>254.77247578425659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26.050773745983189</v>
      </c>
      <c r="DG80" s="23">
        <f>EXP(-LN(2)/25)*DG79+(1-EXP(-LN(2)/25))/(LN(2)/25)*Calculateur!DB80*Calculateur!DD80*VLOOKUP('Données projet'!$B$13,Paramètres!$A$1:$I$89,3,0)*0.475*44/12</f>
        <v>12.290097336191071</v>
      </c>
      <c r="DH80" s="23">
        <f>EXP(-LN(2)/2)*DH79+(1-EXP(-LN(2)/2))/(LN(2)/2)*DB80*DE80*VLOOKUP('Données projet'!$B$13,Paramètres!$A$1:$I$89,3,0)*0.475*44/12</f>
        <v>7.1693162580676419E-6</v>
      </c>
      <c r="DI80" s="24">
        <f t="shared" si="69"/>
        <v>38.340878251490516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273.00000000000023</v>
      </c>
      <c r="DP80" s="18">
        <f>DO80*VLOOKUP('Données projet'!$B$14,Paramètres!$A$1:$I$89,3,0)*VLOOKUP('Données projet'!$B$14,Paramètres!$A$1:$I$89,5,0)</f>
        <v>264.04560000000021</v>
      </c>
      <c r="DQ80" s="14">
        <f t="shared" si="97"/>
        <v>63.583959929973794</v>
      </c>
      <c r="DR80" s="22">
        <f t="shared" si="70"/>
        <v>570.6214835447048</v>
      </c>
      <c r="DS80" s="62">
        <f t="shared" si="71"/>
        <v>863.95481687803817</v>
      </c>
      <c r="DT80" s="62">
        <f ca="1">AVERAGE(OFFSET($DS$3,0,0,'Données projet'!$E$14+1,1))-AVERAGE(OFFSET($H$3,0,0,'Données projet'!$E$14+1,1))</f>
        <v>271.09447278906288</v>
      </c>
      <c r="DU80" s="62">
        <f t="shared" si="98"/>
        <v>325.1094067861851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28.904501488177406</v>
      </c>
      <c r="EB80" s="23">
        <f>EXP(-LN(2)/25)*EB79+(1-EXP(-LN(2)/25))/(LN(2)/25)*Calculateur!DW80*Calculateur!DY80*VLOOKUP('Données projet'!$B$14,Paramètres!$A$1:$I$89,3,0)*0.475*44/12</f>
        <v>4.5915663463672116</v>
      </c>
      <c r="EC80" s="23">
        <f>EXP(-LN(2)/2)*EC79+(1-EXP(-LN(2)/2))/(LN(2)/2)*DW80*DZ80*VLOOKUP('Données projet'!$B$14,Paramètres!$A$1:$I$89,3,0)*0.475*44/12</f>
        <v>1.6831797107520221E-2</v>
      </c>
      <c r="ED80" s="24">
        <f t="shared" si="72"/>
        <v>33.512899631652139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273.00000000000023</v>
      </c>
      <c r="EK80" s="18">
        <f>EJ80*VLOOKUP('Données projet'!$B$15,Paramètres!$A$1:$I$89,3,0)*VLOOKUP('Données projet'!$B$15,Paramètres!$A$1:$I$89,5,0)</f>
        <v>293.85720000000026</v>
      </c>
      <c r="EL80" s="14">
        <f t="shared" si="99"/>
        <v>69.887150190339895</v>
      </c>
      <c r="EM80" s="22">
        <f t="shared" si="73"/>
        <v>633.52140991484237</v>
      </c>
      <c r="EN80" s="62">
        <f t="shared" si="74"/>
        <v>926.85474324817574</v>
      </c>
      <c r="EO80" s="62">
        <f ca="1">AVERAGE(OFFSET($EN$3,0,0,'Données projet'!$E$15+1,1))-AVERAGE(OFFSET($H$3,0,0,'Données projet'!$E$15+1,1))</f>
        <v>306.50593475734655</v>
      </c>
      <c r="EP80" s="62">
        <f t="shared" si="100"/>
        <v>366.48643801375079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32.167912946520019</v>
      </c>
      <c r="EW80" s="23">
        <f>EXP(-LN(2)/25)*EW79+(1-EXP(-LN(2)/25))/(LN(2)/25)*Calculateur!ER80*Calculateur!ET80*VLOOKUP('Données projet'!$B$15,Paramètres!$A$1:$I$89,3,0)*0.475*44/12</f>
        <v>5.1099689983764129</v>
      </c>
      <c r="EX80" s="23">
        <f>EXP(-LN(2)/2)*EX79+(1-EXP(-LN(2)/2))/(LN(2)/2)*ER80*EU80*VLOOKUP('Données projet'!$B$15,Paramètres!$A$1:$I$89,3,0)*0.475*44/12</f>
        <v>1.8732161297078945E-2</v>
      </c>
      <c r="EY80" s="24">
        <f t="shared" si="75"/>
        <v>37.296614106193516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57.189599999999878</v>
      </c>
      <c r="D81" s="12">
        <f t="shared" si="86"/>
        <v>16.455740048444692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568.49034423360729</v>
      </c>
      <c r="H81" s="70">
        <f t="shared" si="56"/>
        <v>421.5989672510409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7.2</v>
      </c>
      <c r="N81" s="14">
        <f>IF('Données projet'!$A$36&gt;35,N80+M81-V80,IF(A81&lt;'Données projet'!$A$36,$K$205^A81,IF(A81='Données projet'!$A$36,'Données projet'!$B$36,N80+M81-V80)))</f>
        <v>305.60000000000002</v>
      </c>
      <c r="O81" s="14">
        <f>N81*VLOOKUP('Données projet'!$B$9,Paramètres!$A$1:$I$89,3,0)*VLOOKUP('Données projet'!$B$9,Paramètres!$A$1:$I$89,5,0)</f>
        <v>276.50687999999997</v>
      </c>
      <c r="P81" s="14">
        <f t="shared" si="87"/>
        <v>66.228273722513677</v>
      </c>
      <c r="Q81" s="22">
        <f t="shared" si="54"/>
        <v>596.93039273337797</v>
      </c>
      <c r="R81" s="62">
        <f t="shared" si="55"/>
        <v>890.26372606671134</v>
      </c>
      <c r="S81" s="62">
        <f ca="1">AVERAGE(OFFSET($R$3,0,0,'Données projet'!$E$9+1,1))-AVERAGE(OFFSET($H$3,0,0,'Données projet'!$E$9+1,1))</f>
        <v>312.57314929661908</v>
      </c>
      <c r="T81" s="62">
        <f t="shared" si="88"/>
        <v>190.92100876773804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49.837284909529068</v>
      </c>
      <c r="AA81" s="23">
        <f>EXP(-LN(2)/25)*AA80+(1-EXP(-LN(2)/25))/(LN(2)/25)*Calculateur!V81*Calculateur!X81*VLOOKUP('Données projet'!$B$9,Paramètres!$A$1:$I$89,3,0)*0.475*44/12</f>
        <v>2.7442158691686549</v>
      </c>
      <c r="AB81" s="23">
        <f>EXP(-LN(2)/2)*AB80+(1-EXP(-LN(2)/2))/(LN(2)/2)*V81*Y81*VLOOKUP('Données projet'!$B$9,Paramètres!$A$1:$I$89,3,0)*0.475*44/12</f>
        <v>0.61596454294354863</v>
      </c>
      <c r="AC81" s="24">
        <f t="shared" si="57"/>
        <v>53.197465321641275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7.2</v>
      </c>
      <c r="AI81" s="14">
        <f>IF('Données projet'!$A$62&gt;35,AI80+AH81-AQ80,IF(A81&lt;'Données projet'!$A$62,$AF$205^A81,IF(A81='Données projet'!$A$62,'Données projet'!$B$62,AI80+AH81-AQ80)))</f>
        <v>305.60000000000002</v>
      </c>
      <c r="AJ81" s="14">
        <f>AI81*VLOOKUP('Données projet'!$B$10,Paramètres!$A$1:$I$89,3,0)*VLOOKUP('Données projet'!$B$10,Paramètres!$A$1:$I$89,5,0)</f>
        <v>309.87840000000006</v>
      </c>
      <c r="AK81" s="14">
        <f t="shared" si="89"/>
        <v>73.243434672131556</v>
      </c>
      <c r="AL81" s="22">
        <f t="shared" si="58"/>
        <v>667.27052872062916</v>
      </c>
      <c r="AM81" s="62">
        <f t="shared" si="59"/>
        <v>960.60386205396253</v>
      </c>
      <c r="AN81" s="62">
        <f ca="1">AVERAGE(OFFSET($AM$3,0,0,'Données projet'!$E$10+1,1))-AVERAGE(OFFSET($H$3,0,0,'Données projet'!$E$10+1,1))</f>
        <v>360.56293184044779</v>
      </c>
      <c r="AO81" s="62">
        <f t="shared" si="90"/>
        <v>219.32252911220542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55.852129639989464</v>
      </c>
      <c r="AV81" s="23">
        <f>EXP(-LN(2)/25)*AV80+(1-EXP(-LN(2)/25))/(LN(2)/25)*Calculateur!AQ81*Calculateur!AS81*VLOOKUP('Données projet'!$B$10,Paramètres!$A$1:$I$89,3,0)*0.475*44/12</f>
        <v>3.0754143361372868</v>
      </c>
      <c r="AW81" s="23">
        <f>EXP(-LN(2)/2)*AW80+(1-EXP(-LN(2)/2))/(LN(2)/2)*AQ81*AT81*VLOOKUP('Données projet'!$B$10,Paramètres!$A$1:$I$89,3,0)*0.475*44/12</f>
        <v>0.69030509122983896</v>
      </c>
      <c r="AX81" s="23">
        <f t="shared" si="60"/>
        <v>59.617849067356588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1.1368683772161603E-13</v>
      </c>
      <c r="BE81" s="14">
        <f>BD81*VLOOKUP('Données projet'!$B$11,Paramètres!$A$1:$I$89,3,0)*VLOOKUP('Données projet'!$B$11,Paramètres!$A$1:$I$89,5,0)</f>
        <v>8.3355189417488869E-14</v>
      </c>
      <c r="BF81" s="14">
        <f t="shared" si="91"/>
        <v>1.2790518435140618E-12</v>
      </c>
      <c r="BG81" s="22">
        <f t="shared" si="61"/>
        <v>2.3728589156891171E-12</v>
      </c>
      <c r="BH81" s="62">
        <f t="shared" si="62"/>
        <v>293.3333333333357</v>
      </c>
      <c r="BI81" s="62">
        <f ca="1">AVERAGE(OFFSET($BH$3,0,0,'Données projet'!$E$11+1,1))-AVERAGE(OFFSET($H$3,0,0,'Données projet'!$E$11+1,1))</f>
        <v>182.06733089745194</v>
      </c>
      <c r="BJ81" s="62">
        <f t="shared" si="92"/>
        <v>320.36755413886021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23.093282356435161</v>
      </c>
      <c r="BQ81" s="23">
        <f>EXP(-LN(2)/25)*BQ80+(1-EXP(-LN(2)/25))/(LN(2)/25)*Calculateur!BL81*Calculateur!BN81*VLOOKUP('Données projet'!$B$11,Paramètres!$A$1:$I$89,3,0)*0.475*44/12</f>
        <v>3.3578688291768133</v>
      </c>
      <c r="BR81" s="23">
        <f>EXP(-LN(2)/2)*BR80+(1-EXP(-LN(2)/2))/(LN(2)/2)*BL81*BO81*VLOOKUP('Données projet'!$B$11,Paramètres!$A$1:$I$89,3,0)*0.475*44/12</f>
        <v>4.4130334622271026E-5</v>
      </c>
      <c r="BS81" s="24">
        <f t="shared" si="63"/>
        <v>26.451195315946595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10.199999999999999</v>
      </c>
      <c r="BY81" s="13">
        <f>IF('Données projet'!$A$114&gt;35,BY80+BX81-CG80,IF(A81&lt;'Données projet'!$A$114,$BV$205^A81,IF(A81='Données projet'!$A$114,'Données projet'!$B$114,BY80+BX81-CG80)))</f>
        <v>330.59999999999974</v>
      </c>
      <c r="BZ81" s="14">
        <f>BY81*VLOOKUP('Données projet'!$B$12,Paramètres!$A$1:$I$89,3,0)*VLOOKUP('Données projet'!$B$12,Paramètres!$A$1:$I$89,5,0)</f>
        <v>288.81215999999984</v>
      </c>
      <c r="CA81" s="14">
        <f t="shared" si="93"/>
        <v>68.825899854238102</v>
      </c>
      <c r="CB81" s="22">
        <f t="shared" si="64"/>
        <v>622.88628757946447</v>
      </c>
      <c r="CC81" s="62">
        <f t="shared" si="65"/>
        <v>916.21962091279784</v>
      </c>
      <c r="CD81" s="62">
        <f ca="1">AVERAGE(OFFSET($CC$3,0,0,'Données projet'!$E$12+1,1))-AVERAGE(OFFSET($H$3,0,0,'Données projet'!$E$12+1,1))</f>
        <v>248.60758320902863</v>
      </c>
      <c r="CE81" s="62">
        <f t="shared" si="94"/>
        <v>222.23585883330111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45.585293062223698</v>
      </c>
      <c r="CL81" s="23">
        <f>EXP(-LN(2)/25)*CL80+(1-EXP(-LN(2)/25))/(LN(2)/25)*Calculateur!CG81*Calculateur!CI81*VLOOKUP('Données projet'!$B$12,Paramètres!$A$1:$I$89,3,0)*0.475*44/12</f>
        <v>7.067302505253954</v>
      </c>
      <c r="CM81" s="23">
        <f>EXP(-LN(2)/2)*CM80+(1-EXP(-LN(2)/2))/(LN(2)/2)*CG81*CJ81*VLOOKUP('Données projet'!$B$12,Paramètres!$A$1:$I$89,3,0)*0.475*44/12</f>
        <v>0.68935976996046011</v>
      </c>
      <c r="CN81" s="24">
        <f t="shared" si="66"/>
        <v>53.341955337438115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193.99999999999994</v>
      </c>
      <c r="CU81" s="18">
        <f>CT81*VLOOKUP('Données projet'!$B$13,Paramètres!$A$1:$I$89,3,0)*VLOOKUP('Données projet'!$B$13,Paramètres!$A$1:$I$89,5,0)</f>
        <v>105.92399999999998</v>
      </c>
      <c r="CV81" s="14">
        <f t="shared" si="95"/>
        <v>28.36854701055546</v>
      </c>
      <c r="CW81" s="22">
        <f t="shared" si="67"/>
        <v>233.89285271005073</v>
      </c>
      <c r="CX81" s="62">
        <f t="shared" si="68"/>
        <v>527.22618604338402</v>
      </c>
      <c r="CY81" s="62">
        <f ca="1">AVERAGE(OFFSET($CX$3,0,0,'Données projet'!$E$13+1,1))-AVERAGE(OFFSET($H$3,0,0,'Données projet'!$E$13+1,1))</f>
        <v>135.44138026609272</v>
      </c>
      <c r="CZ81" s="62">
        <f t="shared" si="96"/>
        <v>254.77247578425659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25.539933962227497</v>
      </c>
      <c r="DG81" s="23">
        <f>EXP(-LN(2)/25)*DG80+(1-EXP(-LN(2)/25))/(LN(2)/25)*Calculateur!DB81*Calculateur!DD81*VLOOKUP('Données projet'!$B$13,Paramètres!$A$1:$I$89,3,0)*0.475*44/12</f>
        <v>11.954023978224797</v>
      </c>
      <c r="DH81" s="23">
        <f>EXP(-LN(2)/2)*DH80+(1-EXP(-LN(2)/2))/(LN(2)/2)*DB81*DE81*VLOOKUP('Données projet'!$B$13,Paramètres!$A$1:$I$89,3,0)*0.475*44/12</f>
        <v>5.0694721425505937E-6</v>
      </c>
      <c r="DI81" s="24">
        <f t="shared" si="69"/>
        <v>37.493963009924435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273.00000000000023</v>
      </c>
      <c r="DP81" s="18">
        <f>DO81*VLOOKUP('Données projet'!$B$14,Paramètres!$A$1:$I$89,3,0)*VLOOKUP('Données projet'!$B$14,Paramètres!$A$1:$I$89,5,0)</f>
        <v>264.04560000000021</v>
      </c>
      <c r="DQ81" s="14">
        <f t="shared" si="97"/>
        <v>63.583959929973794</v>
      </c>
      <c r="DR81" s="22">
        <f t="shared" si="70"/>
        <v>570.6214835447048</v>
      </c>
      <c r="DS81" s="62">
        <f t="shared" si="71"/>
        <v>863.95481687803817</v>
      </c>
      <c r="DT81" s="62">
        <f ca="1">AVERAGE(OFFSET($DS$3,0,0,'Données projet'!$E$14+1,1))-AVERAGE(OFFSET($H$3,0,0,'Données projet'!$E$14+1,1))</f>
        <v>271.09447278906288</v>
      </c>
      <c r="DU81" s="62">
        <f t="shared" si="98"/>
        <v>325.1094067861851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28.337701843999337</v>
      </c>
      <c r="EB81" s="23">
        <f>EXP(-LN(2)/25)*EB80+(1-EXP(-LN(2)/25))/(LN(2)/25)*Calculateur!DW81*Calculateur!DY81*VLOOKUP('Données projet'!$B$14,Paramètres!$A$1:$I$89,3,0)*0.475*44/12</f>
        <v>4.4660097231658202</v>
      </c>
      <c r="EC81" s="23">
        <f>EXP(-LN(2)/2)*EC80+(1-EXP(-LN(2)/2))/(LN(2)/2)*DW81*DZ81*VLOOKUP('Données projet'!$B$14,Paramètres!$A$1:$I$89,3,0)*0.475*44/12</f>
        <v>1.1901877874283665E-2</v>
      </c>
      <c r="ED81" s="24">
        <f t="shared" si="72"/>
        <v>32.815613445039446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273.00000000000023</v>
      </c>
      <c r="EK81" s="18">
        <f>EJ81*VLOOKUP('Données projet'!$B$15,Paramètres!$A$1:$I$89,3,0)*VLOOKUP('Données projet'!$B$15,Paramètres!$A$1:$I$89,5,0)</f>
        <v>293.85720000000026</v>
      </c>
      <c r="EL81" s="14">
        <f t="shared" si="99"/>
        <v>69.887150190339895</v>
      </c>
      <c r="EM81" s="22">
        <f t="shared" si="73"/>
        <v>633.52140991484237</v>
      </c>
      <c r="EN81" s="62">
        <f t="shared" si="74"/>
        <v>926.85474324817574</v>
      </c>
      <c r="EO81" s="62">
        <f ca="1">AVERAGE(OFFSET($EN$3,0,0,'Données projet'!$E$15+1,1))-AVERAGE(OFFSET($H$3,0,0,'Données projet'!$E$15+1,1))</f>
        <v>306.50593475734655</v>
      </c>
      <c r="EP81" s="62">
        <f t="shared" si="100"/>
        <v>366.48643801375079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31.537119794128298</v>
      </c>
      <c r="EW81" s="23">
        <f>EXP(-LN(2)/25)*EW80+(1-EXP(-LN(2)/25))/(LN(2)/25)*Calculateur!ER81*Calculateur!ET81*VLOOKUP('Données projet'!$B$15,Paramètres!$A$1:$I$89,3,0)*0.475*44/12</f>
        <v>4.9702366273942191</v>
      </c>
      <c r="EX81" s="23">
        <f>EXP(-LN(2)/2)*EX80+(1-EXP(-LN(2)/2))/(LN(2)/2)*ER81*EU81*VLOOKUP('Données projet'!$B$15,Paramètres!$A$1:$I$89,3,0)*0.475*44/12</f>
        <v>1.3245638279444716E-2</v>
      </c>
      <c r="EY81" s="24">
        <f t="shared" si="75"/>
        <v>36.520602059801959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57.922799999999874</v>
      </c>
      <c r="D82" s="12">
        <f t="shared" si="86"/>
        <v>16.642015612868772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575.58805034495106</v>
      </c>
      <c r="H82" s="70">
        <f t="shared" si="56"/>
        <v>423.2003871924129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7.2</v>
      </c>
      <c r="N82" s="14">
        <f>IF('Données projet'!$A$36&gt;35,N81+M82-V81,IF(A82&lt;'Données projet'!$A$36,$K$205^A82,IF(A82='Données projet'!$A$36,'Données projet'!$B$36,N81+M82-V81)))</f>
        <v>312.8</v>
      </c>
      <c r="O82" s="14">
        <f>N82*VLOOKUP('Données projet'!$B$9,Paramètres!$A$1:$I$89,3,0)*VLOOKUP('Données projet'!$B$9,Paramètres!$A$1:$I$89,5,0)</f>
        <v>283.02144000000004</v>
      </c>
      <c r="P82" s="14">
        <f t="shared" si="87"/>
        <v>67.605126603830598</v>
      </c>
      <c r="Q82" s="22">
        <f t="shared" si="54"/>
        <v>610.67460350167164</v>
      </c>
      <c r="R82" s="62">
        <f t="shared" si="55"/>
        <v>904.00793683500501</v>
      </c>
      <c r="S82" s="62">
        <f ca="1">AVERAGE(OFFSET($R$3,0,0,'Données projet'!$E$9+1,1))-AVERAGE(OFFSET($H$3,0,0,'Données projet'!$E$9+1,1))</f>
        <v>312.57314929661908</v>
      </c>
      <c r="T82" s="62">
        <f t="shared" si="88"/>
        <v>190.92100876773804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48.860006150195467</v>
      </c>
      <c r="AA82" s="23">
        <f>EXP(-LN(2)/25)*AA81+(1-EXP(-LN(2)/25))/(LN(2)/25)*Calculateur!V82*Calculateur!X82*VLOOKUP('Données projet'!$B$9,Paramètres!$A$1:$I$89,3,0)*0.475*44/12</f>
        <v>2.6691751419141974</v>
      </c>
      <c r="AB82" s="23">
        <f>EXP(-LN(2)/2)*AB81+(1-EXP(-LN(2)/2))/(LN(2)/2)*V82*Y82*VLOOKUP('Données projet'!$B$9,Paramètres!$A$1:$I$89,3,0)*0.475*44/12</f>
        <v>0.4355527052858556</v>
      </c>
      <c r="AC82" s="24">
        <f t="shared" si="57"/>
        <v>51.96473399739552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7.2</v>
      </c>
      <c r="AI82" s="14">
        <f>IF('Données projet'!$A$62&gt;35,AI81+AH82-AQ81,IF(A82&lt;'Données projet'!$A$62,$AF$205^A82,IF(A82='Données projet'!$A$62,'Données projet'!$B$62,AI81+AH82-AQ81)))</f>
        <v>312.8</v>
      </c>
      <c r="AJ82" s="14">
        <f>AI82*VLOOKUP('Données projet'!$B$10,Paramètres!$A$1:$I$89,3,0)*VLOOKUP('Données projet'!$B$10,Paramètres!$A$1:$I$89,5,0)</f>
        <v>317.17920000000004</v>
      </c>
      <c r="AK82" s="14">
        <f t="shared" si="89"/>
        <v>74.766129261581426</v>
      </c>
      <c r="AL82" s="22">
        <f t="shared" si="58"/>
        <v>682.63811513058772</v>
      </c>
      <c r="AM82" s="62">
        <f t="shared" si="59"/>
        <v>975.97144846392098</v>
      </c>
      <c r="AN82" s="62">
        <f ca="1">AVERAGE(OFFSET($AM$3,0,0,'Données projet'!$E$10+1,1))-AVERAGE(OFFSET($H$3,0,0,'Données projet'!$E$10+1,1))</f>
        <v>360.56293184044779</v>
      </c>
      <c r="AO82" s="62">
        <f t="shared" si="90"/>
        <v>219.32252911220542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54.756903444184573</v>
      </c>
      <c r="AV82" s="23">
        <f>EXP(-LN(2)/25)*AV81+(1-EXP(-LN(2)/25))/(LN(2)/25)*Calculateur!AQ82*Calculateur!AS82*VLOOKUP('Données projet'!$B$10,Paramètres!$A$1:$I$89,3,0)*0.475*44/12</f>
        <v>2.9913169693866015</v>
      </c>
      <c r="AW82" s="23">
        <f>EXP(-LN(2)/2)*AW81+(1-EXP(-LN(2)/2))/(LN(2)/2)*AQ82*AT82*VLOOKUP('Données projet'!$B$10,Paramètres!$A$1:$I$89,3,0)*0.475*44/12</f>
        <v>0.48811941109621748</v>
      </c>
      <c r="AX82" s="23">
        <f t="shared" si="60"/>
        <v>58.23633982466739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1.1368683772161603E-13</v>
      </c>
      <c r="BE82" s="14">
        <f>BD82*VLOOKUP('Données projet'!$B$11,Paramètres!$A$1:$I$89,3,0)*VLOOKUP('Données projet'!$B$11,Paramètres!$A$1:$I$89,5,0)</f>
        <v>8.3355189417488869E-14</v>
      </c>
      <c r="BF82" s="14">
        <f t="shared" si="91"/>
        <v>1.2790518435140618E-12</v>
      </c>
      <c r="BG82" s="22">
        <f t="shared" si="61"/>
        <v>2.3728589156891171E-12</v>
      </c>
      <c r="BH82" s="62">
        <f t="shared" si="62"/>
        <v>293.3333333333357</v>
      </c>
      <c r="BI82" s="62">
        <f ca="1">AVERAGE(OFFSET($BH$3,0,0,'Données projet'!$E$11+1,1))-AVERAGE(OFFSET($H$3,0,0,'Données projet'!$E$11+1,1))</f>
        <v>182.06733089745194</v>
      </c>
      <c r="BJ82" s="62">
        <f t="shared" si="92"/>
        <v>320.36755413886021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22.640437174936874</v>
      </c>
      <c r="BQ82" s="23">
        <f>EXP(-LN(2)/25)*BQ81+(1-EXP(-LN(2)/25))/(LN(2)/25)*Calculateur!BL82*Calculateur!BN82*VLOOKUP('Données projet'!$B$11,Paramètres!$A$1:$I$89,3,0)*0.475*44/12</f>
        <v>3.2660477294603263</v>
      </c>
      <c r="BR82" s="23">
        <f>EXP(-LN(2)/2)*BR81+(1-EXP(-LN(2)/2))/(LN(2)/2)*BL82*BO82*VLOOKUP('Données projet'!$B$11,Paramètres!$A$1:$I$89,3,0)*0.475*44/12</f>
        <v>3.1204858867439321E-5</v>
      </c>
      <c r="BS82" s="24">
        <f t="shared" si="63"/>
        <v>25.906516109256067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10.199999999999999</v>
      </c>
      <c r="BY82" s="13">
        <f>IF('Données projet'!$A$114&gt;35,BY81+BX82-CG81,IF(A82&lt;'Données projet'!$A$114,$BV$205^A82,IF(A82='Données projet'!$A$114,'Données projet'!$B$114,BY81+BX82-CG81)))</f>
        <v>340.79999999999973</v>
      </c>
      <c r="BZ82" s="14">
        <f>BY82*VLOOKUP('Données projet'!$B$12,Paramètres!$A$1:$I$89,3,0)*VLOOKUP('Données projet'!$B$12,Paramètres!$A$1:$I$89,5,0)</f>
        <v>297.7228799999998</v>
      </c>
      <c r="CA82" s="14">
        <f t="shared" si="93"/>
        <v>70.698880176082895</v>
      </c>
      <c r="CB82" s="22">
        <f t="shared" si="64"/>
        <v>641.66789897334399</v>
      </c>
      <c r="CC82" s="62">
        <f t="shared" si="65"/>
        <v>935.00123230667737</v>
      </c>
      <c r="CD82" s="62">
        <f ca="1">AVERAGE(OFFSET($CC$3,0,0,'Données projet'!$E$12+1,1))-AVERAGE(OFFSET($H$3,0,0,'Données projet'!$E$12+1,1))</f>
        <v>248.60758320902863</v>
      </c>
      <c r="CE82" s="62">
        <f t="shared" si="94"/>
        <v>222.23585883330111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44.691393269556812</v>
      </c>
      <c r="CL82" s="23">
        <f>EXP(-LN(2)/25)*CL81+(1-EXP(-LN(2)/25))/(LN(2)/25)*Calculateur!CG82*Calculateur!CI82*VLOOKUP('Données projet'!$B$12,Paramètres!$A$1:$I$89,3,0)*0.475*44/12</f>
        <v>6.8740467465944981</v>
      </c>
      <c r="CM82" s="23">
        <f>EXP(-LN(2)/2)*CM81+(1-EXP(-LN(2)/2))/(LN(2)/2)*CG82*CJ82*VLOOKUP('Données projet'!$B$12,Paramètres!$A$1:$I$89,3,0)*0.475*44/12</f>
        <v>0.48745096801623983</v>
      </c>
      <c r="CN82" s="24">
        <f t="shared" si="66"/>
        <v>52.052890984167554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193.99999999999994</v>
      </c>
      <c r="CU82" s="18">
        <f>CT82*VLOOKUP('Données projet'!$B$13,Paramètres!$A$1:$I$89,3,0)*VLOOKUP('Données projet'!$B$13,Paramètres!$A$1:$I$89,5,0)</f>
        <v>105.92399999999998</v>
      </c>
      <c r="CV82" s="14">
        <f t="shared" si="95"/>
        <v>28.36854701055546</v>
      </c>
      <c r="CW82" s="22">
        <f t="shared" si="67"/>
        <v>233.89285271005073</v>
      </c>
      <c r="CX82" s="62">
        <f t="shared" si="68"/>
        <v>527.22618604338402</v>
      </c>
      <c r="CY82" s="62">
        <f ca="1">AVERAGE(OFFSET($CX$3,0,0,'Données projet'!$E$13+1,1))-AVERAGE(OFFSET($H$3,0,0,'Données projet'!$E$13+1,1))</f>
        <v>135.44138026609272</v>
      </c>
      <c r="CZ82" s="62">
        <f t="shared" si="96"/>
        <v>254.77247578425659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25.039111435049751</v>
      </c>
      <c r="DG82" s="23">
        <f>EXP(-LN(2)/25)*DG81+(1-EXP(-LN(2)/25))/(LN(2)/25)*Calculateur!DB82*Calculateur!DD82*VLOOKUP('Données projet'!$B$13,Paramètres!$A$1:$I$89,3,0)*0.475*44/12</f>
        <v>11.62714056390544</v>
      </c>
      <c r="DH82" s="23">
        <f>EXP(-LN(2)/2)*DH81+(1-EXP(-LN(2)/2))/(LN(2)/2)*DB82*DE82*VLOOKUP('Données projet'!$B$13,Paramètres!$A$1:$I$89,3,0)*0.475*44/12</f>
        <v>3.584658129033821E-6</v>
      </c>
      <c r="DI82" s="24">
        <f t="shared" si="69"/>
        <v>36.666255583613321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273.00000000000023</v>
      </c>
      <c r="DP82" s="18">
        <f>DO82*VLOOKUP('Données projet'!$B$14,Paramètres!$A$1:$I$89,3,0)*VLOOKUP('Données projet'!$B$14,Paramètres!$A$1:$I$89,5,0)</f>
        <v>264.04560000000021</v>
      </c>
      <c r="DQ82" s="14">
        <f t="shared" si="97"/>
        <v>63.583959929973794</v>
      </c>
      <c r="DR82" s="22">
        <f t="shared" si="70"/>
        <v>570.6214835447048</v>
      </c>
      <c r="DS82" s="62">
        <f t="shared" si="71"/>
        <v>863.95481687803817</v>
      </c>
      <c r="DT82" s="62">
        <f ca="1">AVERAGE(OFFSET($DS$3,0,0,'Données projet'!$E$14+1,1))-AVERAGE(OFFSET($H$3,0,0,'Données projet'!$E$14+1,1))</f>
        <v>271.09447278906288</v>
      </c>
      <c r="DU82" s="62">
        <f t="shared" si="98"/>
        <v>325.1094067861851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27.782016795129952</v>
      </c>
      <c r="EB82" s="23">
        <f>EXP(-LN(2)/25)*EB81+(1-EXP(-LN(2)/25))/(LN(2)/25)*Calculateur!DW82*Calculateur!DY82*VLOOKUP('Données projet'!$B$14,Paramètres!$A$1:$I$89,3,0)*0.475*44/12</f>
        <v>4.3438864524286069</v>
      </c>
      <c r="EC82" s="23">
        <f>EXP(-LN(2)/2)*EC81+(1-EXP(-LN(2)/2))/(LN(2)/2)*DW82*DZ82*VLOOKUP('Données projet'!$B$14,Paramètres!$A$1:$I$89,3,0)*0.475*44/12</f>
        <v>8.4158985537601105E-3</v>
      </c>
      <c r="ED82" s="24">
        <f t="shared" si="72"/>
        <v>32.134319146112318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273.00000000000023</v>
      </c>
      <c r="EK82" s="18">
        <f>EJ82*VLOOKUP('Données projet'!$B$15,Paramètres!$A$1:$I$89,3,0)*VLOOKUP('Données projet'!$B$15,Paramètres!$A$1:$I$89,5,0)</f>
        <v>293.85720000000026</v>
      </c>
      <c r="EL82" s="14">
        <f t="shared" si="99"/>
        <v>69.887150190339895</v>
      </c>
      <c r="EM82" s="22">
        <f t="shared" si="73"/>
        <v>633.52140991484237</v>
      </c>
      <c r="EN82" s="62">
        <f t="shared" si="74"/>
        <v>926.85474324817574</v>
      </c>
      <c r="EO82" s="62">
        <f ca="1">AVERAGE(OFFSET($EN$3,0,0,'Données projet'!$E$15+1,1))-AVERAGE(OFFSET($H$3,0,0,'Données projet'!$E$15+1,1))</f>
        <v>306.50593475734655</v>
      </c>
      <c r="EP82" s="62">
        <f t="shared" si="100"/>
        <v>366.48643801375079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30.918696110709146</v>
      </c>
      <c r="EW82" s="23">
        <f>EXP(-LN(2)/25)*EW81+(1-EXP(-LN(2)/25))/(LN(2)/25)*Calculateur!ER82*Calculateur!ET82*VLOOKUP('Données projet'!$B$15,Paramètres!$A$1:$I$89,3,0)*0.475*44/12</f>
        <v>4.8343252454447398</v>
      </c>
      <c r="EX82" s="23">
        <f>EXP(-LN(2)/2)*EX81+(1-EXP(-LN(2)/2))/(LN(2)/2)*ER82*EU82*VLOOKUP('Données projet'!$B$15,Paramètres!$A$1:$I$89,3,0)*0.475*44/12</f>
        <v>9.3660806485394727E-3</v>
      </c>
      <c r="EY82" s="24">
        <f t="shared" si="75"/>
        <v>35.762387436802427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58.655999999999871</v>
      </c>
      <c r="D83" s="12">
        <f t="shared" si="86"/>
        <v>16.82801690992903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582.68363930471423</v>
      </c>
      <c r="H83" s="70">
        <f t="shared" si="56"/>
        <v>424.80132945145942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>
        <f>VLOOKUP(A83,'Données projet'!$A$35:$I$55,2,0)</f>
        <v>320</v>
      </c>
      <c r="L83" s="13">
        <f>VLOOKUP(A83,'Données projet'!$A$35:$I$55,9,0)</f>
        <v>7.2</v>
      </c>
      <c r="M83" s="13">
        <f t="array" ref="M83">INDEX(L:L,MIN(IF(ISNUMBER(L83:L279),ROW(L83:L279),"")))</f>
        <v>7.2</v>
      </c>
      <c r="N83" s="14">
        <f>IF('Données projet'!$A$36&gt;35,N82+M83-V82,IF(A83&lt;'Données projet'!$A$36,$K$205^A83,IF(A83='Données projet'!$A$36,'Données projet'!$B$36,N82+M83-V82)))</f>
        <v>320</v>
      </c>
      <c r="O83" s="14">
        <f>N83*VLOOKUP('Données projet'!$B$9,Paramètres!$A$1:$I$89,3,0)*VLOOKUP('Données projet'!$B$9,Paramètres!$A$1:$I$89,5,0)</f>
        <v>289.536</v>
      </c>
      <c r="P83" s="14">
        <f t="shared" si="87"/>
        <v>68.97829509904436</v>
      </c>
      <c r="Q83" s="22">
        <f t="shared" si="54"/>
        <v>624.41239729750225</v>
      </c>
      <c r="R83" s="62">
        <f t="shared" si="55"/>
        <v>917.74573063083562</v>
      </c>
      <c r="S83" s="62">
        <f ca="1">AVERAGE(OFFSET($R$3,0,0,'Données projet'!$E$9+1,1))-AVERAGE(OFFSET($H$3,0,0,'Données projet'!$E$9+1,1))</f>
        <v>312.57314929661908</v>
      </c>
      <c r="T83" s="62">
        <f t="shared" si="88"/>
        <v>190.92100876773804</v>
      </c>
      <c r="U83" s="16">
        <f>IF(ISNA(VLOOKUP(A83,'Données projet'!$A$35:$I$55,3,0)),0,VLOOKUP(A83,'Données projet'!$A$35:$I$55,3,0))</f>
        <v>13</v>
      </c>
      <c r="V83" s="16">
        <f>IF(ISNA(VLOOKUP(A83,'Données projet'!$A$35:$I$55,4,0)),0,VLOOKUP(A83,'Données projet'!$A$35:$I$55,4,0))</f>
        <v>28</v>
      </c>
      <c r="W83" s="17">
        <f>IF(ISNA(VLOOKUP(A83,'Données projet'!$A$35:$I$55,5,0)),0%,VLOOKUP(A83,'Données projet'!$A$35:$I$55,5,0)*VLOOKUP('Données projet'!$B$9,Paramètres!$A$1:$I$89,7,0))</f>
        <v>0.34400000000000003</v>
      </c>
      <c r="X83" s="17">
        <f>IF(ISNA(VLOOKUP(A83,'Données projet'!$A$35:$I$55,6,0)),0%,VLOOKUP(A83,'Données projet'!$A$35:$I$55,6,0)*VLOOKUP('Données projet'!$B$9,Paramètres!$A$1:$I$89,7,0))</f>
        <v>1.72E-2</v>
      </c>
      <c r="Y83" s="17">
        <f>IF(ISNA(VLOOKUP(A83,'Données projet'!$A$35:$I$55,7,0)),0%,VLOOKUP(A83,'Données projet'!$A$35:$I$55,7,0))</f>
        <v>0.06</v>
      </c>
      <c r="Z83" s="23">
        <f>EXP(-LN(2)/35)*Z82+(1-EXP(-LN(2)/35))/(LN(2)/35)*V83*W83*VLOOKUP('Données projet'!$B$9,Paramètres!$A$1:$I$89,3,0)*0.475*44/12</f>
        <v>57.536102732685627</v>
      </c>
      <c r="AA83" s="23">
        <f>EXP(-LN(2)/25)*AA82+(1-EXP(-LN(2)/25))/(LN(2)/25)*Calculateur!V83*Calculateur!X83*VLOOKUP('Données projet'!$B$9,Paramètres!$A$1:$I$89,3,0)*0.475*44/12</f>
        <v>3.0760003042842774</v>
      </c>
      <c r="AB83" s="23">
        <f>EXP(-LN(2)/2)*AB82+(1-EXP(-LN(2)/2))/(LN(2)/2)*V83*Y83*VLOOKUP('Données projet'!$B$9,Paramètres!$A$1:$I$89,3,0)*0.475*44/12</f>
        <v>1.7422035673944991</v>
      </c>
      <c r="AC83" s="24">
        <f t="shared" si="57"/>
        <v>62.354306604364403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320</v>
      </c>
      <c r="AG83" s="13">
        <f>VLOOKUP(A83,'Données projet'!$A$61:$I$81,9,0)</f>
        <v>7.2</v>
      </c>
      <c r="AH83" s="13">
        <f t="array" ref="AH83">INDEX(AG:AG,MIN(IF(ISNUMBER(AG83:AG279),ROW(AG83:AG279),"")))</f>
        <v>7.2</v>
      </c>
      <c r="AI83" s="14">
        <f>IF('Données projet'!$A$62&gt;35,AI82+AH83-AQ82,IF(A83&lt;'Données projet'!$A$62,$AF$205^A83,IF(A83='Données projet'!$A$62,'Données projet'!$B$62,AI82+AH83-AQ82)))</f>
        <v>320</v>
      </c>
      <c r="AJ83" s="14">
        <f>AI83*VLOOKUP('Données projet'!$B$10,Paramètres!$A$1:$I$89,3,0)*VLOOKUP('Données projet'!$B$10,Paramètres!$A$1:$I$89,5,0)</f>
        <v>324.48</v>
      </c>
      <c r="AK83" s="14">
        <f t="shared" si="89"/>
        <v>76.284749200165578</v>
      </c>
      <c r="AL83" s="22">
        <f t="shared" si="58"/>
        <v>697.99860485695501</v>
      </c>
      <c r="AM83" s="62">
        <f t="shared" si="59"/>
        <v>991.33193819028838</v>
      </c>
      <c r="AN83" s="62">
        <f ca="1">AVERAGE(OFFSET($AM$3,0,0,'Données projet'!$E$10+1,1))-AVERAGE(OFFSET($H$3,0,0,'Données projet'!$E$10+1,1))</f>
        <v>360.56293184044779</v>
      </c>
      <c r="AO83" s="62">
        <f t="shared" si="90"/>
        <v>219.32252911220542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28</v>
      </c>
      <c r="AR83" s="17">
        <f>IF(ISNA(VLOOKUP(A83,'Données projet'!$A$61:$I$81,5,0)),0%,VLOOKUP(A83,'Données projet'!$A$61:$I$81,5,0)*VLOOKUP('Données projet'!$B$10,Paramètres!$A$1:$I$89,7,0))</f>
        <v>0.34400000000000003</v>
      </c>
      <c r="AS83" s="17">
        <f>IF(ISNA(VLOOKUP(A83,'Données projet'!$A$61:$I$81,6,0)),0%,VLOOKUP(A83,'Données projet'!$A$61:$I$81,6,0)*VLOOKUP('Données projet'!$B$10,Paramètres!$A$1:$I$89,7,0))</f>
        <v>1.72E-2</v>
      </c>
      <c r="AT83" s="17">
        <f>IF(ISNA(VLOOKUP(A83,'Données projet'!$A$61:$I$81,7,0)),0%,VLOOKUP(A83,'Données projet'!$A$61:$I$81,7,0))</f>
        <v>0.06</v>
      </c>
      <c r="AU83" s="23">
        <f>EXP(-LN(2)/35)*AU82+(1-EXP(-LN(2)/35))/(LN(2)/35)*AQ83*AR83*VLOOKUP('Données projet'!$B$10,Paramètres!$A$1:$I$89,3,0)*0.475*44/12</f>
        <v>64.480115131458035</v>
      </c>
      <c r="AV83" s="23">
        <f>EXP(-LN(2)/25)*AV82+(1-EXP(-LN(2)/25))/(LN(2)/25)*Calculateur!AQ83*Calculateur!AS83*VLOOKUP('Données projet'!$B$10,Paramètres!$A$1:$I$89,3,0)*0.475*44/12</f>
        <v>3.4472417203185883</v>
      </c>
      <c r="AW83" s="23">
        <f>EXP(-LN(2)/2)*AW82+(1-EXP(-LN(2)/2))/(LN(2)/2)*AQ83*AT83*VLOOKUP('Données projet'!$B$10,Paramètres!$A$1:$I$89,3,0)*0.475*44/12</f>
        <v>1.9524695151834905</v>
      </c>
      <c r="AX83" s="23">
        <f t="shared" si="60"/>
        <v>69.879826366960117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1.1368683772161603E-13</v>
      </c>
      <c r="BE83" s="14">
        <f>BD83*VLOOKUP('Données projet'!$B$11,Paramètres!$A$1:$I$89,3,0)*VLOOKUP('Données projet'!$B$11,Paramètres!$A$1:$I$89,5,0)</f>
        <v>8.3355189417488869E-14</v>
      </c>
      <c r="BF83" s="14">
        <f t="shared" si="91"/>
        <v>1.2790518435140618E-12</v>
      </c>
      <c r="BG83" s="22">
        <f t="shared" si="61"/>
        <v>2.3728589156891171E-12</v>
      </c>
      <c r="BH83" s="62">
        <f t="shared" si="62"/>
        <v>293.3333333333357</v>
      </c>
      <c r="BI83" s="62">
        <f ca="1">AVERAGE(OFFSET($BH$3,0,0,'Données projet'!$E$11+1,1))-AVERAGE(OFFSET($H$3,0,0,'Données projet'!$E$11+1,1))</f>
        <v>182.06733089745194</v>
      </c>
      <c r="BJ83" s="62">
        <f t="shared" si="92"/>
        <v>320.36755413886021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22.196472011239482</v>
      </c>
      <c r="BQ83" s="23">
        <f>EXP(-LN(2)/25)*BQ82+(1-EXP(-LN(2)/25))/(LN(2)/25)*Calculateur!BL83*Calculateur!BN83*VLOOKUP('Données projet'!$B$11,Paramètres!$A$1:$I$89,3,0)*0.475*44/12</f>
        <v>3.1767374825442483</v>
      </c>
      <c r="BR83" s="23">
        <f>EXP(-LN(2)/2)*BR82+(1-EXP(-LN(2)/2))/(LN(2)/2)*BL83*BO83*VLOOKUP('Données projet'!$B$11,Paramètres!$A$1:$I$89,3,0)*0.475*44/12</f>
        <v>2.2065167311135513E-5</v>
      </c>
      <c r="BS83" s="24">
        <f t="shared" si="63"/>
        <v>25.373231558951041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351</v>
      </c>
      <c r="BW83" s="13">
        <f>VLOOKUP(A83,'Données projet'!$A$113:$I$133,9,0)</f>
        <v>10.199999999999999</v>
      </c>
      <c r="BX83" s="13">
        <f t="array" ref="BX83">INDEX(BW:BW,MIN(IF(ISNUMBER(BW83:BW279),ROW(BW83:BW279),"")))</f>
        <v>10.199999999999999</v>
      </c>
      <c r="BY83" s="13">
        <f>IF('Données projet'!$A$114&gt;35,BY82+BX83-CG82,IF(A83&lt;'Données projet'!$A$114,$BV$205^A83,IF(A83='Données projet'!$A$114,'Données projet'!$B$114,BY82+BX83-CG82)))</f>
        <v>350.99999999999972</v>
      </c>
      <c r="BZ83" s="14">
        <f>BY83*VLOOKUP('Données projet'!$B$12,Paramètres!$A$1:$I$89,3,0)*VLOOKUP('Données projet'!$B$12,Paramètres!$A$1:$I$89,5,0)</f>
        <v>306.63359999999977</v>
      </c>
      <c r="CA83" s="14">
        <f t="shared" si="93"/>
        <v>72.56534572901802</v>
      </c>
      <c r="CB83" s="22">
        <f t="shared" si="64"/>
        <v>660.43816381137265</v>
      </c>
      <c r="CC83" s="62">
        <f t="shared" si="65"/>
        <v>953.77149714470602</v>
      </c>
      <c r="CD83" s="62">
        <f ca="1">AVERAGE(OFFSET($CC$3,0,0,'Données projet'!$E$12+1,1))-AVERAGE(OFFSET($H$3,0,0,'Données projet'!$E$12+1,1))</f>
        <v>248.60758320902863</v>
      </c>
      <c r="CE83" s="62">
        <f t="shared" si="94"/>
        <v>222.23585883330111</v>
      </c>
      <c r="CF83" s="16">
        <f>IF(ISNA(VLOOKUP(A83,'Données projet'!$A$113:$I$133,3,0)),0,VLOOKUP(A83,'Données projet'!$A$113:$I$133,3,0))</f>
        <v>13</v>
      </c>
      <c r="CG83" s="16">
        <f>IF(ISNA(VLOOKUP(A83,'Données projet'!$A$113:$I$133,4,0)),0,VLOOKUP(A83,'Données projet'!$A$113:$I$133,4,0))</f>
        <v>31</v>
      </c>
      <c r="CH83" s="17">
        <f>IF(ISNA(VLOOKUP(A83,'Données projet'!$A$113:$I$133,5,0)),0%,VLOOKUP(A83,'Données projet'!$A$113:$I$133,5,0)*VLOOKUP('Données projet'!$B$12,Paramètres!$A$1:$I$89,7,0))</f>
        <v>0.34400000000000003</v>
      </c>
      <c r="CI83" s="17">
        <f>IF(ISNA(VLOOKUP(A83,'Données projet'!$A$113:$I$133,6,0)),0%,VLOOKUP(A83,'Données projet'!$A$113:$I$133,6,0)*VLOOKUP('Données projet'!$B$12,Paramètres!$A$1:$I$89,7,0))</f>
        <v>1.72E-2</v>
      </c>
      <c r="CJ83" s="17">
        <f>IF(ISNA(VLOOKUP(A83,'Données projet'!$A$113:$I$133,7,0)),0%,VLOOKUP(A83,'Données projet'!$A$113:$I$133,7,0))</f>
        <v>0.06</v>
      </c>
      <c r="CK83" s="23">
        <f>EXP(-LN(2)/35)*CK82+(1-EXP(-LN(2)/35))/(LN(2)/35)*CG83*CH83*VLOOKUP('Données projet'!$B$12,Paramètres!$A$1:$I$89,3,0)*0.475*44/12</f>
        <v>54.113662187442777</v>
      </c>
      <c r="CL83" s="23">
        <f>EXP(-LN(2)/25)*CL82+(1-EXP(-LN(2)/25))/(LN(2)/25)*Calculateur!CG83*Calculateur!CI83*VLOOKUP('Données projet'!$B$12,Paramètres!$A$1:$I$89,3,0)*0.475*44/12</f>
        <v>7.1989800873956318</v>
      </c>
      <c r="CM83" s="23">
        <f>EXP(-LN(2)/2)*CM82+(1-EXP(-LN(2)/2))/(LN(2)/2)*CG83*CJ83*VLOOKUP('Données projet'!$B$12,Paramètres!$A$1:$I$89,3,0)*0.475*44/12</f>
        <v>1.8778129944148669</v>
      </c>
      <c r="CN83" s="24">
        <f t="shared" si="66"/>
        <v>63.190455269253277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193.99999999999994</v>
      </c>
      <c r="CU83" s="18">
        <f>CT83*VLOOKUP('Données projet'!$B$13,Paramètres!$A$1:$I$89,3,0)*VLOOKUP('Données projet'!$B$13,Paramètres!$A$1:$I$89,5,0)</f>
        <v>105.92399999999998</v>
      </c>
      <c r="CV83" s="14">
        <f t="shared" si="95"/>
        <v>28.36854701055546</v>
      </c>
      <c r="CW83" s="22">
        <f t="shared" si="67"/>
        <v>233.89285271005073</v>
      </c>
      <c r="CX83" s="62">
        <f t="shared" si="68"/>
        <v>527.22618604338402</v>
      </c>
      <c r="CY83" s="62">
        <f ca="1">AVERAGE(OFFSET($CX$3,0,0,'Données projet'!$E$13+1,1))-AVERAGE(OFFSET($H$3,0,0,'Données projet'!$E$13+1,1))</f>
        <v>135.44138026609272</v>
      </c>
      <c r="CZ83" s="62">
        <f t="shared" si="96"/>
        <v>254.77247578425659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24.54810973215838</v>
      </c>
      <c r="DG83" s="23">
        <f>EXP(-LN(2)/25)*DG82+(1-EXP(-LN(2)/25))/(LN(2)/25)*Calculateur!DB83*Calculateur!DD83*VLOOKUP('Données projet'!$B$13,Paramètres!$A$1:$I$89,3,0)*0.475*44/12</f>
        <v>11.309195793740699</v>
      </c>
      <c r="DH83" s="23">
        <f>EXP(-LN(2)/2)*DH82+(1-EXP(-LN(2)/2))/(LN(2)/2)*DB83*DE83*VLOOKUP('Données projet'!$B$13,Paramètres!$A$1:$I$89,3,0)*0.475*44/12</f>
        <v>2.5347360712752969E-6</v>
      </c>
      <c r="DI83" s="24">
        <f t="shared" si="69"/>
        <v>35.857308060635148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273.00000000000023</v>
      </c>
      <c r="DP83" s="18">
        <f>DO83*VLOOKUP('Données projet'!$B$14,Paramètres!$A$1:$I$89,3,0)*VLOOKUP('Données projet'!$B$14,Paramètres!$A$1:$I$89,5,0)</f>
        <v>264.04560000000021</v>
      </c>
      <c r="DQ83" s="14">
        <f t="shared" si="97"/>
        <v>63.583959929973794</v>
      </c>
      <c r="DR83" s="22">
        <f t="shared" si="70"/>
        <v>570.6214835447048</v>
      </c>
      <c r="DS83" s="62">
        <f t="shared" si="71"/>
        <v>863.95481687803817</v>
      </c>
      <c r="DT83" s="62">
        <f ca="1">AVERAGE(OFFSET($DS$3,0,0,'Données projet'!$E$14+1,1))-AVERAGE(OFFSET($H$3,0,0,'Données projet'!$E$14+1,1))</f>
        <v>271.09447278906288</v>
      </c>
      <c r="DU83" s="62">
        <f t="shared" si="98"/>
        <v>325.1094067861851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27.237228391134483</v>
      </c>
      <c r="EB83" s="23">
        <f>EXP(-LN(2)/25)*EB82+(1-EXP(-LN(2)/25))/(LN(2)/25)*Calculateur!DW83*Calculateur!DY83*VLOOKUP('Données projet'!$B$14,Paramètres!$A$1:$I$89,3,0)*0.475*44/12</f>
        <v>4.2251026489518866</v>
      </c>
      <c r="EC83" s="23">
        <f>EXP(-LN(2)/2)*EC82+(1-EXP(-LN(2)/2))/(LN(2)/2)*DW83*DZ83*VLOOKUP('Données projet'!$B$14,Paramètres!$A$1:$I$89,3,0)*0.475*44/12</f>
        <v>5.9509389371418323E-3</v>
      </c>
      <c r="ED83" s="24">
        <f t="shared" si="72"/>
        <v>31.468281979023512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273.00000000000023</v>
      </c>
      <c r="EK83" s="18">
        <f>EJ83*VLOOKUP('Données projet'!$B$15,Paramètres!$A$1:$I$89,3,0)*VLOOKUP('Données projet'!$B$15,Paramètres!$A$1:$I$89,5,0)</f>
        <v>293.85720000000026</v>
      </c>
      <c r="EL83" s="14">
        <f t="shared" si="99"/>
        <v>69.887150190339895</v>
      </c>
      <c r="EM83" s="22">
        <f t="shared" si="73"/>
        <v>633.52140991484237</v>
      </c>
      <c r="EN83" s="62">
        <f t="shared" si="74"/>
        <v>926.85474324817574</v>
      </c>
      <c r="EO83" s="62">
        <f ca="1">AVERAGE(OFFSET($EN$3,0,0,'Données projet'!$E$15+1,1))-AVERAGE(OFFSET($H$3,0,0,'Données projet'!$E$15+1,1))</f>
        <v>306.50593475734655</v>
      </c>
      <c r="EP83" s="62">
        <f t="shared" si="100"/>
        <v>366.48643801375079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30.312399338520642</v>
      </c>
      <c r="EW83" s="23">
        <f>EXP(-LN(2)/25)*EW82+(1-EXP(-LN(2)/25))/(LN(2)/25)*Calculateur!ER83*Calculateur!ET83*VLOOKUP('Données projet'!$B$15,Paramètres!$A$1:$I$89,3,0)*0.475*44/12</f>
        <v>4.7021303673819377</v>
      </c>
      <c r="EX83" s="23">
        <f>EXP(-LN(2)/2)*EX82+(1-EXP(-LN(2)/2))/(LN(2)/2)*ER83*EU83*VLOOKUP('Données projet'!$B$15,Paramètres!$A$1:$I$89,3,0)*0.475*44/12</f>
        <v>6.6228191397223581E-3</v>
      </c>
      <c r="EY83" s="24">
        <f t="shared" si="75"/>
        <v>35.021152525042304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59.389199999999867</v>
      </c>
      <c r="D84" s="12">
        <f t="shared" si="86"/>
        <v>17.013747764443796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589.77714063781082</v>
      </c>
      <c r="H84" s="70">
        <f t="shared" si="56"/>
        <v>426.40180068973939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6.8</v>
      </c>
      <c r="N84" s="14">
        <f>IF('Données projet'!$A$36&gt;35,N83+M84-V83,IF(A84&lt;'Données projet'!$A$36,$K$205^A84,IF(A84='Données projet'!$A$36,'Données projet'!$B$36,N83+M84-V83)))</f>
        <v>298.8</v>
      </c>
      <c r="O84" s="14">
        <f>N84*VLOOKUP('Données projet'!$B$9,Paramètres!$A$1:$I$89,3,0)*VLOOKUP('Données projet'!$B$9,Paramètres!$A$1:$I$89,5,0)</f>
        <v>270.35424</v>
      </c>
      <c r="P84" s="14">
        <f t="shared" si="87"/>
        <v>64.924442218534367</v>
      </c>
      <c r="Q84" s="22">
        <f t="shared" si="54"/>
        <v>583.94370486394735</v>
      </c>
      <c r="R84" s="62">
        <f t="shared" si="55"/>
        <v>877.27703819728072</v>
      </c>
      <c r="S84" s="62">
        <f ca="1">AVERAGE(OFFSET($R$3,0,0,'Données projet'!$E$9+1,1))-AVERAGE(OFFSET($H$3,0,0,'Données projet'!$E$9+1,1))</f>
        <v>312.57314929661908</v>
      </c>
      <c r="T84" s="62">
        <f t="shared" si="88"/>
        <v>190.92100876773804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56.407854851655131</v>
      </c>
      <c r="AA84" s="23">
        <f>EXP(-LN(2)/25)*AA83+(1-EXP(-LN(2)/25))/(LN(2)/25)*Calculateur!V84*Calculateur!X84*VLOOKUP('Données projet'!$B$9,Paramètres!$A$1:$I$89,3,0)*0.475*44/12</f>
        <v>2.991886914203798</v>
      </c>
      <c r="AB84" s="23">
        <f>EXP(-LN(2)/2)*AB83+(1-EXP(-LN(2)/2))/(LN(2)/2)*V84*Y84*VLOOKUP('Données projet'!$B$9,Paramètres!$A$1:$I$89,3,0)*0.475*44/12</f>
        <v>1.2319239567120446</v>
      </c>
      <c r="AC84" s="24">
        <f t="shared" si="57"/>
        <v>60.631665722570972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6.8</v>
      </c>
      <c r="AI84" s="14">
        <f>IF('Données projet'!$A$62&gt;35,AI83+AH84-AQ83,IF(A84&lt;'Données projet'!$A$62,$AF$205^A84,IF(A84='Données projet'!$A$62,'Données projet'!$B$62,AI83+AH84-AQ83)))</f>
        <v>298.8</v>
      </c>
      <c r="AJ84" s="14">
        <f>AI84*VLOOKUP('Données projet'!$B$10,Paramètres!$A$1:$I$89,3,0)*VLOOKUP('Données projet'!$B$10,Paramètres!$A$1:$I$89,5,0)</f>
        <v>302.98320000000007</v>
      </c>
      <c r="AK84" s="14">
        <f t="shared" si="89"/>
        <v>71.801496173397709</v>
      </c>
      <c r="AL84" s="22">
        <f t="shared" si="58"/>
        <v>652.75001250200114</v>
      </c>
      <c r="AM84" s="62">
        <f t="shared" si="59"/>
        <v>946.08334583533451</v>
      </c>
      <c r="AN84" s="62">
        <f ca="1">AVERAGE(OFFSET($AM$3,0,0,'Données projet'!$E$10+1,1))-AVERAGE(OFFSET($H$3,0,0,'Données projet'!$E$10+1,1))</f>
        <v>360.56293184044779</v>
      </c>
      <c r="AO84" s="62">
        <f t="shared" si="90"/>
        <v>219.32252911220542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63.215699402716957</v>
      </c>
      <c r="AV84" s="23">
        <f>EXP(-LN(2)/25)*AV83+(1-EXP(-LN(2)/25))/(LN(2)/25)*Calculateur!AQ84*Calculateur!AS84*VLOOKUP('Données projet'!$B$10,Paramètres!$A$1:$I$89,3,0)*0.475*44/12</f>
        <v>3.3529767141939133</v>
      </c>
      <c r="AW84" s="23">
        <f>EXP(-LN(2)/2)*AW83+(1-EXP(-LN(2)/2))/(LN(2)/2)*AQ84*AT84*VLOOKUP('Données projet'!$B$10,Paramètres!$A$1:$I$89,3,0)*0.475*44/12</f>
        <v>1.3806044342462571</v>
      </c>
      <c r="AX84" s="23">
        <f t="shared" si="60"/>
        <v>67.949280551157116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1.1368683772161603E-13</v>
      </c>
      <c r="BE84" s="14">
        <f>BD84*VLOOKUP('Données projet'!$B$11,Paramètres!$A$1:$I$89,3,0)*VLOOKUP('Données projet'!$B$11,Paramètres!$A$1:$I$89,5,0)</f>
        <v>8.3355189417488869E-14</v>
      </c>
      <c r="BF84" s="14">
        <f t="shared" si="91"/>
        <v>1.2790518435140618E-12</v>
      </c>
      <c r="BG84" s="22">
        <f t="shared" si="61"/>
        <v>2.3728589156891171E-12</v>
      </c>
      <c r="BH84" s="62">
        <f t="shared" si="62"/>
        <v>293.3333333333357</v>
      </c>
      <c r="BI84" s="62">
        <f ca="1">AVERAGE(OFFSET($BH$3,0,0,'Données projet'!$E$11+1,1))-AVERAGE(OFFSET($H$3,0,0,'Données projet'!$E$11+1,1))</f>
        <v>182.06733089745194</v>
      </c>
      <c r="BJ84" s="62">
        <f t="shared" si="92"/>
        <v>320.36755413886021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21.761212733610186</v>
      </c>
      <c r="BQ84" s="23">
        <f>EXP(-LN(2)/25)*BQ83+(1-EXP(-LN(2)/25))/(LN(2)/25)*Calculateur!BL84*Calculateur!BN84*VLOOKUP('Données projet'!$B$11,Paramètres!$A$1:$I$89,3,0)*0.475*44/12</f>
        <v>3.0898694290267121</v>
      </c>
      <c r="BR84" s="23">
        <f>EXP(-LN(2)/2)*BR83+(1-EXP(-LN(2)/2))/(LN(2)/2)*BL84*BO84*VLOOKUP('Données projet'!$B$11,Paramètres!$A$1:$I$89,3,0)*0.475*44/12</f>
        <v>1.5602429433719661E-5</v>
      </c>
      <c r="BS84" s="24">
        <f t="shared" si="63"/>
        <v>24.851097765066331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319.99999999999972</v>
      </c>
      <c r="BZ84" s="14">
        <f>BY84*VLOOKUP('Données projet'!$B$12,Paramètres!$A$1:$I$89,3,0)*VLOOKUP('Données projet'!$B$12,Paramètres!$A$1:$I$89,5,0)</f>
        <v>279.55199999999979</v>
      </c>
      <c r="CA84" s="14">
        <f t="shared" si="93"/>
        <v>66.872324781216591</v>
      </c>
      <c r="CB84" s="22">
        <f t="shared" si="64"/>
        <v>603.35569899395182</v>
      </c>
      <c r="CC84" s="62">
        <f t="shared" si="65"/>
        <v>896.68903232728508</v>
      </c>
      <c r="CD84" s="62">
        <f ca="1">AVERAGE(OFFSET($CC$3,0,0,'Données projet'!$E$12+1,1))-AVERAGE(OFFSET($H$3,0,0,'Données projet'!$E$12+1,1))</f>
        <v>248.60758320902863</v>
      </c>
      <c r="CE84" s="62">
        <f t="shared" si="94"/>
        <v>222.23585883330111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53.05252627802188</v>
      </c>
      <c r="CL84" s="23">
        <f>EXP(-LN(2)/25)*CL83+(1-EXP(-LN(2)/25))/(LN(2)/25)*Calculateur!CG84*Calculateur!CI84*VLOOKUP('Données projet'!$B$12,Paramètres!$A$1:$I$89,3,0)*0.475*44/12</f>
        <v>7.0021235983278887</v>
      </c>
      <c r="CM84" s="23">
        <f>EXP(-LN(2)/2)*CM83+(1-EXP(-LN(2)/2))/(LN(2)/2)*CG84*CJ84*VLOOKUP('Données projet'!$B$12,Paramètres!$A$1:$I$89,3,0)*0.475*44/12</f>
        <v>1.327814302150969</v>
      </c>
      <c r="CN84" s="24">
        <f t="shared" si="66"/>
        <v>61.38246417850074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193.99999999999994</v>
      </c>
      <c r="CU84" s="18">
        <f>CT84*VLOOKUP('Données projet'!$B$13,Paramètres!$A$1:$I$89,3,0)*VLOOKUP('Données projet'!$B$13,Paramètres!$A$1:$I$89,5,0)</f>
        <v>105.92399999999998</v>
      </c>
      <c r="CV84" s="14">
        <f t="shared" si="95"/>
        <v>28.36854701055546</v>
      </c>
      <c r="CW84" s="22">
        <f t="shared" si="67"/>
        <v>233.89285271005073</v>
      </c>
      <c r="CX84" s="62">
        <f t="shared" si="68"/>
        <v>527.22618604338402</v>
      </c>
      <c r="CY84" s="62">
        <f ca="1">AVERAGE(OFFSET($CX$3,0,0,'Données projet'!$E$13+1,1))-AVERAGE(OFFSET($H$3,0,0,'Données projet'!$E$13+1,1))</f>
        <v>135.44138026609272</v>
      </c>
      <c r="CZ84" s="62">
        <f t="shared" si="96"/>
        <v>254.77247578425659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24.066736273179242</v>
      </c>
      <c r="DG84" s="23">
        <f>EXP(-LN(2)/25)*DG83+(1-EXP(-LN(2)/25))/(LN(2)/25)*Calculateur!DB84*Calculateur!DD84*VLOOKUP('Données projet'!$B$13,Paramètres!$A$1:$I$89,3,0)*0.475*44/12</f>
        <v>10.9999452400361</v>
      </c>
      <c r="DH84" s="23">
        <f>EXP(-LN(2)/2)*DH83+(1-EXP(-LN(2)/2))/(LN(2)/2)*DB84*DE84*VLOOKUP('Données projet'!$B$13,Paramètres!$A$1:$I$89,3,0)*0.475*44/12</f>
        <v>1.7923290645169105E-6</v>
      </c>
      <c r="DI84" s="24">
        <f t="shared" si="69"/>
        <v>35.066683305544409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273.00000000000023</v>
      </c>
      <c r="DP84" s="18">
        <f>DO84*VLOOKUP('Données projet'!$B$14,Paramètres!$A$1:$I$89,3,0)*VLOOKUP('Données projet'!$B$14,Paramètres!$A$1:$I$89,5,0)</f>
        <v>264.04560000000021</v>
      </c>
      <c r="DQ84" s="14">
        <f t="shared" si="97"/>
        <v>63.583959929973794</v>
      </c>
      <c r="DR84" s="22">
        <f t="shared" si="70"/>
        <v>570.6214835447048</v>
      </c>
      <c r="DS84" s="62">
        <f t="shared" si="71"/>
        <v>863.95481687803817</v>
      </c>
      <c r="DT84" s="62">
        <f ca="1">AVERAGE(OFFSET($DS$3,0,0,'Données projet'!$E$14+1,1))-AVERAGE(OFFSET($H$3,0,0,'Données projet'!$E$14+1,1))</f>
        <v>271.09447278906288</v>
      </c>
      <c r="DU84" s="62">
        <f t="shared" si="98"/>
        <v>325.1094067861851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26.703122955453249</v>
      </c>
      <c r="EB84" s="23">
        <f>EXP(-LN(2)/25)*EB83+(1-EXP(-LN(2)/25))/(LN(2)/25)*Calculateur!DW84*Calculateur!DY84*VLOOKUP('Données projet'!$B$14,Paramètres!$A$1:$I$89,3,0)*0.475*44/12</f>
        <v>4.109566994827806</v>
      </c>
      <c r="EC84" s="23">
        <f>EXP(-LN(2)/2)*EC83+(1-EXP(-LN(2)/2))/(LN(2)/2)*DW84*DZ84*VLOOKUP('Données projet'!$B$14,Paramètres!$A$1:$I$89,3,0)*0.475*44/12</f>
        <v>4.2079492768800552E-3</v>
      </c>
      <c r="ED84" s="24">
        <f t="shared" si="72"/>
        <v>30.816897899557933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273.00000000000023</v>
      </c>
      <c r="EK84" s="18">
        <f>EJ84*VLOOKUP('Données projet'!$B$15,Paramètres!$A$1:$I$89,3,0)*VLOOKUP('Données projet'!$B$15,Paramètres!$A$1:$I$89,5,0)</f>
        <v>293.85720000000026</v>
      </c>
      <c r="EL84" s="14">
        <f t="shared" si="99"/>
        <v>69.887150190339895</v>
      </c>
      <c r="EM84" s="22">
        <f t="shared" si="73"/>
        <v>633.52140991484237</v>
      </c>
      <c r="EN84" s="62">
        <f t="shared" si="74"/>
        <v>926.85474324817574</v>
      </c>
      <c r="EO84" s="62">
        <f ca="1">AVERAGE(OFFSET($EN$3,0,0,'Données projet'!$E$15+1,1))-AVERAGE(OFFSET($H$3,0,0,'Données projet'!$E$15+1,1))</f>
        <v>306.50593475734655</v>
      </c>
      <c r="EP84" s="62">
        <f t="shared" si="100"/>
        <v>366.48643801375079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29.717991676230238</v>
      </c>
      <c r="EW84" s="23">
        <f>EXP(-LN(2)/25)*EW83+(1-EXP(-LN(2)/25))/(LN(2)/25)*Calculateur!ER84*Calculateur!ET84*VLOOKUP('Données projet'!$B$15,Paramètres!$A$1:$I$89,3,0)*0.475*44/12</f>
        <v>4.5735503652115899</v>
      </c>
      <c r="EX84" s="23">
        <f>EXP(-LN(2)/2)*EX83+(1-EXP(-LN(2)/2))/(LN(2)/2)*ER84*EU84*VLOOKUP('Données projet'!$B$15,Paramètres!$A$1:$I$89,3,0)*0.475*44/12</f>
        <v>4.6830403242697364E-3</v>
      </c>
      <c r="EY84" s="24">
        <f t="shared" si="75"/>
        <v>34.296225081766096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60.122399999999864</v>
      </c>
      <c r="D85" s="12">
        <f t="shared" si="86"/>
        <v>17.199211901359213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596.86858309821048</v>
      </c>
      <c r="H85" s="70">
        <f t="shared" si="56"/>
        <v>428.001807394867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6.8</v>
      </c>
      <c r="N85" s="14">
        <f>IF('Données projet'!$A$36&gt;35,N84+M85-V84,IF(A85&lt;'Données projet'!$A$36,$K$205^A85,IF(A85='Données projet'!$A$36,'Données projet'!$B$36,N84+M85-V84)))</f>
        <v>305.60000000000002</v>
      </c>
      <c r="O85" s="14">
        <f>N85*VLOOKUP('Données projet'!$B$9,Paramètres!$A$1:$I$89,3,0)*VLOOKUP('Données projet'!$B$9,Paramètres!$A$1:$I$89,5,0)</f>
        <v>276.50687999999997</v>
      </c>
      <c r="P85" s="14">
        <f t="shared" si="87"/>
        <v>66.228273722513677</v>
      </c>
      <c r="Q85" s="22">
        <f t="shared" si="54"/>
        <v>596.93039273337797</v>
      </c>
      <c r="R85" s="62">
        <f t="shared" si="55"/>
        <v>890.26372606671134</v>
      </c>
      <c r="S85" s="62">
        <f ca="1">AVERAGE(OFFSET($R$3,0,0,'Données projet'!$E$9+1,1))-AVERAGE(OFFSET($H$3,0,0,'Données projet'!$E$9+1,1))</f>
        <v>312.57314929661908</v>
      </c>
      <c r="T85" s="62">
        <f t="shared" si="88"/>
        <v>190.92100876773804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55.301731223408382</v>
      </c>
      <c r="AA85" s="23">
        <f>EXP(-LN(2)/25)*AA84+(1-EXP(-LN(2)/25))/(LN(2)/25)*Calculateur!V85*Calculateur!X85*VLOOKUP('Données projet'!$B$9,Paramètres!$A$1:$I$89,3,0)*0.475*44/12</f>
        <v>2.9100736091984003</v>
      </c>
      <c r="AB85" s="23">
        <f>EXP(-LN(2)/2)*AB84+(1-EXP(-LN(2)/2))/(LN(2)/2)*V85*Y85*VLOOKUP('Données projet'!$B$9,Paramètres!$A$1:$I$89,3,0)*0.475*44/12</f>
        <v>0.87110178369724955</v>
      </c>
      <c r="AC85" s="24">
        <f t="shared" si="57"/>
        <v>59.08290661630403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6.8</v>
      </c>
      <c r="AI85" s="14">
        <f>IF('Données projet'!$A$62&gt;35,AI84+AH85-AQ84,IF(A85&lt;'Données projet'!$A$62,$AF$205^A85,IF(A85='Données projet'!$A$62,'Données projet'!$B$62,AI84+AH85-AQ84)))</f>
        <v>305.60000000000002</v>
      </c>
      <c r="AJ85" s="14">
        <f>AI85*VLOOKUP('Données projet'!$B$10,Paramètres!$A$1:$I$89,3,0)*VLOOKUP('Données projet'!$B$10,Paramètres!$A$1:$I$89,5,0)</f>
        <v>309.87840000000006</v>
      </c>
      <c r="AK85" s="14">
        <f t="shared" si="89"/>
        <v>73.243434672131556</v>
      </c>
      <c r="AL85" s="22">
        <f t="shared" si="58"/>
        <v>667.27052872062916</v>
      </c>
      <c r="AM85" s="62">
        <f t="shared" si="59"/>
        <v>960.60386205396253</v>
      </c>
      <c r="AN85" s="62">
        <f ca="1">AVERAGE(OFFSET($AM$3,0,0,'Données projet'!$E$10+1,1))-AVERAGE(OFFSET($H$3,0,0,'Données projet'!$E$10+1,1))</f>
        <v>360.56293184044779</v>
      </c>
      <c r="AO85" s="62">
        <f t="shared" si="90"/>
        <v>219.32252911220542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61.97607809519905</v>
      </c>
      <c r="AV85" s="23">
        <f>EXP(-LN(2)/25)*AV84+(1-EXP(-LN(2)/25))/(LN(2)/25)*Calculateur!AQ85*Calculateur!AS85*VLOOKUP('Données projet'!$B$10,Paramètres!$A$1:$I$89,3,0)*0.475*44/12</f>
        <v>3.2612893896188986</v>
      </c>
      <c r="AW85" s="23">
        <f>EXP(-LN(2)/2)*AW84+(1-EXP(-LN(2)/2))/(LN(2)/2)*AQ85*AT85*VLOOKUP('Données projet'!$B$10,Paramètres!$A$1:$I$89,3,0)*0.475*44/12</f>
        <v>0.97623475759174538</v>
      </c>
      <c r="AX85" s="23">
        <f t="shared" si="60"/>
        <v>66.213602242409692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1.1368683772161603E-13</v>
      </c>
      <c r="BE85" s="14">
        <f>BD85*VLOOKUP('Données projet'!$B$11,Paramètres!$A$1:$I$89,3,0)*VLOOKUP('Données projet'!$B$11,Paramètres!$A$1:$I$89,5,0)</f>
        <v>8.3355189417488869E-14</v>
      </c>
      <c r="BF85" s="14">
        <f t="shared" si="91"/>
        <v>1.2790518435140618E-12</v>
      </c>
      <c r="BG85" s="22">
        <f t="shared" si="61"/>
        <v>2.3728589156891171E-12</v>
      </c>
      <c r="BH85" s="62">
        <f t="shared" si="62"/>
        <v>293.3333333333357</v>
      </c>
      <c r="BI85" s="62">
        <f ca="1">AVERAGE(OFFSET($BH$3,0,0,'Données projet'!$E$11+1,1))-AVERAGE(OFFSET($H$3,0,0,'Données projet'!$E$11+1,1))</f>
        <v>182.06733089745194</v>
      </c>
      <c r="BJ85" s="62">
        <f t="shared" si="92"/>
        <v>320.36755413886021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21.334488624933254</v>
      </c>
      <c r="BQ85" s="23">
        <f>EXP(-LN(2)/25)*BQ84+(1-EXP(-LN(2)/25))/(LN(2)/25)*Calculateur!BL85*Calculateur!BN85*VLOOKUP('Données projet'!$B$11,Paramètres!$A$1:$I$89,3,0)*0.475*44/12</f>
        <v>3.0053767870008055</v>
      </c>
      <c r="BR85" s="23">
        <f>EXP(-LN(2)/2)*BR84+(1-EXP(-LN(2)/2))/(LN(2)/2)*BL85*BO85*VLOOKUP('Données projet'!$B$11,Paramètres!$A$1:$I$89,3,0)*0.475*44/12</f>
        <v>1.1032583655567757E-5</v>
      </c>
      <c r="BS85" s="24">
        <f t="shared" si="63"/>
        <v>24.339876444517717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319.99999999999972</v>
      </c>
      <c r="BZ85" s="14">
        <f>BY85*VLOOKUP('Données projet'!$B$12,Paramètres!$A$1:$I$89,3,0)*VLOOKUP('Données projet'!$B$12,Paramètres!$A$1:$I$89,5,0)</f>
        <v>279.55199999999979</v>
      </c>
      <c r="CA85" s="14">
        <f t="shared" si="93"/>
        <v>66.872324781216591</v>
      </c>
      <c r="CB85" s="22">
        <f t="shared" si="64"/>
        <v>603.35569899395182</v>
      </c>
      <c r="CC85" s="62">
        <f t="shared" si="65"/>
        <v>896.68903232728508</v>
      </c>
      <c r="CD85" s="62">
        <f ca="1">AVERAGE(OFFSET($CC$3,0,0,'Données projet'!$E$12+1,1))-AVERAGE(OFFSET($H$3,0,0,'Données projet'!$E$12+1,1))</f>
        <v>248.60758320902863</v>
      </c>
      <c r="CE85" s="62">
        <f t="shared" si="94"/>
        <v>222.23585883330111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52.012198596555727</v>
      </c>
      <c r="CL85" s="23">
        <f>EXP(-LN(2)/25)*CL84+(1-EXP(-LN(2)/25))/(LN(2)/25)*Calculateur!CG85*Calculateur!CI85*VLOOKUP('Données projet'!$B$12,Paramètres!$A$1:$I$89,3,0)*0.475*44/12</f>
        <v>6.8106501603059364</v>
      </c>
      <c r="CM85" s="23">
        <f>EXP(-LN(2)/2)*CM84+(1-EXP(-LN(2)/2))/(LN(2)/2)*CG85*CJ85*VLOOKUP('Données projet'!$B$12,Paramètres!$A$1:$I$89,3,0)*0.475*44/12</f>
        <v>0.93890649720743358</v>
      </c>
      <c r="CN85" s="24">
        <f t="shared" si="66"/>
        <v>59.761755254069094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193.99999999999994</v>
      </c>
      <c r="CU85" s="18">
        <f>CT85*VLOOKUP('Données projet'!$B$13,Paramètres!$A$1:$I$89,3,0)*VLOOKUP('Données projet'!$B$13,Paramètres!$A$1:$I$89,5,0)</f>
        <v>105.92399999999998</v>
      </c>
      <c r="CV85" s="14">
        <f t="shared" si="95"/>
        <v>28.36854701055546</v>
      </c>
      <c r="CW85" s="22">
        <f t="shared" si="67"/>
        <v>233.89285271005073</v>
      </c>
      <c r="CX85" s="62">
        <f t="shared" si="68"/>
        <v>527.22618604338402</v>
      </c>
      <c r="CY85" s="62">
        <f ca="1">AVERAGE(OFFSET($CX$3,0,0,'Données projet'!$E$13+1,1))-AVERAGE(OFFSET($H$3,0,0,'Données projet'!$E$13+1,1))</f>
        <v>135.44138026609272</v>
      </c>
      <c r="CZ85" s="62">
        <f t="shared" si="96"/>
        <v>254.77247578425659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23.594802254121866</v>
      </c>
      <c r="DG85" s="23">
        <f>EXP(-LN(2)/25)*DG84+(1-EXP(-LN(2)/25))/(LN(2)/25)*Calculateur!DB85*Calculateur!DD85*VLOOKUP('Données projet'!$B$13,Paramètres!$A$1:$I$89,3,0)*0.475*44/12</f>
        <v>10.699151158985334</v>
      </c>
      <c r="DH85" s="23">
        <f>EXP(-LN(2)/2)*DH84+(1-EXP(-LN(2)/2))/(LN(2)/2)*DB85*DE85*VLOOKUP('Données projet'!$B$13,Paramètres!$A$1:$I$89,3,0)*0.475*44/12</f>
        <v>1.2673680356376484E-6</v>
      </c>
      <c r="DI85" s="24">
        <f t="shared" si="69"/>
        <v>34.293954680475238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273.00000000000023</v>
      </c>
      <c r="DP85" s="18">
        <f>DO85*VLOOKUP('Données projet'!$B$14,Paramètres!$A$1:$I$89,3,0)*VLOOKUP('Données projet'!$B$14,Paramètres!$A$1:$I$89,5,0)</f>
        <v>264.04560000000021</v>
      </c>
      <c r="DQ85" s="14">
        <f t="shared" si="97"/>
        <v>63.583959929973794</v>
      </c>
      <c r="DR85" s="22">
        <f t="shared" si="70"/>
        <v>570.6214835447048</v>
      </c>
      <c r="DS85" s="62">
        <f t="shared" si="71"/>
        <v>863.95481687803817</v>
      </c>
      <c r="DT85" s="62">
        <f ca="1">AVERAGE(OFFSET($DS$3,0,0,'Données projet'!$E$14+1,1))-AVERAGE(OFFSET($H$3,0,0,'Données projet'!$E$14+1,1))</f>
        <v>271.09447278906288</v>
      </c>
      <c r="DU85" s="62">
        <f t="shared" si="98"/>
        <v>325.1094067861851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26.179491001593576</v>
      </c>
      <c r="EB85" s="23">
        <f>EXP(-LN(2)/25)*EB84+(1-EXP(-LN(2)/25))/(LN(2)/25)*Calculateur!DW85*Calculateur!DY85*VLOOKUP('Données projet'!$B$14,Paramètres!$A$1:$I$89,3,0)*0.475*44/12</f>
        <v>3.9971906692415038</v>
      </c>
      <c r="EC85" s="23">
        <f>EXP(-LN(2)/2)*EC84+(1-EXP(-LN(2)/2))/(LN(2)/2)*DW85*DZ85*VLOOKUP('Données projet'!$B$14,Paramètres!$A$1:$I$89,3,0)*0.475*44/12</f>
        <v>2.9754694685709161E-3</v>
      </c>
      <c r="ED85" s="24">
        <f t="shared" si="72"/>
        <v>30.17965714030365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273.00000000000023</v>
      </c>
      <c r="EK85" s="18">
        <f>EJ85*VLOOKUP('Données projet'!$B$15,Paramètres!$A$1:$I$89,3,0)*VLOOKUP('Données projet'!$B$15,Paramètres!$A$1:$I$89,5,0)</f>
        <v>293.85720000000026</v>
      </c>
      <c r="EL85" s="14">
        <f t="shared" si="99"/>
        <v>69.887150190339895</v>
      </c>
      <c r="EM85" s="22">
        <f t="shared" si="73"/>
        <v>633.52140991484237</v>
      </c>
      <c r="EN85" s="62">
        <f t="shared" si="74"/>
        <v>926.85474324817574</v>
      </c>
      <c r="EO85" s="62">
        <f ca="1">AVERAGE(OFFSET($EN$3,0,0,'Données projet'!$E$15+1,1))-AVERAGE(OFFSET($H$3,0,0,'Données projet'!$E$15+1,1))</f>
        <v>306.50593475734655</v>
      </c>
      <c r="EP85" s="62">
        <f t="shared" si="100"/>
        <v>366.48643801375079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29.135239985644475</v>
      </c>
      <c r="EW85" s="23">
        <f>EXP(-LN(2)/25)*EW84+(1-EXP(-LN(2)/25))/(LN(2)/25)*Calculateur!ER85*Calculateur!ET85*VLOOKUP('Données projet'!$B$15,Paramètres!$A$1:$I$89,3,0)*0.475*44/12</f>
        <v>4.4484863899623184</v>
      </c>
      <c r="EX85" s="23">
        <f>EXP(-LN(2)/2)*EX84+(1-EXP(-LN(2)/2))/(LN(2)/2)*ER85*EU85*VLOOKUP('Données projet'!$B$15,Paramètres!$A$1:$I$89,3,0)*0.475*44/12</f>
        <v>3.311409569861179E-3</v>
      </c>
      <c r="EY85" s="24">
        <f t="shared" si="75"/>
        <v>33.587037785176655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60.85559999999986</v>
      </c>
      <c r="D86" s="12">
        <f t="shared" si="86"/>
        <v>17.384412949542618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603.95799469822259</v>
      </c>
      <c r="H86" s="70">
        <f t="shared" si="56"/>
        <v>429.60135588711978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6.8</v>
      </c>
      <c r="N86" s="14">
        <f>IF('Données projet'!$A$36&gt;35,N85+M86-V85,IF(A86&lt;'Données projet'!$A$36,$K$205^A86,IF(A86='Données projet'!$A$36,'Données projet'!$B$36,N85+M86-V85)))</f>
        <v>312.40000000000003</v>
      </c>
      <c r="O86" s="14">
        <f>N86*VLOOKUP('Données projet'!$B$9,Paramètres!$A$1:$I$89,3,0)*VLOOKUP('Données projet'!$B$9,Paramètres!$A$1:$I$89,5,0)</f>
        <v>282.65952000000004</v>
      </c>
      <c r="P86" s="14">
        <f t="shared" si="87"/>
        <v>67.528732309967324</v>
      </c>
      <c r="Q86" s="22">
        <f t="shared" si="54"/>
        <v>609.91120610652649</v>
      </c>
      <c r="R86" s="62">
        <f t="shared" si="55"/>
        <v>903.24453943985986</v>
      </c>
      <c r="S86" s="62">
        <f ca="1">AVERAGE(OFFSET($R$3,0,0,'Données projet'!$E$9+1,1))-AVERAGE(OFFSET($H$3,0,0,'Données projet'!$E$9+1,1))</f>
        <v>312.57314929661908</v>
      </c>
      <c r="T86" s="62">
        <f t="shared" si="88"/>
        <v>190.92100876773804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54.21729800484276</v>
      </c>
      <c r="AA86" s="23">
        <f>EXP(-LN(2)/25)*AA85+(1-EXP(-LN(2)/25))/(LN(2)/25)*Calculateur!V86*Calculateur!X86*VLOOKUP('Données projet'!$B$9,Paramètres!$A$1:$I$89,3,0)*0.475*44/12</f>
        <v>2.8304974933207498</v>
      </c>
      <c r="AB86" s="23">
        <f>EXP(-LN(2)/2)*AB85+(1-EXP(-LN(2)/2))/(LN(2)/2)*V86*Y86*VLOOKUP('Données projet'!$B$9,Paramètres!$A$1:$I$89,3,0)*0.475*44/12</f>
        <v>0.61596197835602229</v>
      </c>
      <c r="AC86" s="24">
        <f t="shared" si="57"/>
        <v>57.663757476519528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6.8</v>
      </c>
      <c r="AI86" s="14">
        <f>IF('Données projet'!$A$62&gt;35,AI85+AH86-AQ85,IF(A86&lt;'Données projet'!$A$62,$AF$205^A86,IF(A86='Données projet'!$A$62,'Données projet'!$B$62,AI85+AH86-AQ85)))</f>
        <v>312.40000000000003</v>
      </c>
      <c r="AJ86" s="14">
        <f>AI86*VLOOKUP('Données projet'!$B$10,Paramètres!$A$1:$I$89,3,0)*VLOOKUP('Données projet'!$B$10,Paramètres!$A$1:$I$89,5,0)</f>
        <v>316.77360000000004</v>
      </c>
      <c r="AK86" s="14">
        <f t="shared" si="89"/>
        <v>74.681642981668006</v>
      </c>
      <c r="AL86" s="22">
        <f t="shared" si="58"/>
        <v>681.78454819307183</v>
      </c>
      <c r="AM86" s="62">
        <f t="shared" si="59"/>
        <v>975.1178815264052</v>
      </c>
      <c r="AN86" s="62">
        <f ca="1">AVERAGE(OFFSET($AM$3,0,0,'Données projet'!$E$10+1,1))-AVERAGE(OFFSET($H$3,0,0,'Données projet'!$E$10+1,1))</f>
        <v>360.56293184044779</v>
      </c>
      <c r="AO86" s="62">
        <f t="shared" si="90"/>
        <v>219.32252911220542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60.760765005427231</v>
      </c>
      <c r="AV86" s="23">
        <f>EXP(-LN(2)/25)*AV85+(1-EXP(-LN(2)/25))/(LN(2)/25)*Calculateur!AQ86*Calculateur!AS86*VLOOKUP('Données projet'!$B$10,Paramètres!$A$1:$I$89,3,0)*0.475*44/12</f>
        <v>3.1721092597560148</v>
      </c>
      <c r="AW86" s="23">
        <f>EXP(-LN(2)/2)*AW85+(1-EXP(-LN(2)/2))/(LN(2)/2)*AQ86*AT86*VLOOKUP('Données projet'!$B$10,Paramètres!$A$1:$I$89,3,0)*0.475*44/12</f>
        <v>0.69030221712312867</v>
      </c>
      <c r="AX86" s="23">
        <f t="shared" si="60"/>
        <v>64.623176482306377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1.1368683772161603E-13</v>
      </c>
      <c r="BE86" s="14">
        <f>BD86*VLOOKUP('Données projet'!$B$11,Paramètres!$A$1:$I$89,3,0)*VLOOKUP('Données projet'!$B$11,Paramètres!$A$1:$I$89,5,0)</f>
        <v>8.3355189417488869E-14</v>
      </c>
      <c r="BF86" s="14">
        <f t="shared" si="91"/>
        <v>1.2790518435140618E-12</v>
      </c>
      <c r="BG86" s="22">
        <f t="shared" si="61"/>
        <v>2.3728589156891171E-12</v>
      </c>
      <c r="BH86" s="62">
        <f t="shared" si="62"/>
        <v>293.3333333333357</v>
      </c>
      <c r="BI86" s="62">
        <f ca="1">AVERAGE(OFFSET($BH$3,0,0,'Données projet'!$E$11+1,1))-AVERAGE(OFFSET($H$3,0,0,'Données projet'!$E$11+1,1))</f>
        <v>182.06733089745194</v>
      </c>
      <c r="BJ86" s="62">
        <f t="shared" si="92"/>
        <v>320.36755413886021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20.916132315751472</v>
      </c>
      <c r="BQ86" s="23">
        <f>EXP(-LN(2)/25)*BQ85+(1-EXP(-LN(2)/25))/(LN(2)/25)*Calculateur!BL86*Calculateur!BN86*VLOOKUP('Données projet'!$B$11,Paramètres!$A$1:$I$89,3,0)*0.475*44/12</f>
        <v>2.9231946007143721</v>
      </c>
      <c r="BR86" s="23">
        <f>EXP(-LN(2)/2)*BR85+(1-EXP(-LN(2)/2))/(LN(2)/2)*BL86*BO86*VLOOKUP('Données projet'!$B$11,Paramètres!$A$1:$I$89,3,0)*0.475*44/12</f>
        <v>7.8012147168598303E-6</v>
      </c>
      <c r="BS86" s="24">
        <f t="shared" si="63"/>
        <v>23.839334717680561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319.99999999999972</v>
      </c>
      <c r="BZ86" s="14">
        <f>BY86*VLOOKUP('Données projet'!$B$12,Paramètres!$A$1:$I$89,3,0)*VLOOKUP('Données projet'!$B$12,Paramètres!$A$1:$I$89,5,0)</f>
        <v>279.55199999999979</v>
      </c>
      <c r="CA86" s="14">
        <f t="shared" si="93"/>
        <v>66.872324781216591</v>
      </c>
      <c r="CB86" s="22">
        <f t="shared" si="64"/>
        <v>603.35569899395182</v>
      </c>
      <c r="CC86" s="62">
        <f t="shared" si="65"/>
        <v>896.68903232728508</v>
      </c>
      <c r="CD86" s="62">
        <f ca="1">AVERAGE(OFFSET($CC$3,0,0,'Données projet'!$E$12+1,1))-AVERAGE(OFFSET($H$3,0,0,'Données projet'!$E$12+1,1))</f>
        <v>248.60758320902863</v>
      </c>
      <c r="CE86" s="62">
        <f t="shared" si="94"/>
        <v>222.23585883330111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50.9922711063859</v>
      </c>
      <c r="CL86" s="23">
        <f>EXP(-LN(2)/25)*CL85+(1-EXP(-LN(2)/25))/(LN(2)/25)*Calculateur!CG86*Calculateur!CI86*VLOOKUP('Données projet'!$B$12,Paramètres!$A$1:$I$89,3,0)*0.475*44/12</f>
        <v>6.624412573515845</v>
      </c>
      <c r="CM86" s="23">
        <f>EXP(-LN(2)/2)*CM85+(1-EXP(-LN(2)/2))/(LN(2)/2)*CG86*CJ86*VLOOKUP('Données projet'!$B$12,Paramètres!$A$1:$I$89,3,0)*0.475*44/12</f>
        <v>0.66390715107548459</v>
      </c>
      <c r="CN86" s="24">
        <f t="shared" si="66"/>
        <v>58.280590830977232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193.99999999999994</v>
      </c>
      <c r="CU86" s="18">
        <f>CT86*VLOOKUP('Données projet'!$B$13,Paramètres!$A$1:$I$89,3,0)*VLOOKUP('Données projet'!$B$13,Paramètres!$A$1:$I$89,5,0)</f>
        <v>105.92399999999998</v>
      </c>
      <c r="CV86" s="14">
        <f t="shared" si="95"/>
        <v>28.36854701055546</v>
      </c>
      <c r="CW86" s="22">
        <f t="shared" si="67"/>
        <v>233.89285271005073</v>
      </c>
      <c r="CX86" s="62">
        <f t="shared" si="68"/>
        <v>527.22618604338402</v>
      </c>
      <c r="CY86" s="62">
        <f ca="1">AVERAGE(OFFSET($CX$3,0,0,'Données projet'!$E$13+1,1))-AVERAGE(OFFSET($H$3,0,0,'Données projet'!$E$13+1,1))</f>
        <v>135.44138026609272</v>
      </c>
      <c r="CZ86" s="62">
        <f t="shared" si="96"/>
        <v>254.77247578425659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23.132122573326878</v>
      </c>
      <c r="DG86" s="23">
        <f>EXP(-LN(2)/25)*DG85+(1-EXP(-LN(2)/25))/(LN(2)/25)*Calculateur!DB86*Calculateur!DD86*VLOOKUP('Données projet'!$B$13,Paramètres!$A$1:$I$89,3,0)*0.475*44/12</f>
        <v>10.406582307898974</v>
      </c>
      <c r="DH86" s="23">
        <f>EXP(-LN(2)/2)*DH85+(1-EXP(-LN(2)/2))/(LN(2)/2)*DB86*DE86*VLOOKUP('Données projet'!$B$13,Paramètres!$A$1:$I$89,3,0)*0.475*44/12</f>
        <v>8.9616453225845524E-7</v>
      </c>
      <c r="DI86" s="24">
        <f t="shared" si="69"/>
        <v>33.538705777390383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273.00000000000023</v>
      </c>
      <c r="DP86" s="18">
        <f>DO86*VLOOKUP('Données projet'!$B$14,Paramètres!$A$1:$I$89,3,0)*VLOOKUP('Données projet'!$B$14,Paramètres!$A$1:$I$89,5,0)</f>
        <v>264.04560000000021</v>
      </c>
      <c r="DQ86" s="14">
        <f t="shared" si="97"/>
        <v>63.583959929973794</v>
      </c>
      <c r="DR86" s="22">
        <f t="shared" si="70"/>
        <v>570.6214835447048</v>
      </c>
      <c r="DS86" s="62">
        <f t="shared" si="71"/>
        <v>863.95481687803817</v>
      </c>
      <c r="DT86" s="62">
        <f ca="1">AVERAGE(OFFSET($DS$3,0,0,'Données projet'!$E$14+1,1))-AVERAGE(OFFSET($H$3,0,0,'Données projet'!$E$14+1,1))</f>
        <v>271.09447278906288</v>
      </c>
      <c r="DU86" s="62">
        <f t="shared" si="98"/>
        <v>325.1094067861851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25.666127150965135</v>
      </c>
      <c r="EB86" s="23">
        <f>EXP(-LN(2)/25)*EB85+(1-EXP(-LN(2)/25))/(LN(2)/25)*Calculateur!DW86*Calculateur!DY86*VLOOKUP('Données projet'!$B$14,Paramètres!$A$1:$I$89,3,0)*0.475*44/12</f>
        <v>3.8878872801879734</v>
      </c>
      <c r="EC86" s="23">
        <f>EXP(-LN(2)/2)*EC85+(1-EXP(-LN(2)/2))/(LN(2)/2)*DW86*DZ86*VLOOKUP('Données projet'!$B$14,Paramètres!$A$1:$I$89,3,0)*0.475*44/12</f>
        <v>2.1039746384400276E-3</v>
      </c>
      <c r="ED86" s="24">
        <f t="shared" si="72"/>
        <v>29.556118405791548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273.00000000000023</v>
      </c>
      <c r="EK86" s="18">
        <f>EJ86*VLOOKUP('Données projet'!$B$15,Paramètres!$A$1:$I$89,3,0)*VLOOKUP('Données projet'!$B$15,Paramètres!$A$1:$I$89,5,0)</f>
        <v>293.85720000000026</v>
      </c>
      <c r="EL86" s="14">
        <f t="shared" si="99"/>
        <v>69.887150190339895</v>
      </c>
      <c r="EM86" s="22">
        <f t="shared" si="73"/>
        <v>633.52140991484237</v>
      </c>
      <c r="EN86" s="62">
        <f t="shared" si="74"/>
        <v>926.85474324817574</v>
      </c>
      <c r="EO86" s="62">
        <f ca="1">AVERAGE(OFFSET($EN$3,0,0,'Données projet'!$E$15+1,1))-AVERAGE(OFFSET($H$3,0,0,'Données projet'!$E$15+1,1))</f>
        <v>306.50593475734655</v>
      </c>
      <c r="EP86" s="62">
        <f t="shared" si="100"/>
        <v>366.48643801375079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28.563915700267664</v>
      </c>
      <c r="EW86" s="23">
        <f>EXP(-LN(2)/25)*EW85+(1-EXP(-LN(2)/25))/(LN(2)/25)*Calculateur!ER86*Calculateur!ET86*VLOOKUP('Données projet'!$B$15,Paramètres!$A$1:$I$89,3,0)*0.475*44/12</f>
        <v>4.3268422956930666</v>
      </c>
      <c r="EX86" s="23">
        <f>EXP(-LN(2)/2)*EX85+(1-EXP(-LN(2)/2))/(LN(2)/2)*ER86*EU86*VLOOKUP('Données projet'!$B$15,Paramètres!$A$1:$I$89,3,0)*0.475*44/12</f>
        <v>2.3415201621348682E-3</v>
      </c>
      <c r="EY86" s="24">
        <f t="shared" si="75"/>
        <v>32.893099516122867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61.588799999999857</v>
      </c>
      <c r="D87" s="12">
        <f t="shared" si="86"/>
        <v>17.569354445387791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611.04540273632574</v>
      </c>
      <c r="H87" s="70">
        <f t="shared" si="56"/>
        <v>431.20045232571681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6.8</v>
      </c>
      <c r="N87" s="14">
        <f>IF('Données projet'!$A$36&gt;35,N86+M87-V86,IF(A87&lt;'Données projet'!$A$36,$K$205^A87,IF(A87='Données projet'!$A$36,'Données projet'!$B$36,N86+M87-V86)))</f>
        <v>319.20000000000005</v>
      </c>
      <c r="O87" s="14">
        <f>N87*VLOOKUP('Données projet'!$B$9,Paramètres!$A$1:$I$89,3,0)*VLOOKUP('Données projet'!$B$9,Paramètres!$A$1:$I$89,5,0)</f>
        <v>288.81216000000006</v>
      </c>
      <c r="P87" s="14">
        <f t="shared" si="87"/>
        <v>68.825899854238159</v>
      </c>
      <c r="Q87" s="22">
        <f t="shared" si="54"/>
        <v>622.88628757946492</v>
      </c>
      <c r="R87" s="62">
        <f t="shared" si="55"/>
        <v>916.21962091279829</v>
      </c>
      <c r="S87" s="62">
        <f ca="1">AVERAGE(OFFSET($R$3,0,0,'Données projet'!$E$9+1,1))-AVERAGE(OFFSET($H$3,0,0,'Données projet'!$E$9+1,1))</f>
        <v>312.57314929661908</v>
      </c>
      <c r="T87" s="62">
        <f t="shared" si="88"/>
        <v>190.92100876773804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53.154129860254258</v>
      </c>
      <c r="AA87" s="23">
        <f>EXP(-LN(2)/25)*AA86+(1-EXP(-LN(2)/25))/(LN(2)/25)*Calculateur!V87*Calculateur!X87*VLOOKUP('Données projet'!$B$9,Paramètres!$A$1:$I$89,3,0)*0.475*44/12</f>
        <v>2.7530973905164999</v>
      </c>
      <c r="AB87" s="23">
        <f>EXP(-LN(2)/2)*AB86+(1-EXP(-LN(2)/2))/(LN(2)/2)*V87*Y87*VLOOKUP('Données projet'!$B$9,Paramètres!$A$1:$I$89,3,0)*0.475*44/12</f>
        <v>0.43555089184862478</v>
      </c>
      <c r="AC87" s="24">
        <f t="shared" si="57"/>
        <v>56.342778142619387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6.8</v>
      </c>
      <c r="AI87" s="14">
        <f>IF('Données projet'!$A$62&gt;35,AI86+AH87-AQ86,IF(A87&lt;'Données projet'!$A$62,$AF$205^A87,IF(A87='Données projet'!$A$62,'Données projet'!$B$62,AI86+AH87-AQ86)))</f>
        <v>319.20000000000005</v>
      </c>
      <c r="AJ87" s="14">
        <f>AI87*VLOOKUP('Données projet'!$B$10,Paramètres!$A$1:$I$89,3,0)*VLOOKUP('Données projet'!$B$10,Paramètres!$A$1:$I$89,5,0)</f>
        <v>323.66880000000009</v>
      </c>
      <c r="AK87" s="14">
        <f t="shared" si="89"/>
        <v>76.11621164769852</v>
      </c>
      <c r="AL87" s="22">
        <f t="shared" si="58"/>
        <v>696.29222861974176</v>
      </c>
      <c r="AM87" s="62">
        <f t="shared" si="59"/>
        <v>989.62556195307502</v>
      </c>
      <c r="AN87" s="62">
        <f ca="1">AVERAGE(OFFSET($AM$3,0,0,'Données projet'!$E$10+1,1))-AVERAGE(OFFSET($H$3,0,0,'Données projet'!$E$10+1,1))</f>
        <v>360.56293184044779</v>
      </c>
      <c r="AO87" s="62">
        <f t="shared" si="90"/>
        <v>219.32252911220542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59.569283464078048</v>
      </c>
      <c r="AV87" s="23">
        <f>EXP(-LN(2)/25)*AV86+(1-EXP(-LN(2)/25))/(LN(2)/25)*Calculateur!AQ87*Calculateur!AS87*VLOOKUP('Données projet'!$B$10,Paramètres!$A$1:$I$89,3,0)*0.475*44/12</f>
        <v>3.0853677652340106</v>
      </c>
      <c r="AW87" s="23">
        <f>EXP(-LN(2)/2)*AW86+(1-EXP(-LN(2)/2))/(LN(2)/2)*AQ87*AT87*VLOOKUP('Données projet'!$B$10,Paramètres!$A$1:$I$89,3,0)*0.475*44/12</f>
        <v>0.4881173787958728</v>
      </c>
      <c r="AX87" s="23">
        <f t="shared" si="60"/>
        <v>63.142768608107929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1.1368683772161603E-13</v>
      </c>
      <c r="BE87" s="14">
        <f>BD87*VLOOKUP('Données projet'!$B$11,Paramètres!$A$1:$I$89,3,0)*VLOOKUP('Données projet'!$B$11,Paramètres!$A$1:$I$89,5,0)</f>
        <v>8.3355189417488869E-14</v>
      </c>
      <c r="BF87" s="14">
        <f t="shared" si="91"/>
        <v>1.2790518435140618E-12</v>
      </c>
      <c r="BG87" s="22">
        <f t="shared" si="61"/>
        <v>2.3728589156891171E-12</v>
      </c>
      <c r="BH87" s="62">
        <f t="shared" si="62"/>
        <v>293.3333333333357</v>
      </c>
      <c r="BI87" s="62">
        <f ca="1">AVERAGE(OFFSET($BH$3,0,0,'Données projet'!$E$11+1,1))-AVERAGE(OFFSET($H$3,0,0,'Données projet'!$E$11+1,1))</f>
        <v>182.06733089745194</v>
      </c>
      <c r="BJ87" s="62">
        <f t="shared" si="92"/>
        <v>320.36755413886021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20.505979718620591</v>
      </c>
      <c r="BQ87" s="23">
        <f>EXP(-LN(2)/25)*BQ86+(1-EXP(-LN(2)/25))/(LN(2)/25)*Calculateur!BL87*Calculateur!BN87*VLOOKUP('Données projet'!$B$11,Paramètres!$A$1:$I$89,3,0)*0.475*44/12</f>
        <v>2.8432596906337144</v>
      </c>
      <c r="BR87" s="23">
        <f>EXP(-LN(2)/2)*BR86+(1-EXP(-LN(2)/2))/(LN(2)/2)*BL87*BO87*VLOOKUP('Données projet'!$B$11,Paramètres!$A$1:$I$89,3,0)*0.475*44/12</f>
        <v>5.5162918277838783E-6</v>
      </c>
      <c r="BS87" s="24">
        <f t="shared" si="63"/>
        <v>23.349244925546135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319.99999999999972</v>
      </c>
      <c r="BZ87" s="14">
        <f>BY87*VLOOKUP('Données projet'!$B$12,Paramètres!$A$1:$I$89,3,0)*VLOOKUP('Données projet'!$B$12,Paramètres!$A$1:$I$89,5,0)</f>
        <v>279.55199999999979</v>
      </c>
      <c r="CA87" s="14">
        <f t="shared" si="93"/>
        <v>66.872324781216591</v>
      </c>
      <c r="CB87" s="22">
        <f t="shared" si="64"/>
        <v>603.35569899395182</v>
      </c>
      <c r="CC87" s="62">
        <f t="shared" si="65"/>
        <v>896.68903232728508</v>
      </c>
      <c r="CD87" s="62">
        <f ca="1">AVERAGE(OFFSET($CC$3,0,0,'Données projet'!$E$12+1,1))-AVERAGE(OFFSET($H$3,0,0,'Données projet'!$E$12+1,1))</f>
        <v>248.60758320902863</v>
      </c>
      <c r="CE87" s="62">
        <f t="shared" si="94"/>
        <v>222.23585883330111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49.992343772203959</v>
      </c>
      <c r="CL87" s="23">
        <f>EXP(-LN(2)/25)*CL86+(1-EXP(-LN(2)/25))/(LN(2)/25)*Calculateur!CG87*Calculateur!CI87*VLOOKUP('Données projet'!$B$12,Paramètres!$A$1:$I$89,3,0)*0.475*44/12</f>
        <v>6.443267663330337</v>
      </c>
      <c r="CM87" s="23">
        <f>EXP(-LN(2)/2)*CM86+(1-EXP(-LN(2)/2))/(LN(2)/2)*CG87*CJ87*VLOOKUP('Données projet'!$B$12,Paramètres!$A$1:$I$89,3,0)*0.475*44/12</f>
        <v>0.46945324860371684</v>
      </c>
      <c r="CN87" s="24">
        <f t="shared" si="66"/>
        <v>56.905064684138011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193.99999999999994</v>
      </c>
      <c r="CU87" s="18">
        <f>CT87*VLOOKUP('Données projet'!$B$13,Paramètres!$A$1:$I$89,3,0)*VLOOKUP('Données projet'!$B$13,Paramètres!$A$1:$I$89,5,0)</f>
        <v>105.92399999999998</v>
      </c>
      <c r="CV87" s="14">
        <f t="shared" si="95"/>
        <v>28.36854701055546</v>
      </c>
      <c r="CW87" s="22">
        <f t="shared" si="67"/>
        <v>233.89285271005073</v>
      </c>
      <c r="CX87" s="62">
        <f t="shared" si="68"/>
        <v>527.22618604338402</v>
      </c>
      <c r="CY87" s="62">
        <f ca="1">AVERAGE(OFFSET($CX$3,0,0,'Données projet'!$E$13+1,1))-AVERAGE(OFFSET($H$3,0,0,'Données projet'!$E$13+1,1))</f>
        <v>135.44138026609272</v>
      </c>
      <c r="CZ87" s="62">
        <f t="shared" si="96"/>
        <v>254.77247578425659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22.67851575886554</v>
      </c>
      <c r="DG87" s="23">
        <f>EXP(-LN(2)/25)*DG86+(1-EXP(-LN(2)/25))/(LN(2)/25)*Calculateur!DB87*Calculateur!DD87*VLOOKUP('Données projet'!$B$13,Paramètres!$A$1:$I$89,3,0)*0.475*44/12</f>
        <v>10.122013767431097</v>
      </c>
      <c r="DH87" s="23">
        <f>EXP(-LN(2)/2)*DH86+(1-EXP(-LN(2)/2))/(LN(2)/2)*DB87*DE87*VLOOKUP('Données projet'!$B$13,Paramètres!$A$1:$I$89,3,0)*0.475*44/12</f>
        <v>6.3368401781882422E-7</v>
      </c>
      <c r="DI87" s="24">
        <f t="shared" si="69"/>
        <v>32.800530159980653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273.00000000000023</v>
      </c>
      <c r="DP87" s="18">
        <f>DO87*VLOOKUP('Données projet'!$B$14,Paramètres!$A$1:$I$89,3,0)*VLOOKUP('Données projet'!$B$14,Paramètres!$A$1:$I$89,5,0)</f>
        <v>264.04560000000021</v>
      </c>
      <c r="DQ87" s="14">
        <f t="shared" si="97"/>
        <v>63.583959929973794</v>
      </c>
      <c r="DR87" s="22">
        <f t="shared" si="70"/>
        <v>570.6214835447048</v>
      </c>
      <c r="DS87" s="62">
        <f t="shared" si="71"/>
        <v>863.95481687803817</v>
      </c>
      <c r="DT87" s="62">
        <f ca="1">AVERAGE(OFFSET($DS$3,0,0,'Données projet'!$E$14+1,1))-AVERAGE(OFFSET($H$3,0,0,'Données projet'!$E$14+1,1))</f>
        <v>271.09447278906288</v>
      </c>
      <c r="DU87" s="62">
        <f t="shared" si="98"/>
        <v>325.1094067861851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25.162830052326488</v>
      </c>
      <c r="EB87" s="23">
        <f>EXP(-LN(2)/25)*EB86+(1-EXP(-LN(2)/25))/(LN(2)/25)*Calculateur!DW87*Calculateur!DY87*VLOOKUP('Données projet'!$B$14,Paramètres!$A$1:$I$89,3,0)*0.475*44/12</f>
        <v>3.7815727980561271</v>
      </c>
      <c r="EC87" s="23">
        <f>EXP(-LN(2)/2)*EC86+(1-EXP(-LN(2)/2))/(LN(2)/2)*DW87*DZ87*VLOOKUP('Données projet'!$B$14,Paramètres!$A$1:$I$89,3,0)*0.475*44/12</f>
        <v>1.4877347342854581E-3</v>
      </c>
      <c r="ED87" s="24">
        <f t="shared" si="72"/>
        <v>28.945890585116903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273.00000000000023</v>
      </c>
      <c r="EK87" s="18">
        <f>EJ87*VLOOKUP('Données projet'!$B$15,Paramètres!$A$1:$I$89,3,0)*VLOOKUP('Données projet'!$B$15,Paramètres!$A$1:$I$89,5,0)</f>
        <v>293.85720000000026</v>
      </c>
      <c r="EL87" s="14">
        <f t="shared" si="99"/>
        <v>69.887150190339895</v>
      </c>
      <c r="EM87" s="22">
        <f t="shared" si="73"/>
        <v>633.52140991484237</v>
      </c>
      <c r="EN87" s="62">
        <f t="shared" si="74"/>
        <v>926.85474324817574</v>
      </c>
      <c r="EO87" s="62">
        <f ca="1">AVERAGE(OFFSET($EN$3,0,0,'Données projet'!$E$15+1,1))-AVERAGE(OFFSET($H$3,0,0,'Données projet'!$E$15+1,1))</f>
        <v>306.50593475734655</v>
      </c>
      <c r="EP87" s="62">
        <f t="shared" si="100"/>
        <v>366.48643801375079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28.003794735653685</v>
      </c>
      <c r="EW87" s="23">
        <f>EXP(-LN(2)/25)*EW86+(1-EXP(-LN(2)/25))/(LN(2)/25)*Calculateur!ER87*Calculateur!ET87*VLOOKUP('Données projet'!$B$15,Paramètres!$A$1:$I$89,3,0)*0.475*44/12</f>
        <v>4.2085245655785926</v>
      </c>
      <c r="EX87" s="23">
        <f>EXP(-LN(2)/2)*EX86+(1-EXP(-LN(2)/2))/(LN(2)/2)*ER87*EU87*VLOOKUP('Données projet'!$B$15,Paramètres!$A$1:$I$89,3,0)*0.475*44/12</f>
        <v>1.6557047849305895E-3</v>
      </c>
      <c r="EY87" s="24">
        <f t="shared" si="75"/>
        <v>32.213975006017208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62.321999999999854</v>
      </c>
      <c r="D88" s="12">
        <f t="shared" si="86"/>
        <v>17.754039836243663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618.13083382363436</v>
      </c>
      <c r="H88" s="70">
        <f t="shared" si="56"/>
        <v>432.79910271479082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326</v>
      </c>
      <c r="L88" s="13">
        <f>VLOOKUP(A88,'Données projet'!$A$35:$I$55,9,0)</f>
        <v>6.8</v>
      </c>
      <c r="M88" s="13">
        <f t="array" ref="M88">INDEX(L:L,MIN(IF(ISNUMBER(L88:L284),ROW(L88:L284),"")))</f>
        <v>6.8</v>
      </c>
      <c r="N88" s="14">
        <f>IF('Données projet'!$A$36&gt;35,N87+M88-V87,IF(A88&lt;'Données projet'!$A$36,$K$205^A88,IF(A88='Données projet'!$A$36,'Données projet'!$B$36,N87+M88-V87)))</f>
        <v>326.00000000000006</v>
      </c>
      <c r="O88" s="14">
        <f>N88*VLOOKUP('Données projet'!$B$9,Paramètres!$A$1:$I$89,3,0)*VLOOKUP('Données projet'!$B$9,Paramètres!$A$1:$I$89,5,0)</f>
        <v>294.96480000000003</v>
      </c>
      <c r="P88" s="14">
        <f t="shared" si="87"/>
        <v>70.119854541045001</v>
      </c>
      <c r="Q88" s="22">
        <f t="shared" si="54"/>
        <v>635.85577332565333</v>
      </c>
      <c r="R88" s="62">
        <f t="shared" si="55"/>
        <v>929.1891066589867</v>
      </c>
      <c r="S88" s="62">
        <f ca="1">AVERAGE(OFFSET($R$3,0,0,'Données projet'!$E$9+1,1))-AVERAGE(OFFSET($H$3,0,0,'Données projet'!$E$9+1,1))</f>
        <v>312.57314929661908</v>
      </c>
      <c r="T88" s="62">
        <f t="shared" si="88"/>
        <v>190.92100876773804</v>
      </c>
      <c r="U88" s="16">
        <f>IF(ISNA(VLOOKUP(A88,'Données projet'!$A$35:$I$55,3,0)),0,VLOOKUP(A88,'Données projet'!$A$35:$I$55,3,0))</f>
        <v>14</v>
      </c>
      <c r="V88" s="16">
        <f>IF(ISNA(VLOOKUP(A88,'Données projet'!$A$35:$I$55,4,0)),0,VLOOKUP(A88,'Données projet'!$A$35:$I$55,4,0))</f>
        <v>28</v>
      </c>
      <c r="W88" s="17">
        <f>IF(ISNA(VLOOKUP(A88,'Données projet'!$A$35:$I$55,5,0)),0%,VLOOKUP(A88,'Données projet'!$A$35:$I$55,5,0)*VLOOKUP('Données projet'!$B$9,Paramètres!$A$1:$I$89,7,0))</f>
        <v>0.34400000000000003</v>
      </c>
      <c r="X88" s="17">
        <f>IF(ISNA(VLOOKUP(A88,'Données projet'!$A$35:$I$55,6,0)),0%,VLOOKUP(A88,'Données projet'!$A$35:$I$55,6,0)*VLOOKUP('Données projet'!$B$9,Paramètres!$A$1:$I$89,7,0))</f>
        <v>1.72E-2</v>
      </c>
      <c r="Y88" s="17">
        <f>IF(ISNA(VLOOKUP(A88,'Données projet'!$A$35:$I$55,7,0)),0%,VLOOKUP(A88,'Données projet'!$A$35:$I$55,7,0))</f>
        <v>0.06</v>
      </c>
      <c r="Z88" s="23">
        <f>EXP(-LN(2)/35)*Z87+(1-EXP(-LN(2)/35))/(LN(2)/35)*V88*W88*VLOOKUP('Données projet'!$B$9,Paramètres!$A$1:$I$89,3,0)*0.475*44/12</f>
        <v>61.74602129594701</v>
      </c>
      <c r="AA88" s="23">
        <f>EXP(-LN(2)/25)*AA87+(1-EXP(-LN(2)/25))/(LN(2)/25)*Calculateur!V88*Calculateur!X88*VLOOKUP('Données projet'!$B$9,Paramètres!$A$1:$I$89,3,0)*0.475*44/12</f>
        <v>3.1576276945852708</v>
      </c>
      <c r="AB88" s="23">
        <f>EXP(-LN(2)/2)*AB87+(1-EXP(-LN(2)/2))/(LN(2)/2)*V88*Y88*VLOOKUP('Données projet'!$B$9,Paramètres!$A$1:$I$89,3,0)*0.475*44/12</f>
        <v>1.7422022851007359</v>
      </c>
      <c r="AC88" s="24">
        <f t="shared" si="57"/>
        <v>66.645851275633007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326</v>
      </c>
      <c r="AG88" s="13">
        <f>VLOOKUP(A88,'Données projet'!$A$61:$I$81,9,0)</f>
        <v>6.8</v>
      </c>
      <c r="AH88" s="13">
        <f t="array" ref="AH88">INDEX(AG:AG,MIN(IF(ISNUMBER(AG88:AG284),ROW(AG88:AG284),"")))</f>
        <v>6.8</v>
      </c>
      <c r="AI88" s="14">
        <f>IF('Données projet'!$A$62&gt;35,AI87+AH88-AQ87,IF(A88&lt;'Données projet'!$A$62,$AF$205^A88,IF(A88='Données projet'!$A$62,'Données projet'!$B$62,AI87+AH88-AQ87)))</f>
        <v>326.00000000000006</v>
      </c>
      <c r="AJ88" s="14">
        <f>AI88*VLOOKUP('Données projet'!$B$10,Paramètres!$A$1:$I$89,3,0)*VLOOKUP('Données projet'!$B$10,Paramètres!$A$1:$I$89,5,0)</f>
        <v>330.56400000000008</v>
      </c>
      <c r="AK88" s="14">
        <f t="shared" si="89"/>
        <v>77.547227137682853</v>
      </c>
      <c r="AL88" s="22">
        <f t="shared" si="58"/>
        <v>710.79372059813113</v>
      </c>
      <c r="AM88" s="62">
        <f t="shared" si="59"/>
        <v>1004.1270539314644</v>
      </c>
      <c r="AN88" s="62">
        <f ca="1">AVERAGE(OFFSET($AM$3,0,0,'Données projet'!$E$10+1,1))-AVERAGE(OFFSET($H$3,0,0,'Données projet'!$E$10+1,1))</f>
        <v>360.56293184044779</v>
      </c>
      <c r="AO88" s="62">
        <f t="shared" si="90"/>
        <v>219.32252911220542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28</v>
      </c>
      <c r="AR88" s="17">
        <f>IF(ISNA(VLOOKUP(A88,'Données projet'!$A$61:$I$81,5,0)),0%,VLOOKUP(A88,'Données projet'!$A$61:$I$81,5,0)*VLOOKUP('Données projet'!$B$10,Paramètres!$A$1:$I$89,7,0))</f>
        <v>0.34400000000000003</v>
      </c>
      <c r="AS88" s="17">
        <f>IF(ISNA(VLOOKUP(A88,'Données projet'!$A$61:$I$81,6,0)),0%,VLOOKUP(A88,'Données projet'!$A$61:$I$81,6,0)*VLOOKUP('Données projet'!$B$10,Paramètres!$A$1:$I$89,7,0))</f>
        <v>1.72E-2</v>
      </c>
      <c r="AT88" s="17">
        <f>IF(ISNA(VLOOKUP(A88,'Données projet'!$A$61:$I$81,7,0)),0%,VLOOKUP(A88,'Données projet'!$A$61:$I$81,7,0))</f>
        <v>0.06</v>
      </c>
      <c r="AU88" s="23">
        <f>EXP(-LN(2)/35)*AU87+(1-EXP(-LN(2)/35))/(LN(2)/35)*AQ88*AR88*VLOOKUP('Données projet'!$B$10,Paramètres!$A$1:$I$89,3,0)*0.475*44/12</f>
        <v>69.198127314423374</v>
      </c>
      <c r="AV88" s="23">
        <f>EXP(-LN(2)/25)*AV87+(1-EXP(-LN(2)/25))/(LN(2)/25)*Calculateur!AQ88*Calculateur!AS88*VLOOKUP('Données projet'!$B$10,Paramètres!$A$1:$I$89,3,0)*0.475*44/12</f>
        <v>3.5387206922076335</v>
      </c>
      <c r="AW88" s="23">
        <f>EXP(-LN(2)/2)*AW87+(1-EXP(-LN(2)/2))/(LN(2)/2)*AQ88*AT88*VLOOKUP('Données projet'!$B$10,Paramètres!$A$1:$I$89,3,0)*0.475*44/12</f>
        <v>1.9524680781301353</v>
      </c>
      <c r="AX88" s="23">
        <f t="shared" si="60"/>
        <v>74.689316084761145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1.1368683772161603E-13</v>
      </c>
      <c r="BE88" s="14">
        <f>BD88*VLOOKUP('Données projet'!$B$11,Paramètres!$A$1:$I$89,3,0)*VLOOKUP('Données projet'!$B$11,Paramètres!$A$1:$I$89,5,0)</f>
        <v>8.3355189417488869E-14</v>
      </c>
      <c r="BF88" s="14">
        <f t="shared" si="91"/>
        <v>1.2790518435140618E-12</v>
      </c>
      <c r="BG88" s="22">
        <f t="shared" si="61"/>
        <v>2.3728589156891171E-12</v>
      </c>
      <c r="BH88" s="62">
        <f t="shared" si="62"/>
        <v>293.3333333333357</v>
      </c>
      <c r="BI88" s="62">
        <f ca="1">AVERAGE(OFFSET($BH$3,0,0,'Données projet'!$E$11+1,1))-AVERAGE(OFFSET($H$3,0,0,'Données projet'!$E$11+1,1))</f>
        <v>182.06733089745194</v>
      </c>
      <c r="BJ88" s="62">
        <f t="shared" si="92"/>
        <v>320.36755413886021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20.103869963751066</v>
      </c>
      <c r="BQ88" s="23">
        <f>EXP(-LN(2)/25)*BQ87+(1-EXP(-LN(2)/25))/(LN(2)/25)*Calculateur!BL88*Calculateur!BN88*VLOOKUP('Données projet'!$B$11,Paramètres!$A$1:$I$89,3,0)*0.475*44/12</f>
        <v>2.7655106048728069</v>
      </c>
      <c r="BR88" s="23">
        <f>EXP(-LN(2)/2)*BR87+(1-EXP(-LN(2)/2))/(LN(2)/2)*BL88*BO88*VLOOKUP('Données projet'!$B$11,Paramètres!$A$1:$I$89,3,0)*0.475*44/12</f>
        <v>3.9006073584299152E-6</v>
      </c>
      <c r="BS88" s="24">
        <f t="shared" si="63"/>
        <v>22.869384469231232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319.99999999999972</v>
      </c>
      <c r="BZ88" s="14">
        <f>BY88*VLOOKUP('Données projet'!$B$12,Paramètres!$A$1:$I$89,3,0)*VLOOKUP('Données projet'!$B$12,Paramètres!$A$1:$I$89,5,0)</f>
        <v>279.55199999999979</v>
      </c>
      <c r="CA88" s="14">
        <f t="shared" si="93"/>
        <v>66.872324781216591</v>
      </c>
      <c r="CB88" s="22">
        <f t="shared" si="64"/>
        <v>603.35569899395182</v>
      </c>
      <c r="CC88" s="62">
        <f t="shared" si="65"/>
        <v>896.68903232728508</v>
      </c>
      <c r="CD88" s="62">
        <f ca="1">AVERAGE(OFFSET($CC$3,0,0,'Données projet'!$E$12+1,1))-AVERAGE(OFFSET($H$3,0,0,'Données projet'!$E$12+1,1))</f>
        <v>248.60758320902863</v>
      </c>
      <c r="CE88" s="62">
        <f t="shared" si="94"/>
        <v>222.23585883330111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49.012024403149873</v>
      </c>
      <c r="CL88" s="23">
        <f>EXP(-LN(2)/25)*CL87+(1-EXP(-LN(2)/25))/(LN(2)/25)*Calculateur!CG88*Calculateur!CI88*VLOOKUP('Données projet'!$B$12,Paramètres!$A$1:$I$89,3,0)*0.475*44/12</f>
        <v>6.2670761702398492</v>
      </c>
      <c r="CM88" s="23">
        <f>EXP(-LN(2)/2)*CM87+(1-EXP(-LN(2)/2))/(LN(2)/2)*CG88*CJ88*VLOOKUP('Données projet'!$B$12,Paramètres!$A$1:$I$89,3,0)*0.475*44/12</f>
        <v>0.33195357553774235</v>
      </c>
      <c r="CN88" s="24">
        <f t="shared" si="66"/>
        <v>55.611054148927465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193.99999999999994</v>
      </c>
      <c r="CU88" s="18">
        <f>CT88*VLOOKUP('Données projet'!$B$13,Paramètres!$A$1:$I$89,3,0)*VLOOKUP('Données projet'!$B$13,Paramètres!$A$1:$I$89,5,0)</f>
        <v>105.92399999999998</v>
      </c>
      <c r="CV88" s="14">
        <f t="shared" si="95"/>
        <v>28.36854701055546</v>
      </c>
      <c r="CW88" s="22">
        <f t="shared" si="67"/>
        <v>233.89285271005073</v>
      </c>
      <c r="CX88" s="62">
        <f t="shared" si="68"/>
        <v>527.22618604338402</v>
      </c>
      <c r="CY88" s="62">
        <f ca="1">AVERAGE(OFFSET($CX$3,0,0,'Données projet'!$E$13+1,1))-AVERAGE(OFFSET($H$3,0,0,'Données projet'!$E$13+1,1))</f>
        <v>135.44138026609272</v>
      </c>
      <c r="CZ88" s="62">
        <f t="shared" si="96"/>
        <v>254.77247578425659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22.23380389736295</v>
      </c>
      <c r="DG88" s="23">
        <f>EXP(-LN(2)/25)*DG87+(1-EXP(-LN(2)/25))/(LN(2)/25)*Calculateur!DB88*Calculateur!DD88*VLOOKUP('Données projet'!$B$13,Paramètres!$A$1:$I$89,3,0)*0.475*44/12</f>
        <v>9.8452267686671249</v>
      </c>
      <c r="DH88" s="23">
        <f>EXP(-LN(2)/2)*DH87+(1-EXP(-LN(2)/2))/(LN(2)/2)*DB88*DE88*VLOOKUP('Données projet'!$B$13,Paramètres!$A$1:$I$89,3,0)*0.475*44/12</f>
        <v>4.4808226612922762E-7</v>
      </c>
      <c r="DI88" s="24">
        <f t="shared" si="69"/>
        <v>32.079031114112347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273.00000000000023</v>
      </c>
      <c r="DP88" s="18">
        <f>DO88*VLOOKUP('Données projet'!$B$14,Paramètres!$A$1:$I$89,3,0)*VLOOKUP('Données projet'!$B$14,Paramètres!$A$1:$I$89,5,0)</f>
        <v>264.04560000000021</v>
      </c>
      <c r="DQ88" s="14">
        <f t="shared" si="97"/>
        <v>63.583959929973794</v>
      </c>
      <c r="DR88" s="22">
        <f t="shared" si="70"/>
        <v>570.6214835447048</v>
      </c>
      <c r="DS88" s="62">
        <f t="shared" si="71"/>
        <v>863.95481687803817</v>
      </c>
      <c r="DT88" s="62">
        <f ca="1">AVERAGE(OFFSET($DS$3,0,0,'Données projet'!$E$14+1,1))-AVERAGE(OFFSET($H$3,0,0,'Données projet'!$E$14+1,1))</f>
        <v>271.09447278906288</v>
      </c>
      <c r="DU88" s="62">
        <f t="shared" si="98"/>
        <v>325.1094067861851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24.669402302811228</v>
      </c>
      <c r="EB88" s="23">
        <f>EXP(-LN(2)/25)*EB87+(1-EXP(-LN(2)/25))/(LN(2)/25)*Calculateur!DW88*Calculateur!DY88*VLOOKUP('Données projet'!$B$14,Paramètres!$A$1:$I$89,3,0)*0.475*44/12</f>
        <v>3.6781654910290116</v>
      </c>
      <c r="EC88" s="23">
        <f>EXP(-LN(2)/2)*EC87+(1-EXP(-LN(2)/2))/(LN(2)/2)*DW88*DZ88*VLOOKUP('Données projet'!$B$14,Paramètres!$A$1:$I$89,3,0)*0.475*44/12</f>
        <v>1.0519873192200138E-3</v>
      </c>
      <c r="ED88" s="24">
        <f t="shared" si="72"/>
        <v>28.34861978115946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273.00000000000023</v>
      </c>
      <c r="EK88" s="18">
        <f>EJ88*VLOOKUP('Données projet'!$B$15,Paramètres!$A$1:$I$89,3,0)*VLOOKUP('Données projet'!$B$15,Paramètres!$A$1:$I$89,5,0)</f>
        <v>293.85720000000026</v>
      </c>
      <c r="EL88" s="14">
        <f t="shared" si="99"/>
        <v>69.887150190339895</v>
      </c>
      <c r="EM88" s="22">
        <f t="shared" si="73"/>
        <v>633.52140991484237</v>
      </c>
      <c r="EN88" s="62">
        <f t="shared" si="74"/>
        <v>926.85474324817574</v>
      </c>
      <c r="EO88" s="62">
        <f ca="1">AVERAGE(OFFSET($EN$3,0,0,'Données projet'!$E$15+1,1))-AVERAGE(OFFSET($H$3,0,0,'Données projet'!$E$15+1,1))</f>
        <v>306.50593475734655</v>
      </c>
      <c r="EP88" s="62">
        <f t="shared" si="100"/>
        <v>366.48643801375079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27.454657401515732</v>
      </c>
      <c r="EW88" s="23">
        <f>EXP(-LN(2)/25)*EW87+(1-EXP(-LN(2)/25))/(LN(2)/25)*Calculateur!ER88*Calculateur!ET88*VLOOKUP('Données projet'!$B$15,Paramètres!$A$1:$I$89,3,0)*0.475*44/12</f>
        <v>4.0934422400161576</v>
      </c>
      <c r="EX88" s="23">
        <f>EXP(-LN(2)/2)*EX87+(1-EXP(-LN(2)/2))/(LN(2)/2)*ER88*EU88*VLOOKUP('Données projet'!$B$15,Paramètres!$A$1:$I$89,3,0)*0.475*44/12</f>
        <v>1.1707600810674341E-3</v>
      </c>
      <c r="EY88" s="24">
        <f t="shared" si="75"/>
        <v>31.549270401612958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63.05519999999985</v>
      </c>
      <c r="D89" s="12">
        <f t="shared" si="86"/>
        <v>17.93847248367711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625.21431390908526</v>
      </c>
      <c r="H89" s="70">
        <f t="shared" si="56"/>
        <v>434.39731290907071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6.4</v>
      </c>
      <c r="N89" s="14">
        <f>IF('Données projet'!$A$36&gt;35,N88+M89-V88,IF(A89&lt;'Données projet'!$A$36,$K$205^A89,IF(A89='Données projet'!$A$36,'Données projet'!$B$36,N88+M89-V88)))</f>
        <v>304.40000000000003</v>
      </c>
      <c r="O89" s="14">
        <f>N89*VLOOKUP('Données projet'!$B$9,Paramètres!$A$1:$I$89,3,0)*VLOOKUP('Données projet'!$B$9,Paramètres!$A$1:$I$89,5,0)</f>
        <v>275.42112000000003</v>
      </c>
      <c r="P89" s="14">
        <f t="shared" si="87"/>
        <v>65.998433293601067</v>
      </c>
      <c r="Q89" s="22">
        <f t="shared" si="54"/>
        <v>594.63905531968851</v>
      </c>
      <c r="R89" s="62">
        <f t="shared" si="55"/>
        <v>887.97238865302188</v>
      </c>
      <c r="S89" s="62">
        <f ca="1">AVERAGE(OFFSET($R$3,0,0,'Données projet'!$E$9+1,1))-AVERAGE(OFFSET($H$3,0,0,'Données projet'!$E$9+1,1))</f>
        <v>312.57314929661908</v>
      </c>
      <c r="T89" s="62">
        <f t="shared" si="88"/>
        <v>190.92100876773804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60.535219479687733</v>
      </c>
      <c r="AA89" s="23">
        <f>EXP(-LN(2)/25)*AA88+(1-EXP(-LN(2)/25))/(LN(2)/25)*Calculateur!V89*Calculateur!X89*VLOOKUP('Données projet'!$B$9,Paramètres!$A$1:$I$89,3,0)*0.475*44/12</f>
        <v>3.071282199224413</v>
      </c>
      <c r="AB89" s="23">
        <f>EXP(-LN(2)/2)*AB88+(1-EXP(-LN(2)/2))/(LN(2)/2)*V89*Y89*VLOOKUP('Données projet'!$B$9,Paramètres!$A$1:$I$89,3,0)*0.475*44/12</f>
        <v>1.2319230499934293</v>
      </c>
      <c r="AC89" s="24">
        <f t="shared" si="57"/>
        <v>64.838424728905579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6.4</v>
      </c>
      <c r="AI89" s="14">
        <f>IF('Données projet'!$A$62&gt;35,AI88+AH89-AQ88,IF(A89&lt;'Données projet'!$A$62,$AF$205^A89,IF(A89='Données projet'!$A$62,'Données projet'!$B$62,AI88+AH89-AQ88)))</f>
        <v>304.40000000000003</v>
      </c>
      <c r="AJ89" s="14">
        <f>AI89*VLOOKUP('Données projet'!$B$10,Paramètres!$A$1:$I$89,3,0)*VLOOKUP('Données projet'!$B$10,Paramètres!$A$1:$I$89,5,0)</f>
        <v>308.66160000000008</v>
      </c>
      <c r="AK89" s="14">
        <f t="shared" si="89"/>
        <v>72.98924863505313</v>
      </c>
      <c r="AL89" s="22">
        <f t="shared" si="58"/>
        <v>664.70856137271755</v>
      </c>
      <c r="AM89" s="62">
        <f t="shared" si="59"/>
        <v>958.04189470605093</v>
      </c>
      <c r="AN89" s="62">
        <f ca="1">AVERAGE(OFFSET($AM$3,0,0,'Données projet'!$E$10+1,1))-AVERAGE(OFFSET($H$3,0,0,'Données projet'!$E$10+1,1))</f>
        <v>360.56293184044779</v>
      </c>
      <c r="AO89" s="62">
        <f t="shared" si="90"/>
        <v>219.32252911220542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67.841194244477634</v>
      </c>
      <c r="AV89" s="23">
        <f>EXP(-LN(2)/25)*AV88+(1-EXP(-LN(2)/25))/(LN(2)/25)*Calculateur!AQ89*Calculateur!AS89*VLOOKUP('Données projet'!$B$10,Paramètres!$A$1:$I$89,3,0)*0.475*44/12</f>
        <v>3.4419541887859824</v>
      </c>
      <c r="AW89" s="23">
        <f>EXP(-LN(2)/2)*AW88+(1-EXP(-LN(2)/2))/(LN(2)/2)*AQ89*AT89*VLOOKUP('Données projet'!$B$10,Paramètres!$A$1:$I$89,3,0)*0.475*44/12</f>
        <v>1.3806034180960847</v>
      </c>
      <c r="AX89" s="23">
        <f t="shared" si="60"/>
        <v>72.663751851359706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1.1368683772161603E-13</v>
      </c>
      <c r="BE89" s="14">
        <f>BD89*VLOOKUP('Données projet'!$B$11,Paramètres!$A$1:$I$89,3,0)*VLOOKUP('Données projet'!$B$11,Paramètres!$A$1:$I$89,5,0)</f>
        <v>8.3355189417488869E-14</v>
      </c>
      <c r="BF89" s="14">
        <f t="shared" si="91"/>
        <v>1.2790518435140618E-12</v>
      </c>
      <c r="BG89" s="22">
        <f t="shared" si="61"/>
        <v>2.3728589156891171E-12</v>
      </c>
      <c r="BH89" s="62">
        <f t="shared" si="62"/>
        <v>293.3333333333357</v>
      </c>
      <c r="BI89" s="62">
        <f ca="1">AVERAGE(OFFSET($BH$3,0,0,'Données projet'!$E$11+1,1))-AVERAGE(OFFSET($H$3,0,0,'Données projet'!$E$11+1,1))</f>
        <v>182.06733089745194</v>
      </c>
      <c r="BJ89" s="62">
        <f t="shared" si="92"/>
        <v>320.36755413886021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19.709645335911798</v>
      </c>
      <c r="BQ89" s="23">
        <f>EXP(-LN(2)/25)*BQ88+(1-EXP(-LN(2)/25))/(LN(2)/25)*Calculateur!BL89*Calculateur!BN89*VLOOKUP('Données projet'!$B$11,Paramètres!$A$1:$I$89,3,0)*0.475*44/12</f>
        <v>2.6898875719506781</v>
      </c>
      <c r="BR89" s="23">
        <f>EXP(-LN(2)/2)*BR88+(1-EXP(-LN(2)/2))/(LN(2)/2)*BL89*BO89*VLOOKUP('Données projet'!$B$11,Paramètres!$A$1:$I$89,3,0)*0.475*44/12</f>
        <v>2.7581459138919391E-6</v>
      </c>
      <c r="BS89" s="24">
        <f t="shared" si="63"/>
        <v>22.39953566600839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319.99999999999972</v>
      </c>
      <c r="BZ89" s="14">
        <f>BY89*VLOOKUP('Données projet'!$B$12,Paramètres!$A$1:$I$89,3,0)*VLOOKUP('Données projet'!$B$12,Paramètres!$A$1:$I$89,5,0)</f>
        <v>279.55199999999979</v>
      </c>
      <c r="CA89" s="14">
        <f t="shared" si="93"/>
        <v>66.872324781216591</v>
      </c>
      <c r="CB89" s="22">
        <f t="shared" si="64"/>
        <v>603.35569899395182</v>
      </c>
      <c r="CC89" s="62">
        <f t="shared" si="65"/>
        <v>896.68903232728508</v>
      </c>
      <c r="CD89" s="62">
        <f ca="1">AVERAGE(OFFSET($CC$3,0,0,'Données projet'!$E$12+1,1))-AVERAGE(OFFSET($H$3,0,0,'Données projet'!$E$12+1,1))</f>
        <v>248.60758320902863</v>
      </c>
      <c r="CE89" s="62">
        <f t="shared" si="94"/>
        <v>222.23585883330111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48.050928498987162</v>
      </c>
      <c r="CL89" s="23">
        <f>EXP(-LN(2)/25)*CL88+(1-EXP(-LN(2)/25))/(LN(2)/25)*Calculateur!CG89*Calculateur!CI89*VLOOKUP('Données projet'!$B$12,Paramètres!$A$1:$I$89,3,0)*0.475*44/12</f>
        <v>6.0957026427934284</v>
      </c>
      <c r="CM89" s="23">
        <f>EXP(-LN(2)/2)*CM88+(1-EXP(-LN(2)/2))/(LN(2)/2)*CG89*CJ89*VLOOKUP('Données projet'!$B$12,Paramètres!$A$1:$I$89,3,0)*0.475*44/12</f>
        <v>0.23472662430185848</v>
      </c>
      <c r="CN89" s="24">
        <f t="shared" si="66"/>
        <v>54.381357766082445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193.99999999999994</v>
      </c>
      <c r="CU89" s="18">
        <f>CT89*VLOOKUP('Données projet'!$B$13,Paramètres!$A$1:$I$89,3,0)*VLOOKUP('Données projet'!$B$13,Paramètres!$A$1:$I$89,5,0)</f>
        <v>105.92399999999998</v>
      </c>
      <c r="CV89" s="14">
        <f t="shared" si="95"/>
        <v>28.36854701055546</v>
      </c>
      <c r="CW89" s="22">
        <f t="shared" si="67"/>
        <v>233.89285271005073</v>
      </c>
      <c r="CX89" s="62">
        <f t="shared" si="68"/>
        <v>527.22618604338402</v>
      </c>
      <c r="CY89" s="62">
        <f ca="1">AVERAGE(OFFSET($CX$3,0,0,'Données projet'!$E$13+1,1))-AVERAGE(OFFSET($H$3,0,0,'Données projet'!$E$13+1,1))</f>
        <v>135.44138026609272</v>
      </c>
      <c r="CZ89" s="62">
        <f t="shared" si="96"/>
        <v>254.77247578425659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21.797812564216976</v>
      </c>
      <c r="DG89" s="23">
        <f>EXP(-LN(2)/25)*DG88+(1-EXP(-LN(2)/25))/(LN(2)/25)*Calculateur!DB89*Calculateur!DD89*VLOOKUP('Données projet'!$B$13,Paramètres!$A$1:$I$89,3,0)*0.475*44/12</f>
        <v>9.5760085249399474</v>
      </c>
      <c r="DH89" s="23">
        <f>EXP(-LN(2)/2)*DH88+(1-EXP(-LN(2)/2))/(LN(2)/2)*DB89*DE89*VLOOKUP('Données projet'!$B$13,Paramètres!$A$1:$I$89,3,0)*0.475*44/12</f>
        <v>3.1684200890941211E-7</v>
      </c>
      <c r="DI89" s="24">
        <f t="shared" si="69"/>
        <v>31.373821405998932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273.00000000000023</v>
      </c>
      <c r="DP89" s="18">
        <f>DO89*VLOOKUP('Données projet'!$B$14,Paramètres!$A$1:$I$89,3,0)*VLOOKUP('Données projet'!$B$14,Paramètres!$A$1:$I$89,5,0)</f>
        <v>264.04560000000021</v>
      </c>
      <c r="DQ89" s="14">
        <f t="shared" si="97"/>
        <v>63.583959929973794</v>
      </c>
      <c r="DR89" s="22">
        <f t="shared" si="70"/>
        <v>570.6214835447048</v>
      </c>
      <c r="DS89" s="62">
        <f t="shared" si="71"/>
        <v>863.95481687803817</v>
      </c>
      <c r="DT89" s="62">
        <f ca="1">AVERAGE(OFFSET($DS$3,0,0,'Données projet'!$E$14+1,1))-AVERAGE(OFFSET($H$3,0,0,'Données projet'!$E$14+1,1))</f>
        <v>271.09447278906288</v>
      </c>
      <c r="DU89" s="62">
        <f t="shared" si="98"/>
        <v>325.1094067861851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24.185650370502753</v>
      </c>
      <c r="EB89" s="23">
        <f>EXP(-LN(2)/25)*EB88+(1-EXP(-LN(2)/25))/(LN(2)/25)*Calculateur!DW89*Calculateur!DY89*VLOOKUP('Données projet'!$B$14,Paramètres!$A$1:$I$89,3,0)*0.475*44/12</f>
        <v>3.5775858622505066</v>
      </c>
      <c r="EC89" s="23">
        <f>EXP(-LN(2)/2)*EC88+(1-EXP(-LN(2)/2))/(LN(2)/2)*DW89*DZ89*VLOOKUP('Données projet'!$B$14,Paramètres!$A$1:$I$89,3,0)*0.475*44/12</f>
        <v>7.4386736714272903E-4</v>
      </c>
      <c r="ED89" s="24">
        <f t="shared" si="72"/>
        <v>27.763980100120399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273.00000000000023</v>
      </c>
      <c r="EK89" s="18">
        <f>EJ89*VLOOKUP('Données projet'!$B$15,Paramètres!$A$1:$I$89,3,0)*VLOOKUP('Données projet'!$B$15,Paramètres!$A$1:$I$89,5,0)</f>
        <v>293.85720000000026</v>
      </c>
      <c r="EL89" s="14">
        <f t="shared" si="99"/>
        <v>69.887150190339895</v>
      </c>
      <c r="EM89" s="22">
        <f t="shared" si="73"/>
        <v>633.52140991484237</v>
      </c>
      <c r="EN89" s="62">
        <f t="shared" si="74"/>
        <v>926.85474324817574</v>
      </c>
      <c r="EO89" s="62">
        <f ca="1">AVERAGE(OFFSET($EN$3,0,0,'Données projet'!$E$15+1,1))-AVERAGE(OFFSET($H$3,0,0,'Données projet'!$E$15+1,1))</f>
        <v>306.50593475734655</v>
      </c>
      <c r="EP89" s="62">
        <f t="shared" si="100"/>
        <v>366.48643801375079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26.916288315559523</v>
      </c>
      <c r="EW89" s="23">
        <f>EXP(-LN(2)/25)*EW88+(1-EXP(-LN(2)/25))/(LN(2)/25)*Calculateur!ER89*Calculateur!ET89*VLOOKUP('Données projet'!$B$15,Paramètres!$A$1:$I$89,3,0)*0.475*44/12</f>
        <v>3.981506846698144</v>
      </c>
      <c r="EX89" s="23">
        <f>EXP(-LN(2)/2)*EX88+(1-EXP(-LN(2)/2))/(LN(2)/2)*ER89*EU89*VLOOKUP('Données projet'!$B$15,Paramètres!$A$1:$I$89,3,0)*0.475*44/12</f>
        <v>8.2785239246529476E-4</v>
      </c>
      <c r="EY89" s="24">
        <f t="shared" si="75"/>
        <v>30.898623014650131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63.788399999999847</v>
      </c>
      <c r="D90" s="12">
        <f t="shared" si="86"/>
        <v>18.122655666579583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632.29586830342021</v>
      </c>
      <c r="H90" s="70">
        <f t="shared" si="56"/>
        <v>435.99508861929246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6.4</v>
      </c>
      <c r="N90" s="14">
        <f>IF('Données projet'!$A$36&gt;35,N89+M90-V89,IF(A90&lt;'Données projet'!$A$36,$K$205^A90,IF(A90='Données projet'!$A$36,'Données projet'!$B$36,N89+M90-V89)))</f>
        <v>310.8</v>
      </c>
      <c r="O90" s="14">
        <f>N90*VLOOKUP('Données projet'!$B$9,Paramètres!$A$1:$I$89,3,0)*VLOOKUP('Données projet'!$B$9,Paramètres!$A$1:$I$89,5,0)</f>
        <v>281.21184</v>
      </c>
      <c r="P90" s="14">
        <f t="shared" si="87"/>
        <v>67.22304110496664</v>
      </c>
      <c r="Q90" s="22">
        <f t="shared" si="54"/>
        <v>606.85741792448357</v>
      </c>
      <c r="R90" s="62">
        <f t="shared" si="55"/>
        <v>900.19075125781683</v>
      </c>
      <c r="S90" s="62">
        <f ca="1">AVERAGE(OFFSET($R$3,0,0,'Données projet'!$E$9+1,1))-AVERAGE(OFFSET($H$3,0,0,'Données projet'!$E$9+1,1))</f>
        <v>312.57314929661908</v>
      </c>
      <c r="T90" s="62">
        <f t="shared" si="88"/>
        <v>190.92100876773804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59.348160748529111</v>
      </c>
      <c r="AA90" s="23">
        <f>EXP(-LN(2)/25)*AA89+(1-EXP(-LN(2)/25))/(LN(2)/25)*Calculateur!V90*Calculateur!X90*VLOOKUP('Données projet'!$B$9,Paramètres!$A$1:$I$89,3,0)*0.475*44/12</f>
        <v>2.9872978259749101</v>
      </c>
      <c r="AB90" s="23">
        <f>EXP(-LN(2)/2)*AB89+(1-EXP(-LN(2)/2))/(LN(2)/2)*V90*Y90*VLOOKUP('Données projet'!$B$9,Paramètres!$A$1:$I$89,3,0)*0.475*44/12</f>
        <v>0.87110114255036808</v>
      </c>
      <c r="AC90" s="24">
        <f t="shared" si="57"/>
        <v>63.20655971705439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6.4</v>
      </c>
      <c r="AI90" s="14">
        <f>IF('Données projet'!$A$62&gt;35,AI89+AH90-AQ89,IF(A90&lt;'Données projet'!$A$62,$AF$205^A90,IF(A90='Données projet'!$A$62,'Données projet'!$B$62,AI89+AH90-AQ89)))</f>
        <v>310.8</v>
      </c>
      <c r="AJ90" s="14">
        <f>AI90*VLOOKUP('Données projet'!$B$10,Paramètres!$A$1:$I$89,3,0)*VLOOKUP('Données projet'!$B$10,Paramètres!$A$1:$I$89,5,0)</f>
        <v>315.15120000000002</v>
      </c>
      <c r="AK90" s="14">
        <f t="shared" si="89"/>
        <v>74.343571754005879</v>
      </c>
      <c r="AL90" s="22">
        <f t="shared" si="58"/>
        <v>678.37006080489357</v>
      </c>
      <c r="AM90" s="62">
        <f t="shared" si="59"/>
        <v>971.70339413822694</v>
      </c>
      <c r="AN90" s="62">
        <f ca="1">AVERAGE(OFFSET($AM$3,0,0,'Données projet'!$E$10+1,1))-AVERAGE(OFFSET($H$3,0,0,'Données projet'!$E$10+1,1))</f>
        <v>360.56293184044779</v>
      </c>
      <c r="AO90" s="62">
        <f t="shared" si="90"/>
        <v>219.32252911220542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66.510869804386076</v>
      </c>
      <c r="AV90" s="23">
        <f>EXP(-LN(2)/25)*AV89+(1-EXP(-LN(2)/25))/(LN(2)/25)*Calculateur!AQ90*Calculateur!AS90*VLOOKUP('Données projet'!$B$10,Paramètres!$A$1:$I$89,3,0)*0.475*44/12</f>
        <v>3.3478337704891254</v>
      </c>
      <c r="AW90" s="23">
        <f>EXP(-LN(2)/2)*AW89+(1-EXP(-LN(2)/2))/(LN(2)/2)*AQ90*AT90*VLOOKUP('Données projet'!$B$10,Paramètres!$A$1:$I$89,3,0)*0.475*44/12</f>
        <v>0.97623403906506778</v>
      </c>
      <c r="AX90" s="23">
        <f t="shared" si="60"/>
        <v>70.834937613940269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1.1368683772161603E-13</v>
      </c>
      <c r="BE90" s="14">
        <f>BD90*VLOOKUP('Données projet'!$B$11,Paramètres!$A$1:$I$89,3,0)*VLOOKUP('Données projet'!$B$11,Paramètres!$A$1:$I$89,5,0)</f>
        <v>8.3355189417488869E-14</v>
      </c>
      <c r="BF90" s="14">
        <f t="shared" si="91"/>
        <v>1.2790518435140618E-12</v>
      </c>
      <c r="BG90" s="22">
        <f t="shared" si="61"/>
        <v>2.3728589156891171E-12</v>
      </c>
      <c r="BH90" s="62">
        <f t="shared" si="62"/>
        <v>293.3333333333357</v>
      </c>
      <c r="BI90" s="62">
        <f ca="1">AVERAGE(OFFSET($BH$3,0,0,'Données projet'!$E$11+1,1))-AVERAGE(OFFSET($H$3,0,0,'Données projet'!$E$11+1,1))</f>
        <v>182.06733089745194</v>
      </c>
      <c r="BJ90" s="62">
        <f t="shared" si="92"/>
        <v>320.36755413886021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19.32315121257118</v>
      </c>
      <c r="BQ90" s="23">
        <f>EXP(-LN(2)/25)*BQ89+(1-EXP(-LN(2)/25))/(LN(2)/25)*Calculateur!BL90*Calculateur!BN90*VLOOKUP('Données projet'!$B$11,Paramètres!$A$1:$I$89,3,0)*0.475*44/12</f>
        <v>2.6163324548406472</v>
      </c>
      <c r="BR90" s="23">
        <f>EXP(-LN(2)/2)*BR89+(1-EXP(-LN(2)/2))/(LN(2)/2)*BL90*BO90*VLOOKUP('Données projet'!$B$11,Paramètres!$A$1:$I$89,3,0)*0.475*44/12</f>
        <v>1.9503036792149576E-6</v>
      </c>
      <c r="BS90" s="24">
        <f t="shared" si="63"/>
        <v>21.939485617715508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319.99999999999972</v>
      </c>
      <c r="BZ90" s="14">
        <f>BY90*VLOOKUP('Données projet'!$B$12,Paramètres!$A$1:$I$89,3,0)*VLOOKUP('Données projet'!$B$12,Paramètres!$A$1:$I$89,5,0)</f>
        <v>279.55199999999979</v>
      </c>
      <c r="CA90" s="14">
        <f t="shared" si="93"/>
        <v>66.872324781216591</v>
      </c>
      <c r="CB90" s="22">
        <f t="shared" si="64"/>
        <v>603.35569899395182</v>
      </c>
      <c r="CC90" s="62">
        <f t="shared" si="65"/>
        <v>896.68903232728508</v>
      </c>
      <c r="CD90" s="62">
        <f ca="1">AVERAGE(OFFSET($CC$3,0,0,'Données projet'!$E$12+1,1))-AVERAGE(OFFSET($H$3,0,0,'Données projet'!$E$12+1,1))</f>
        <v>248.60758320902863</v>
      </c>
      <c r="CE90" s="62">
        <f t="shared" si="94"/>
        <v>222.23585883330111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47.108679099294463</v>
      </c>
      <c r="CL90" s="23">
        <f>EXP(-LN(2)/25)*CL89+(1-EXP(-LN(2)/25))/(LN(2)/25)*Calculateur!CG90*Calculateur!CI90*VLOOKUP('Données projet'!$B$12,Paramètres!$A$1:$I$89,3,0)*0.475*44/12</f>
        <v>5.9290153334671718</v>
      </c>
      <c r="CM90" s="23">
        <f>EXP(-LN(2)/2)*CM89+(1-EXP(-LN(2)/2))/(LN(2)/2)*CG90*CJ90*VLOOKUP('Données projet'!$B$12,Paramètres!$A$1:$I$89,3,0)*0.475*44/12</f>
        <v>0.1659767877688712</v>
      </c>
      <c r="CN90" s="24">
        <f t="shared" si="66"/>
        <v>53.203671220530502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193.99999999999994</v>
      </c>
      <c r="CU90" s="18">
        <f>CT90*VLOOKUP('Données projet'!$B$13,Paramètres!$A$1:$I$89,3,0)*VLOOKUP('Données projet'!$B$13,Paramètres!$A$1:$I$89,5,0)</f>
        <v>105.92399999999998</v>
      </c>
      <c r="CV90" s="14">
        <f t="shared" si="95"/>
        <v>28.36854701055546</v>
      </c>
      <c r="CW90" s="22">
        <f t="shared" si="67"/>
        <v>233.89285271005073</v>
      </c>
      <c r="CX90" s="62">
        <f t="shared" si="68"/>
        <v>527.22618604338402</v>
      </c>
      <c r="CY90" s="62">
        <f ca="1">AVERAGE(OFFSET($CX$3,0,0,'Données projet'!$E$13+1,1))-AVERAGE(OFFSET($H$3,0,0,'Données projet'!$E$13+1,1))</f>
        <v>135.44138026609272</v>
      </c>
      <c r="CZ90" s="62">
        <f t="shared" si="96"/>
        <v>254.77247578425659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21.370370755185537</v>
      </c>
      <c r="DG90" s="23">
        <f>EXP(-LN(2)/25)*DG89+(1-EXP(-LN(2)/25))/(LN(2)/25)*Calculateur!DB90*Calculateur!DD90*VLOOKUP('Données projet'!$B$13,Paramètres!$A$1:$I$89,3,0)*0.475*44/12</f>
        <v>9.3141520682450629</v>
      </c>
      <c r="DH90" s="23">
        <f>EXP(-LN(2)/2)*DH89+(1-EXP(-LN(2)/2))/(LN(2)/2)*DB90*DE90*VLOOKUP('Données projet'!$B$13,Paramètres!$A$1:$I$89,3,0)*0.475*44/12</f>
        <v>2.2404113306461381E-7</v>
      </c>
      <c r="DI90" s="24">
        <f t="shared" si="69"/>
        <v>30.684523047471732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273.00000000000023</v>
      </c>
      <c r="DP90" s="18">
        <f>DO90*VLOOKUP('Données projet'!$B$14,Paramètres!$A$1:$I$89,3,0)*VLOOKUP('Données projet'!$B$14,Paramètres!$A$1:$I$89,5,0)</f>
        <v>264.04560000000021</v>
      </c>
      <c r="DQ90" s="14">
        <f t="shared" si="97"/>
        <v>63.583959929973794</v>
      </c>
      <c r="DR90" s="22">
        <f t="shared" si="70"/>
        <v>570.6214835447048</v>
      </c>
      <c r="DS90" s="62">
        <f t="shared" si="71"/>
        <v>863.95481687803817</v>
      </c>
      <c r="DT90" s="62">
        <f ca="1">AVERAGE(OFFSET($DS$3,0,0,'Données projet'!$E$14+1,1))-AVERAGE(OFFSET($H$3,0,0,'Données projet'!$E$14+1,1))</f>
        <v>271.09447278906288</v>
      </c>
      <c r="DU90" s="62">
        <f t="shared" si="98"/>
        <v>325.1094067861851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23.7113845185273</v>
      </c>
      <c r="EB90" s="23">
        <f>EXP(-LN(2)/25)*EB89+(1-EXP(-LN(2)/25))/(LN(2)/25)*Calculateur!DW90*Calculateur!DY90*VLOOKUP('Données projet'!$B$14,Paramètres!$A$1:$I$89,3,0)*0.475*44/12</f>
        <v>3.4797565887102024</v>
      </c>
      <c r="EC90" s="23">
        <f>EXP(-LN(2)/2)*EC89+(1-EXP(-LN(2)/2))/(LN(2)/2)*DW90*DZ90*VLOOKUP('Données projet'!$B$14,Paramètres!$A$1:$I$89,3,0)*0.475*44/12</f>
        <v>5.259936596100069E-4</v>
      </c>
      <c r="ED90" s="24">
        <f t="shared" si="72"/>
        <v>27.191667100897114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273.00000000000023</v>
      </c>
      <c r="EK90" s="18">
        <f>EJ90*VLOOKUP('Données projet'!$B$15,Paramètres!$A$1:$I$89,3,0)*VLOOKUP('Données projet'!$B$15,Paramètres!$A$1:$I$89,5,0)</f>
        <v>293.85720000000026</v>
      </c>
      <c r="EL90" s="14">
        <f t="shared" si="99"/>
        <v>69.887150190339895</v>
      </c>
      <c r="EM90" s="22">
        <f t="shared" si="73"/>
        <v>633.52140991484237</v>
      </c>
      <c r="EN90" s="62">
        <f t="shared" si="74"/>
        <v>926.85474324817574</v>
      </c>
      <c r="EO90" s="62">
        <f ca="1">AVERAGE(OFFSET($EN$3,0,0,'Données projet'!$E$15+1,1))-AVERAGE(OFFSET($H$3,0,0,'Données projet'!$E$15+1,1))</f>
        <v>306.50593475734655</v>
      </c>
      <c r="EP90" s="62">
        <f t="shared" si="100"/>
        <v>366.48643801375079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26.388476319006198</v>
      </c>
      <c r="EW90" s="23">
        <f>EXP(-LN(2)/25)*EW89+(1-EXP(-LN(2)/25))/(LN(2)/25)*Calculateur!ER90*Calculateur!ET90*VLOOKUP('Données projet'!$B$15,Paramètres!$A$1:$I$89,3,0)*0.475*44/12</f>
        <v>3.8726323325968379</v>
      </c>
      <c r="EX90" s="23">
        <f>EXP(-LN(2)/2)*EX89+(1-EXP(-LN(2)/2))/(LN(2)/2)*ER90*EU90*VLOOKUP('Données projet'!$B$15,Paramètres!$A$1:$I$89,3,0)*0.475*44/12</f>
        <v>5.8538004053371704E-4</v>
      </c>
      <c r="EY90" s="24">
        <f t="shared" si="75"/>
        <v>30.261694031643568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64.52159999999985</v>
      </c>
      <c r="D91" s="12">
        <f t="shared" si="86"/>
        <v>18.30659258412695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639.37552170203151</v>
      </c>
      <c r="H91" s="70">
        <f t="shared" si="56"/>
        <v>437.59243541735412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6.4</v>
      </c>
      <c r="N91" s="14">
        <f>IF('Données projet'!$A$36&gt;35,N90+M91-V90,IF(A91&lt;'Données projet'!$A$36,$K$205^A91,IF(A91='Données projet'!$A$36,'Données projet'!$B$36,N90+M91-V90)))</f>
        <v>317.2</v>
      </c>
      <c r="O91" s="14">
        <f>N91*VLOOKUP('Données projet'!$B$9,Paramètres!$A$1:$I$89,3,0)*VLOOKUP('Données projet'!$B$9,Paramètres!$A$1:$I$89,5,0)</f>
        <v>287.00255999999996</v>
      </c>
      <c r="P91" s="14">
        <f t="shared" si="87"/>
        <v>68.444716936118553</v>
      </c>
      <c r="Q91" s="22">
        <f t="shared" si="54"/>
        <v>619.07067399707296</v>
      </c>
      <c r="R91" s="62">
        <f t="shared" si="55"/>
        <v>912.40400733040633</v>
      </c>
      <c r="S91" s="62">
        <f ca="1">AVERAGE(OFFSET($R$3,0,0,'Données projet'!$E$9+1,1))-AVERAGE(OFFSET($H$3,0,0,'Données projet'!$E$9+1,1))</f>
        <v>312.57314929661908</v>
      </c>
      <c r="T91" s="62">
        <f t="shared" si="88"/>
        <v>190.92100876773804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58.184379515054175</v>
      </c>
      <c r="AA91" s="23">
        <f>EXP(-LN(2)/25)*AA90+(1-EXP(-LN(2)/25))/(LN(2)/25)*Calculateur!V91*Calculateur!X91*VLOOKUP('Données projet'!$B$9,Paramètres!$A$1:$I$89,3,0)*0.475*44/12</f>
        <v>2.905610009828461</v>
      </c>
      <c r="AB91" s="23">
        <f>EXP(-LN(2)/2)*AB90+(1-EXP(-LN(2)/2))/(LN(2)/2)*V91*Y91*VLOOKUP('Données projet'!$B$9,Paramètres!$A$1:$I$89,3,0)*0.475*44/12</f>
        <v>0.61596152499671475</v>
      </c>
      <c r="AC91" s="24">
        <f t="shared" si="57"/>
        <v>61.705951049879353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6.4</v>
      </c>
      <c r="AI91" s="14">
        <f>IF('Données projet'!$A$62&gt;35,AI90+AH91-AQ90,IF(A91&lt;'Données projet'!$A$62,$AF$205^A91,IF(A91='Données projet'!$A$62,'Données projet'!$B$62,AI90+AH91-AQ90)))</f>
        <v>317.2</v>
      </c>
      <c r="AJ91" s="14">
        <f>AI91*VLOOKUP('Données projet'!$B$10,Paramètres!$A$1:$I$89,3,0)*VLOOKUP('Données projet'!$B$10,Paramètres!$A$1:$I$89,5,0)</f>
        <v>321.64080000000001</v>
      </c>
      <c r="AK91" s="14">
        <f t="shared" si="89"/>
        <v>75.694652325793228</v>
      </c>
      <c r="AL91" s="22">
        <f t="shared" si="58"/>
        <v>692.0259128007566</v>
      </c>
      <c r="AM91" s="62">
        <f t="shared" si="59"/>
        <v>985.35924613408997</v>
      </c>
      <c r="AN91" s="62">
        <f ca="1">AVERAGE(OFFSET($AM$3,0,0,'Données projet'!$E$10+1,1))-AVERAGE(OFFSET($H$3,0,0,'Données projet'!$E$10+1,1))</f>
        <v>360.56293184044779</v>
      </c>
      <c r="AO91" s="62">
        <f t="shared" si="90"/>
        <v>219.32252911220542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65.206632215146925</v>
      </c>
      <c r="AV91" s="23">
        <f>EXP(-LN(2)/25)*AV90+(1-EXP(-LN(2)/25))/(LN(2)/25)*Calculateur!AQ91*Calculateur!AS91*VLOOKUP('Données projet'!$B$10,Paramètres!$A$1:$I$89,3,0)*0.475*44/12</f>
        <v>3.256287079980174</v>
      </c>
      <c r="AW91" s="23">
        <f>EXP(-LN(2)/2)*AW90+(1-EXP(-LN(2)/2))/(LN(2)/2)*AQ91*AT91*VLOOKUP('Données projet'!$B$10,Paramètres!$A$1:$I$89,3,0)*0.475*44/12</f>
        <v>0.69030170904804244</v>
      </c>
      <c r="AX91" s="23">
        <f t="shared" si="60"/>
        <v>69.153221004175137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1.1368683772161603E-13</v>
      </c>
      <c r="BE91" s="14">
        <f>BD91*VLOOKUP('Données projet'!$B$11,Paramètres!$A$1:$I$89,3,0)*VLOOKUP('Données projet'!$B$11,Paramètres!$A$1:$I$89,5,0)</f>
        <v>8.3355189417488869E-14</v>
      </c>
      <c r="BF91" s="14">
        <f t="shared" si="91"/>
        <v>1.2790518435140618E-12</v>
      </c>
      <c r="BG91" s="22">
        <f t="shared" si="61"/>
        <v>2.3728589156891171E-12</v>
      </c>
      <c r="BH91" s="62">
        <f t="shared" si="62"/>
        <v>293.3333333333357</v>
      </c>
      <c r="BI91" s="62">
        <f ca="1">AVERAGE(OFFSET($BH$3,0,0,'Données projet'!$E$11+1,1))-AVERAGE(OFFSET($H$3,0,0,'Données projet'!$E$11+1,1))</f>
        <v>182.06733089745194</v>
      </c>
      <c r="BJ91" s="62">
        <f t="shared" si="92"/>
        <v>320.36755413886021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18.944236003251131</v>
      </c>
      <c r="BQ91" s="23">
        <f>EXP(-LN(2)/25)*BQ90+(1-EXP(-LN(2)/25))/(LN(2)/25)*Calculateur!BL91*Calculateur!BN91*VLOOKUP('Données projet'!$B$11,Paramètres!$A$1:$I$89,3,0)*0.475*44/12</f>
        <v>2.5447887062760857</v>
      </c>
      <c r="BR91" s="23">
        <f>EXP(-LN(2)/2)*BR90+(1-EXP(-LN(2)/2))/(LN(2)/2)*BL91*BO91*VLOOKUP('Données projet'!$B$11,Paramètres!$A$1:$I$89,3,0)*0.475*44/12</f>
        <v>1.3790729569459696E-6</v>
      </c>
      <c r="BS91" s="24">
        <f t="shared" si="63"/>
        <v>21.489026088600173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319.99999999999972</v>
      </c>
      <c r="BZ91" s="14">
        <f>BY91*VLOOKUP('Données projet'!$B$12,Paramètres!$A$1:$I$89,3,0)*VLOOKUP('Données projet'!$B$12,Paramètres!$A$1:$I$89,5,0)</f>
        <v>279.55199999999979</v>
      </c>
      <c r="CA91" s="14">
        <f t="shared" si="93"/>
        <v>66.872324781216591</v>
      </c>
      <c r="CB91" s="22">
        <f t="shared" si="64"/>
        <v>603.35569899395182</v>
      </c>
      <c r="CC91" s="62">
        <f t="shared" si="65"/>
        <v>896.68903232728508</v>
      </c>
      <c r="CD91" s="62">
        <f ca="1">AVERAGE(OFFSET($CC$3,0,0,'Données projet'!$E$12+1,1))-AVERAGE(OFFSET($H$3,0,0,'Données projet'!$E$12+1,1))</f>
        <v>248.60758320902863</v>
      </c>
      <c r="CE91" s="62">
        <f t="shared" si="94"/>
        <v>222.23585883330111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46.184906635614354</v>
      </c>
      <c r="CL91" s="23">
        <f>EXP(-LN(2)/25)*CL90+(1-EXP(-LN(2)/25))/(LN(2)/25)*Calculateur!CG91*Calculateur!CI91*VLOOKUP('Données projet'!$B$12,Paramètres!$A$1:$I$89,3,0)*0.475*44/12</f>
        <v>5.7668860973801461</v>
      </c>
      <c r="CM91" s="23">
        <f>EXP(-LN(2)/2)*CM90+(1-EXP(-LN(2)/2))/(LN(2)/2)*CG91*CJ91*VLOOKUP('Données projet'!$B$12,Paramètres!$A$1:$I$89,3,0)*0.475*44/12</f>
        <v>0.11736331215092925</v>
      </c>
      <c r="CN91" s="24">
        <f t="shared" si="66"/>
        <v>52.069156045145427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193.99999999999994</v>
      </c>
      <c r="CU91" s="18">
        <f>CT91*VLOOKUP('Données projet'!$B$13,Paramètres!$A$1:$I$89,3,0)*VLOOKUP('Données projet'!$B$13,Paramètres!$A$1:$I$89,5,0)</f>
        <v>105.92399999999998</v>
      </c>
      <c r="CV91" s="14">
        <f t="shared" si="95"/>
        <v>28.36854701055546</v>
      </c>
      <c r="CW91" s="22">
        <f t="shared" si="67"/>
        <v>233.89285271005073</v>
      </c>
      <c r="CX91" s="62">
        <f t="shared" si="68"/>
        <v>527.22618604338402</v>
      </c>
      <c r="CY91" s="62">
        <f ca="1">AVERAGE(OFFSET($CX$3,0,0,'Données projet'!$E$13+1,1))-AVERAGE(OFFSET($H$3,0,0,'Données projet'!$E$13+1,1))</f>
        <v>135.44138026609272</v>
      </c>
      <c r="CZ91" s="62">
        <f t="shared" si="96"/>
        <v>254.77247578425659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20.951310819315445</v>
      </c>
      <c r="DG91" s="23">
        <f>EXP(-LN(2)/25)*DG90+(1-EXP(-LN(2)/25))/(LN(2)/25)*Calculateur!DB91*Calculateur!DD91*VLOOKUP('Données projet'!$B$13,Paramètres!$A$1:$I$89,3,0)*0.475*44/12</f>
        <v>9.0594560901289327</v>
      </c>
      <c r="DH91" s="23">
        <f>EXP(-LN(2)/2)*DH90+(1-EXP(-LN(2)/2))/(LN(2)/2)*DB91*DE91*VLOOKUP('Données projet'!$B$13,Paramètres!$A$1:$I$89,3,0)*0.475*44/12</f>
        <v>1.5842100445470605E-7</v>
      </c>
      <c r="DI91" s="24">
        <f t="shared" si="69"/>
        <v>30.010767067865384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273.00000000000023</v>
      </c>
      <c r="DP91" s="18">
        <f>DO91*VLOOKUP('Données projet'!$B$14,Paramètres!$A$1:$I$89,3,0)*VLOOKUP('Données projet'!$B$14,Paramètres!$A$1:$I$89,5,0)</f>
        <v>264.04560000000021</v>
      </c>
      <c r="DQ91" s="14">
        <f t="shared" si="97"/>
        <v>63.583959929973794</v>
      </c>
      <c r="DR91" s="22">
        <f t="shared" si="70"/>
        <v>570.6214835447048</v>
      </c>
      <c r="DS91" s="62">
        <f t="shared" si="71"/>
        <v>863.95481687803817</v>
      </c>
      <c r="DT91" s="62">
        <f ca="1">AVERAGE(OFFSET($DS$3,0,0,'Données projet'!$E$14+1,1))-AVERAGE(OFFSET($H$3,0,0,'Données projet'!$E$14+1,1))</f>
        <v>271.09447278906288</v>
      </c>
      <c r="DU91" s="62">
        <f t="shared" si="98"/>
        <v>325.1094067861851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23.246418730635479</v>
      </c>
      <c r="EB91" s="23">
        <f>EXP(-LN(2)/25)*EB90+(1-EXP(-LN(2)/25))/(LN(2)/25)*Calculateur!DW91*Calculateur!DY91*VLOOKUP('Données projet'!$B$14,Paramètres!$A$1:$I$89,3,0)*0.475*44/12</f>
        <v>3.3846024617994761</v>
      </c>
      <c r="EC91" s="23">
        <f>EXP(-LN(2)/2)*EC90+(1-EXP(-LN(2)/2))/(LN(2)/2)*DW91*DZ91*VLOOKUP('Données projet'!$B$14,Paramètres!$A$1:$I$89,3,0)*0.475*44/12</f>
        <v>3.7193368357136452E-4</v>
      </c>
      <c r="ED91" s="24">
        <f t="shared" si="72"/>
        <v>26.631393126118528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273.00000000000023</v>
      </c>
      <c r="EK91" s="18">
        <f>EJ91*VLOOKUP('Données projet'!$B$15,Paramètres!$A$1:$I$89,3,0)*VLOOKUP('Données projet'!$B$15,Paramètres!$A$1:$I$89,5,0)</f>
        <v>293.85720000000026</v>
      </c>
      <c r="EL91" s="14">
        <f t="shared" si="99"/>
        <v>69.887150190339895</v>
      </c>
      <c r="EM91" s="22">
        <f t="shared" si="73"/>
        <v>633.52140991484237</v>
      </c>
      <c r="EN91" s="62">
        <f t="shared" si="74"/>
        <v>926.85474324817574</v>
      </c>
      <c r="EO91" s="62">
        <f ca="1">AVERAGE(OFFSET($EN$3,0,0,'Données projet'!$E$15+1,1))-AVERAGE(OFFSET($H$3,0,0,'Données projet'!$E$15+1,1))</f>
        <v>306.50593475734655</v>
      </c>
      <c r="EP91" s="62">
        <f t="shared" si="100"/>
        <v>366.48643801375079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25.871014393771755</v>
      </c>
      <c r="EW91" s="23">
        <f>EXP(-LN(2)/25)*EW90+(1-EXP(-LN(2)/25))/(LN(2)/25)*Calculateur!ER91*Calculateur!ET91*VLOOKUP('Données projet'!$B$15,Paramètres!$A$1:$I$89,3,0)*0.475*44/12</f>
        <v>3.766734997809094</v>
      </c>
      <c r="EX91" s="23">
        <f>EXP(-LN(2)/2)*EX90+(1-EXP(-LN(2)/2))/(LN(2)/2)*ER91*EU91*VLOOKUP('Données projet'!$B$15,Paramètres!$A$1:$I$89,3,0)*0.475*44/12</f>
        <v>4.1392619623264738E-4</v>
      </c>
      <c r="EY91" s="24">
        <f t="shared" si="75"/>
        <v>29.638163317777085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65.254799999999847</v>
      </c>
      <c r="D92" s="12">
        <f t="shared" si="86"/>
        <v>18.490286358600777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646.45329820674169</v>
      </c>
      <c r="H92" s="70">
        <f t="shared" si="56"/>
        <v>439.1893587412294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6.4</v>
      </c>
      <c r="N92" s="14">
        <f>IF('Données projet'!$A$36&gt;35,N91+M92-V91,IF(A92&lt;'Données projet'!$A$36,$K$205^A92,IF(A92='Données projet'!$A$36,'Données projet'!$B$36,N91+M92-V91)))</f>
        <v>323.59999999999997</v>
      </c>
      <c r="O92" s="14">
        <f>N92*VLOOKUP('Données projet'!$B$9,Paramètres!$A$1:$I$89,3,0)*VLOOKUP('Données projet'!$B$9,Paramètres!$A$1:$I$89,5,0)</f>
        <v>292.79327999999992</v>
      </c>
      <c r="P92" s="14">
        <f t="shared" si="87"/>
        <v>69.663526761731433</v>
      </c>
      <c r="Q92" s="22">
        <f t="shared" si="54"/>
        <v>631.27893844334869</v>
      </c>
      <c r="R92" s="62">
        <f t="shared" si="55"/>
        <v>924.61227177668206</v>
      </c>
      <c r="S92" s="62">
        <f ca="1">AVERAGE(OFFSET($R$3,0,0,'Données projet'!$E$9+1,1))-AVERAGE(OFFSET($H$3,0,0,'Données projet'!$E$9+1,1))</f>
        <v>312.57314929661908</v>
      </c>
      <c r="T92" s="62">
        <f t="shared" si="88"/>
        <v>190.92100876773804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57.043419321731221</v>
      </c>
      <c r="AA92" s="23">
        <f>EXP(-LN(2)/25)*AA91+(1-EXP(-LN(2)/25))/(LN(2)/25)*Calculateur!V92*Calculateur!X92*VLOOKUP('Données projet'!$B$9,Paramètres!$A$1:$I$89,3,0)*0.475*44/12</f>
        <v>2.8261559513103123</v>
      </c>
      <c r="AB92" s="23">
        <f>EXP(-LN(2)/2)*AB91+(1-EXP(-LN(2)/2))/(LN(2)/2)*V92*Y92*VLOOKUP('Données projet'!$B$9,Paramètres!$A$1:$I$89,3,0)*0.475*44/12</f>
        <v>0.43555057127518415</v>
      </c>
      <c r="AC92" s="24">
        <f t="shared" si="57"/>
        <v>60.30512584431672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6.4</v>
      </c>
      <c r="AI92" s="14">
        <f>IF('Données projet'!$A$62&gt;35,AI91+AH92-AQ91,IF(A92&lt;'Données projet'!$A$62,$AF$205^A92,IF(A92='Données projet'!$A$62,'Données projet'!$B$62,AI91+AH92-AQ91)))</f>
        <v>323.59999999999997</v>
      </c>
      <c r="AJ92" s="14">
        <f>AI92*VLOOKUP('Données projet'!$B$10,Paramètres!$A$1:$I$89,3,0)*VLOOKUP('Données projet'!$B$10,Paramètres!$A$1:$I$89,5,0)</f>
        <v>328.13039999999995</v>
      </c>
      <c r="AK92" s="14">
        <f t="shared" si="89"/>
        <v>77.042563313388285</v>
      </c>
      <c r="AL92" s="22">
        <f t="shared" si="58"/>
        <v>705.67624443748446</v>
      </c>
      <c r="AM92" s="62">
        <f t="shared" si="59"/>
        <v>999.00957777081771</v>
      </c>
      <c r="AN92" s="62">
        <f ca="1">AVERAGE(OFFSET($AM$3,0,0,'Données projet'!$E$10+1,1))-AVERAGE(OFFSET($H$3,0,0,'Données projet'!$E$10+1,1))</f>
        <v>360.56293184044779</v>
      </c>
      <c r="AO92" s="62">
        <f t="shared" si="90"/>
        <v>219.32252911220542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63.927969929526377</v>
      </c>
      <c r="AV92" s="23">
        <f>EXP(-LN(2)/25)*AV91+(1-EXP(-LN(2)/25))/(LN(2)/25)*Calculateur!AQ92*Calculateur!AS92*VLOOKUP('Données projet'!$B$10,Paramètres!$A$1:$I$89,3,0)*0.475*44/12</f>
        <v>3.167243738537421</v>
      </c>
      <c r="AW92" s="23">
        <f>EXP(-LN(2)/2)*AW91+(1-EXP(-LN(2)/2))/(LN(2)/2)*AQ92*AT92*VLOOKUP('Données projet'!$B$10,Paramètres!$A$1:$I$89,3,0)*0.475*44/12</f>
        <v>0.488117019532534</v>
      </c>
      <c r="AX92" s="23">
        <f t="shared" si="60"/>
        <v>67.58333068759633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1.1368683772161603E-13</v>
      </c>
      <c r="BE92" s="14">
        <f>BD92*VLOOKUP('Données projet'!$B$11,Paramètres!$A$1:$I$89,3,0)*VLOOKUP('Données projet'!$B$11,Paramètres!$A$1:$I$89,5,0)</f>
        <v>8.3355189417488869E-14</v>
      </c>
      <c r="BF92" s="14">
        <f t="shared" si="91"/>
        <v>1.2790518435140618E-12</v>
      </c>
      <c r="BG92" s="22">
        <f t="shared" si="61"/>
        <v>2.3728589156891171E-12</v>
      </c>
      <c r="BH92" s="62">
        <f t="shared" si="62"/>
        <v>293.3333333333357</v>
      </c>
      <c r="BI92" s="62">
        <f ca="1">AVERAGE(OFFSET($BH$3,0,0,'Données projet'!$E$11+1,1))-AVERAGE(OFFSET($H$3,0,0,'Données projet'!$E$11+1,1))</f>
        <v>182.06733089745194</v>
      </c>
      <c r="BJ92" s="62">
        <f t="shared" si="92"/>
        <v>320.36755413886021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18.572751090070394</v>
      </c>
      <c r="BQ92" s="23">
        <f>EXP(-LN(2)/25)*BQ91+(1-EXP(-LN(2)/25))/(LN(2)/25)*Calculateur!BL92*Calculateur!BN92*VLOOKUP('Données projet'!$B$11,Paramètres!$A$1:$I$89,3,0)*0.475*44/12</f>
        <v>2.475201325278344</v>
      </c>
      <c r="BR92" s="23">
        <f>EXP(-LN(2)/2)*BR91+(1-EXP(-LN(2)/2))/(LN(2)/2)*BL92*BO92*VLOOKUP('Données projet'!$B$11,Paramètres!$A$1:$I$89,3,0)*0.475*44/12</f>
        <v>9.7515183960747879E-7</v>
      </c>
      <c r="BS92" s="24">
        <f t="shared" si="63"/>
        <v>21.047953390500577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319.99999999999972</v>
      </c>
      <c r="BZ92" s="14">
        <f>BY92*VLOOKUP('Données projet'!$B$12,Paramètres!$A$1:$I$89,3,0)*VLOOKUP('Données projet'!$B$12,Paramètres!$A$1:$I$89,5,0)</f>
        <v>279.55199999999979</v>
      </c>
      <c r="CA92" s="14">
        <f t="shared" si="93"/>
        <v>66.872324781216591</v>
      </c>
      <c r="CB92" s="22">
        <f t="shared" si="64"/>
        <v>603.35569899395182</v>
      </c>
      <c r="CC92" s="62">
        <f t="shared" si="65"/>
        <v>896.68903232728508</v>
      </c>
      <c r="CD92" s="62">
        <f ca="1">AVERAGE(OFFSET($CC$3,0,0,'Données projet'!$E$12+1,1))-AVERAGE(OFFSET($H$3,0,0,'Données projet'!$E$12+1,1))</f>
        <v>248.60758320902863</v>
      </c>
      <c r="CE92" s="62">
        <f t="shared" si="94"/>
        <v>222.23585883330111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45.279248786501448</v>
      </c>
      <c r="CL92" s="23">
        <f>EXP(-LN(2)/25)*CL91+(1-EXP(-LN(2)/25))/(LN(2)/25)*Calculateur!CG92*Calculateur!CI92*VLOOKUP('Données projet'!$B$12,Paramètres!$A$1:$I$89,3,0)*0.475*44/12</f>
        <v>5.6091902937799265</v>
      </c>
      <c r="CM92" s="23">
        <f>EXP(-LN(2)/2)*CM91+(1-EXP(-LN(2)/2))/(LN(2)/2)*CG92*CJ92*VLOOKUP('Données projet'!$B$12,Paramètres!$A$1:$I$89,3,0)*0.475*44/12</f>
        <v>8.2988393884435616E-2</v>
      </c>
      <c r="CN92" s="24">
        <f t="shared" si="66"/>
        <v>50.971427474165807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193.99999999999994</v>
      </c>
      <c r="CU92" s="18">
        <f>CT92*VLOOKUP('Données projet'!$B$13,Paramètres!$A$1:$I$89,3,0)*VLOOKUP('Données projet'!$B$13,Paramètres!$A$1:$I$89,5,0)</f>
        <v>105.92399999999998</v>
      </c>
      <c r="CV92" s="14">
        <f t="shared" si="95"/>
        <v>28.36854701055546</v>
      </c>
      <c r="CW92" s="22">
        <f t="shared" si="67"/>
        <v>233.89285271005073</v>
      </c>
      <c r="CX92" s="62">
        <f t="shared" si="68"/>
        <v>527.22618604338402</v>
      </c>
      <c r="CY92" s="62">
        <f ca="1">AVERAGE(OFFSET($CX$3,0,0,'Données projet'!$E$13+1,1))-AVERAGE(OFFSET($H$3,0,0,'Données projet'!$E$13+1,1))</f>
        <v>135.44138026609272</v>
      </c>
      <c r="CZ92" s="62">
        <f t="shared" si="96"/>
        <v>254.77247578425659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20.540468393186444</v>
      </c>
      <c r="DG92" s="23">
        <f>EXP(-LN(2)/25)*DG91+(1-EXP(-LN(2)/25))/(LN(2)/25)*Calculateur!DB92*Calculateur!DD92*VLOOKUP('Données projet'!$B$13,Paramètres!$A$1:$I$89,3,0)*0.475*44/12</f>
        <v>8.8117247869282664</v>
      </c>
      <c r="DH92" s="23">
        <f>EXP(-LN(2)/2)*DH91+(1-EXP(-LN(2)/2))/(LN(2)/2)*DB92*DE92*VLOOKUP('Données projet'!$B$13,Paramètres!$A$1:$I$89,3,0)*0.475*44/12</f>
        <v>1.1202056653230691E-7</v>
      </c>
      <c r="DI92" s="24">
        <f t="shared" si="69"/>
        <v>29.352193292135276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273.00000000000023</v>
      </c>
      <c r="DP92" s="18">
        <f>DO92*VLOOKUP('Données projet'!$B$14,Paramètres!$A$1:$I$89,3,0)*VLOOKUP('Données projet'!$B$14,Paramètres!$A$1:$I$89,5,0)</f>
        <v>264.04560000000021</v>
      </c>
      <c r="DQ92" s="14">
        <f t="shared" si="97"/>
        <v>63.583959929973794</v>
      </c>
      <c r="DR92" s="22">
        <f t="shared" si="70"/>
        <v>570.6214835447048</v>
      </c>
      <c r="DS92" s="62">
        <f t="shared" si="71"/>
        <v>863.95481687803817</v>
      </c>
      <c r="DT92" s="62">
        <f ca="1">AVERAGE(OFFSET($DS$3,0,0,'Données projet'!$E$14+1,1))-AVERAGE(OFFSET($H$3,0,0,'Données projet'!$E$14+1,1))</f>
        <v>271.09447278906288</v>
      </c>
      <c r="DU92" s="62">
        <f t="shared" si="98"/>
        <v>325.1094067861851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22.790570638243093</v>
      </c>
      <c r="EB92" s="23">
        <f>EXP(-LN(2)/25)*EB91+(1-EXP(-LN(2)/25))/(LN(2)/25)*Calculateur!DW92*Calculateur!DY92*VLOOKUP('Données projet'!$B$14,Paramètres!$A$1:$I$89,3,0)*0.475*44/12</f>
        <v>3.2920503294930614</v>
      </c>
      <c r="EC92" s="23">
        <f>EXP(-LN(2)/2)*EC91+(1-EXP(-LN(2)/2))/(LN(2)/2)*DW92*DZ92*VLOOKUP('Données projet'!$B$14,Paramètres!$A$1:$I$89,3,0)*0.475*44/12</f>
        <v>2.6299682980500345E-4</v>
      </c>
      <c r="ED92" s="24">
        <f t="shared" si="72"/>
        <v>26.082883964565958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273.00000000000023</v>
      </c>
      <c r="EK92" s="18">
        <f>EJ92*VLOOKUP('Données projet'!$B$15,Paramètres!$A$1:$I$89,3,0)*VLOOKUP('Données projet'!$B$15,Paramètres!$A$1:$I$89,5,0)</f>
        <v>293.85720000000026</v>
      </c>
      <c r="EL92" s="14">
        <f t="shared" si="99"/>
        <v>69.887150190339895</v>
      </c>
      <c r="EM92" s="22">
        <f t="shared" si="73"/>
        <v>633.52140991484237</v>
      </c>
      <c r="EN92" s="62">
        <f t="shared" si="74"/>
        <v>926.85474324817574</v>
      </c>
      <c r="EO92" s="62">
        <f ca="1">AVERAGE(OFFSET($EN$3,0,0,'Données projet'!$E$15+1,1))-AVERAGE(OFFSET($H$3,0,0,'Données projet'!$E$15+1,1))</f>
        <v>306.50593475734655</v>
      </c>
      <c r="EP92" s="62">
        <f t="shared" si="100"/>
        <v>366.48643801375079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25.363699581270549</v>
      </c>
      <c r="EW92" s="23">
        <f>EXP(-LN(2)/25)*EW91+(1-EXP(-LN(2)/25))/(LN(2)/25)*Calculateur!ER92*Calculateur!ET92*VLOOKUP('Données projet'!$B$15,Paramètres!$A$1:$I$89,3,0)*0.475*44/12</f>
        <v>3.6637334312100198</v>
      </c>
      <c r="EX92" s="23">
        <f>EXP(-LN(2)/2)*EX91+(1-EXP(-LN(2)/2))/(LN(2)/2)*ER92*EU92*VLOOKUP('Données projet'!$B$15,Paramètres!$A$1:$I$89,3,0)*0.475*44/12</f>
        <v>2.9269002026685852E-4</v>
      </c>
      <c r="EY92" s="24">
        <f t="shared" si="75"/>
        <v>29.027725702500835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65.987999999999843</v>
      </c>
      <c r="D93" s="12">
        <f t="shared" si="86"/>
        <v>18.673740038079401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653.52922134657672</v>
      </c>
      <c r="H93" s="70">
        <f t="shared" si="56"/>
        <v>440.78586389965466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>
        <f>VLOOKUP(A93,'Données projet'!$A$35:$I$55,2,0)</f>
        <v>330</v>
      </c>
      <c r="L93" s="13">
        <f>VLOOKUP(A93,'Données projet'!$A$35:$I$55,9,0)</f>
        <v>6.4</v>
      </c>
      <c r="M93" s="13">
        <f t="array" ref="M93">INDEX(L:L,MIN(IF(ISNUMBER(L93:L289),ROW(L93:L289),"")))</f>
        <v>6.4</v>
      </c>
      <c r="N93" s="14">
        <f>IF('Données projet'!$A$36&gt;35,N92+M93-V92,IF(A93&lt;'Données projet'!$A$36,$K$205^A93,IF(A93='Données projet'!$A$36,'Données projet'!$B$36,N92+M93-V92)))</f>
        <v>329.99999999999994</v>
      </c>
      <c r="O93" s="14">
        <f>N93*VLOOKUP('Données projet'!$B$9,Paramètres!$A$1:$I$89,3,0)*VLOOKUP('Données projet'!$B$9,Paramètres!$A$1:$I$89,5,0)</f>
        <v>298.58399999999995</v>
      </c>
      <c r="P93" s="14">
        <f t="shared" si="87"/>
        <v>70.879533797607607</v>
      </c>
      <c r="Q93" s="22">
        <f t="shared" si="54"/>
        <v>643.48232136416652</v>
      </c>
      <c r="R93" s="62">
        <f t="shared" si="55"/>
        <v>936.81565469749989</v>
      </c>
      <c r="S93" s="62">
        <f ca="1">AVERAGE(OFFSET($R$3,0,0,'Données projet'!$E$9+1,1))-AVERAGE(OFFSET($H$3,0,0,'Données projet'!$E$9+1,1))</f>
        <v>312.57314929661908</v>
      </c>
      <c r="T93" s="62">
        <f t="shared" si="88"/>
        <v>190.92100876773804</v>
      </c>
      <c r="U93" s="16">
        <f>IF(ISNA(VLOOKUP(A93,'Données projet'!$A$35:$I$55,3,0)),0,VLOOKUP(A93,'Données projet'!$A$35:$I$55,3,0))</f>
        <v>15</v>
      </c>
      <c r="V93" s="16">
        <f>IF(ISNA(VLOOKUP(A93,'Données projet'!$A$35:$I$55,4,0)),0,VLOOKUP(A93,'Données projet'!$A$35:$I$55,4,0))</f>
        <v>28</v>
      </c>
      <c r="W93" s="17">
        <f>IF(ISNA(VLOOKUP(A93,'Données projet'!$A$35:$I$55,5,0)),0%,VLOOKUP(A93,'Données projet'!$A$35:$I$55,5,0)*VLOOKUP('Données projet'!$B$9,Paramètres!$A$1:$I$89,7,0))</f>
        <v>0.34400000000000003</v>
      </c>
      <c r="X93" s="17">
        <f>IF(ISNA(VLOOKUP(A93,'Données projet'!$A$35:$I$55,6,0)),0%,VLOOKUP(A93,'Données projet'!$A$35:$I$55,6,0)*VLOOKUP('Données projet'!$B$9,Paramètres!$A$1:$I$89,7,0))</f>
        <v>1.72E-2</v>
      </c>
      <c r="Y93" s="17">
        <f>IF(ISNA(VLOOKUP(A93,'Données projet'!$A$35:$I$55,7,0)),0%,VLOOKUP(A93,'Données projet'!$A$35:$I$55,7,0))</f>
        <v>0.06</v>
      </c>
      <c r="Z93" s="23">
        <f>EXP(-LN(2)/35)*Z92+(1-EXP(-LN(2)/35))/(LN(2)/35)*V93*W93*VLOOKUP('Données projet'!$B$9,Paramètres!$A$1:$I$89,3,0)*0.475*44/12</f>
        <v>65.559044163316742</v>
      </c>
      <c r="AA93" s="23">
        <f>EXP(-LN(2)/25)*AA92+(1-EXP(-LN(2)/25))/(LN(2)/25)*Calculateur!V93*Calculateur!X93*VLOOKUP('Données projet'!$B$9,Paramètres!$A$1:$I$89,3,0)*0.475*44/12</f>
        <v>3.2286884651921937</v>
      </c>
      <c r="AB93" s="23">
        <f>EXP(-LN(2)/2)*AB92+(1-EXP(-LN(2)/2))/(LN(2)/2)*V93*Y93*VLOOKUP('Données projet'!$B$9,Paramètres!$A$1:$I$89,3,0)*0.475*44/12</f>
        <v>1.7422020584210822</v>
      </c>
      <c r="AC93" s="24">
        <f t="shared" si="57"/>
        <v>70.529934686930019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330</v>
      </c>
      <c r="AG93" s="13">
        <f>VLOOKUP(A93,'Données projet'!$A$61:$I$81,9,0)</f>
        <v>6.4</v>
      </c>
      <c r="AH93" s="13">
        <f t="array" ref="AH93">INDEX(AG:AG,MIN(IF(ISNUMBER(AG93:AG289),ROW(AG93:AG289),"")))</f>
        <v>6.4</v>
      </c>
      <c r="AI93" s="14">
        <f>IF('Données projet'!$A$62&gt;35,AI92+AH93-AQ92,IF(A93&lt;'Données projet'!$A$62,$AF$205^A93,IF(A93='Données projet'!$A$62,'Données projet'!$B$62,AI92+AH93-AQ92)))</f>
        <v>329.99999999999994</v>
      </c>
      <c r="AJ93" s="14">
        <f>AI93*VLOOKUP('Données projet'!$B$10,Paramètres!$A$1:$I$89,3,0)*VLOOKUP('Données projet'!$B$10,Paramètres!$A$1:$I$89,5,0)</f>
        <v>334.61999999999995</v>
      </c>
      <c r="AK93" s="14">
        <f t="shared" si="89"/>
        <v>78.387374628661505</v>
      </c>
      <c r="AL93" s="22">
        <f t="shared" si="58"/>
        <v>719.32117747825203</v>
      </c>
      <c r="AM93" s="62">
        <f t="shared" si="59"/>
        <v>1012.6545108115854</v>
      </c>
      <c r="AN93" s="62">
        <f ca="1">AVERAGE(OFFSET($AM$3,0,0,'Données projet'!$E$10+1,1))-AVERAGE(OFFSET($H$3,0,0,'Données projet'!$E$10+1,1))</f>
        <v>360.56293184044779</v>
      </c>
      <c r="AO93" s="62">
        <f t="shared" si="90"/>
        <v>219.32252911220542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28</v>
      </c>
      <c r="AR93" s="17">
        <f>IF(ISNA(VLOOKUP(A93,'Données projet'!$A$61:$I$81,5,0)),0%,VLOOKUP(A93,'Données projet'!$A$61:$I$81,5,0)*VLOOKUP('Données projet'!$B$10,Paramètres!$A$1:$I$89,7,0))</f>
        <v>0.34400000000000003</v>
      </c>
      <c r="AS93" s="17">
        <f>IF(ISNA(VLOOKUP(A93,'Données projet'!$A$61:$I$81,6,0)),0%,VLOOKUP(A93,'Données projet'!$A$61:$I$81,6,0)*VLOOKUP('Données projet'!$B$10,Paramètres!$A$1:$I$89,7,0))</f>
        <v>1.72E-2</v>
      </c>
      <c r="AT93" s="17">
        <f>IF(ISNA(VLOOKUP(A93,'Données projet'!$A$61:$I$81,7,0)),0%,VLOOKUP(A93,'Données projet'!$A$61:$I$81,7,0))</f>
        <v>0.06</v>
      </c>
      <c r="AU93" s="23">
        <f>EXP(-LN(2)/35)*AU92+(1-EXP(-LN(2)/35))/(LN(2)/35)*AQ93*AR93*VLOOKUP('Données projet'!$B$10,Paramètres!$A$1:$I$89,3,0)*0.475*44/12</f>
        <v>73.471342596820492</v>
      </c>
      <c r="AV93" s="23">
        <f>EXP(-LN(2)/25)*AV92+(1-EXP(-LN(2)/25))/(LN(2)/25)*Calculateur!AQ93*Calculateur!AS93*VLOOKUP('Données projet'!$B$10,Paramètres!$A$1:$I$89,3,0)*0.475*44/12</f>
        <v>3.6183577627153918</v>
      </c>
      <c r="AW93" s="23">
        <f>EXP(-LN(2)/2)*AW92+(1-EXP(-LN(2)/2))/(LN(2)/2)*AQ93*AT93*VLOOKUP('Données projet'!$B$10,Paramètres!$A$1:$I$89,3,0)*0.475*44/12</f>
        <v>1.9524678240925923</v>
      </c>
      <c r="AX93" s="23">
        <f t="shared" si="60"/>
        <v>79.042168183628476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1.1368683772161603E-13</v>
      </c>
      <c r="BE93" s="14">
        <f>BD93*VLOOKUP('Données projet'!$B$11,Paramètres!$A$1:$I$89,3,0)*VLOOKUP('Données projet'!$B$11,Paramètres!$A$1:$I$89,5,0)</f>
        <v>8.3355189417488869E-14</v>
      </c>
      <c r="BF93" s="14">
        <f t="shared" si="91"/>
        <v>1.2790518435140618E-12</v>
      </c>
      <c r="BG93" s="22">
        <f t="shared" si="61"/>
        <v>2.3728589156891171E-12</v>
      </c>
      <c r="BH93" s="62">
        <f t="shared" si="62"/>
        <v>293.3333333333357</v>
      </c>
      <c r="BI93" s="62">
        <f ca="1">AVERAGE(OFFSET($BH$3,0,0,'Données projet'!$E$11+1,1))-AVERAGE(OFFSET($H$3,0,0,'Données projet'!$E$11+1,1))</f>
        <v>182.06733089745194</v>
      </c>
      <c r="BJ93" s="62">
        <f t="shared" si="92"/>
        <v>320.36755413886021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18.208550769453705</v>
      </c>
      <c r="BQ93" s="23">
        <f>EXP(-LN(2)/25)*BQ92+(1-EXP(-LN(2)/25))/(LN(2)/25)*Calculateur!BL93*Calculateur!BN93*VLOOKUP('Données projet'!$B$11,Paramètres!$A$1:$I$89,3,0)*0.475*44/12</f>
        <v>2.4075168148734272</v>
      </c>
      <c r="BR93" s="23">
        <f>EXP(-LN(2)/2)*BR92+(1-EXP(-LN(2)/2))/(LN(2)/2)*BL93*BO93*VLOOKUP('Données projet'!$B$11,Paramètres!$A$1:$I$89,3,0)*0.475*44/12</f>
        <v>6.8953647847298479E-7</v>
      </c>
      <c r="BS93" s="24">
        <f t="shared" si="63"/>
        <v>20.616068273863611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319.99999999999972</v>
      </c>
      <c r="BZ93" s="14">
        <f>BY93*VLOOKUP('Données projet'!$B$12,Paramètres!$A$1:$I$89,3,0)*VLOOKUP('Données projet'!$B$12,Paramètres!$A$1:$I$89,5,0)</f>
        <v>279.55199999999979</v>
      </c>
      <c r="CA93" s="14">
        <f t="shared" si="93"/>
        <v>66.872324781216591</v>
      </c>
      <c r="CB93" s="22">
        <f t="shared" si="64"/>
        <v>603.35569899395182</v>
      </c>
      <c r="CC93" s="62">
        <f t="shared" si="65"/>
        <v>896.68903232728508</v>
      </c>
      <c r="CD93" s="62">
        <f ca="1">AVERAGE(OFFSET($CC$3,0,0,'Données projet'!$E$12+1,1))-AVERAGE(OFFSET($H$3,0,0,'Données projet'!$E$12+1,1))</f>
        <v>248.60758320902863</v>
      </c>
      <c r="CE93" s="62">
        <f t="shared" si="94"/>
        <v>222.23585883330111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44.391350335412902</v>
      </c>
      <c r="CL93" s="23">
        <f>EXP(-LN(2)/25)*CL92+(1-EXP(-LN(2)/25))/(LN(2)/25)*Calculateur!CG93*Calculateur!CI93*VLOOKUP('Données projet'!$B$12,Paramètres!$A$1:$I$89,3,0)*0.475*44/12</f>
        <v>5.4558066902220173</v>
      </c>
      <c r="CM93" s="23">
        <f>EXP(-LN(2)/2)*CM92+(1-EXP(-LN(2)/2))/(LN(2)/2)*CG93*CJ93*VLOOKUP('Données projet'!$B$12,Paramètres!$A$1:$I$89,3,0)*0.475*44/12</f>
        <v>5.868165607546464E-2</v>
      </c>
      <c r="CN93" s="24">
        <f t="shared" si="66"/>
        <v>49.905838681710385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193.99999999999994</v>
      </c>
      <c r="CU93" s="18">
        <f>CT93*VLOOKUP('Données projet'!$B$13,Paramètres!$A$1:$I$89,3,0)*VLOOKUP('Données projet'!$B$13,Paramètres!$A$1:$I$89,5,0)</f>
        <v>105.92399999999998</v>
      </c>
      <c r="CV93" s="14">
        <f t="shared" si="95"/>
        <v>28.36854701055546</v>
      </c>
      <c r="CW93" s="22">
        <f t="shared" si="67"/>
        <v>233.89285271005073</v>
      </c>
      <c r="CX93" s="62">
        <f t="shared" si="68"/>
        <v>527.22618604338402</v>
      </c>
      <c r="CY93" s="62">
        <f ca="1">AVERAGE(OFFSET($CX$3,0,0,'Données projet'!$E$13+1,1))-AVERAGE(OFFSET($H$3,0,0,'Données projet'!$E$13+1,1))</f>
        <v>135.44138026609272</v>
      </c>
      <c r="CZ93" s="62">
        <f t="shared" si="96"/>
        <v>254.77247578425659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20.137682336444698</v>
      </c>
      <c r="DG93" s="23">
        <f>EXP(-LN(2)/25)*DG92+(1-EXP(-LN(2)/25))/(LN(2)/25)*Calculateur!DB93*Calculateur!DD93*VLOOKUP('Données projet'!$B$13,Paramètres!$A$1:$I$89,3,0)*0.475*44/12</f>
        <v>8.5707677092412453</v>
      </c>
      <c r="DH93" s="23">
        <f>EXP(-LN(2)/2)*DH92+(1-EXP(-LN(2)/2))/(LN(2)/2)*DB93*DE93*VLOOKUP('Données projet'!$B$13,Paramètres!$A$1:$I$89,3,0)*0.475*44/12</f>
        <v>7.9210502227353027E-8</v>
      </c>
      <c r="DI93" s="24">
        <f t="shared" si="69"/>
        <v>28.708450124896444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273.00000000000023</v>
      </c>
      <c r="DP93" s="18">
        <f>DO93*VLOOKUP('Données projet'!$B$14,Paramètres!$A$1:$I$89,3,0)*VLOOKUP('Données projet'!$B$14,Paramètres!$A$1:$I$89,5,0)</f>
        <v>264.04560000000021</v>
      </c>
      <c r="DQ93" s="14">
        <f t="shared" si="97"/>
        <v>63.583959929973794</v>
      </c>
      <c r="DR93" s="22">
        <f t="shared" si="70"/>
        <v>570.6214835447048</v>
      </c>
      <c r="DS93" s="62">
        <f t="shared" si="71"/>
        <v>863.95481687803817</v>
      </c>
      <c r="DT93" s="62">
        <f ca="1">AVERAGE(OFFSET($DS$3,0,0,'Données projet'!$E$14+1,1))-AVERAGE(OFFSET($H$3,0,0,'Données projet'!$E$14+1,1))</f>
        <v>271.09447278906288</v>
      </c>
      <c r="DU93" s="62">
        <f t="shared" si="98"/>
        <v>325.1094067861851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22.343661448902637</v>
      </c>
      <c r="EB93" s="23">
        <f>EXP(-LN(2)/25)*EB92+(1-EXP(-LN(2)/25))/(LN(2)/25)*Calculateur!DW93*Calculateur!DY93*VLOOKUP('Données projet'!$B$14,Paramètres!$A$1:$I$89,3,0)*0.475*44/12</f>
        <v>3.2020290401116709</v>
      </c>
      <c r="EC93" s="23">
        <f>EXP(-LN(2)/2)*EC92+(1-EXP(-LN(2)/2))/(LN(2)/2)*DW93*DZ93*VLOOKUP('Données projet'!$B$14,Paramètres!$A$1:$I$89,3,0)*0.475*44/12</f>
        <v>1.8596684178568226E-4</v>
      </c>
      <c r="ED93" s="24">
        <f t="shared" si="72"/>
        <v>25.545876455856096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273.00000000000023</v>
      </c>
      <c r="EK93" s="18">
        <f>EJ93*VLOOKUP('Données projet'!$B$15,Paramètres!$A$1:$I$89,3,0)*VLOOKUP('Données projet'!$B$15,Paramètres!$A$1:$I$89,5,0)</f>
        <v>293.85720000000026</v>
      </c>
      <c r="EL93" s="14">
        <f t="shared" si="99"/>
        <v>69.887150190339895</v>
      </c>
      <c r="EM93" s="22">
        <f t="shared" si="73"/>
        <v>633.52140991484237</v>
      </c>
      <c r="EN93" s="62">
        <f t="shared" si="74"/>
        <v>926.85474324817574</v>
      </c>
      <c r="EO93" s="62">
        <f ca="1">AVERAGE(OFFSET($EN$3,0,0,'Données projet'!$E$15+1,1))-AVERAGE(OFFSET($H$3,0,0,'Données projet'!$E$15+1,1))</f>
        <v>306.50593475734655</v>
      </c>
      <c r="EP93" s="62">
        <f t="shared" si="100"/>
        <v>366.48643801375079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24.86633290281101</v>
      </c>
      <c r="EW93" s="23">
        <f>EXP(-LN(2)/25)*EW92+(1-EXP(-LN(2)/25))/(LN(2)/25)*Calculateur!ER93*Calculateur!ET93*VLOOKUP('Données projet'!$B$15,Paramètres!$A$1:$I$89,3,0)*0.475*44/12</f>
        <v>3.5635484478662143</v>
      </c>
      <c r="EX93" s="23">
        <f>EXP(-LN(2)/2)*EX92+(1-EXP(-LN(2)/2))/(LN(2)/2)*ER93*EU93*VLOOKUP('Données projet'!$B$15,Paramètres!$A$1:$I$89,3,0)*0.475*44/12</f>
        <v>2.0696309811632369E-4</v>
      </c>
      <c r="EY93" s="24">
        <f t="shared" si="75"/>
        <v>28.43008831377534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66.72119999999984</v>
      </c>
      <c r="D94" s="12">
        <f t="shared" si="86"/>
        <v>18.85695659900588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660.60331409758817</v>
      </c>
      <c r="H94" s="70">
        <f t="shared" si="56"/>
        <v>442.38195607660163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6.2</v>
      </c>
      <c r="N94" s="14">
        <f>IF('Données projet'!$A$36&gt;35,N93+M94-V93,IF(A94&lt;'Données projet'!$A$36,$K$205^A94,IF(A94='Données projet'!$A$36,'Données projet'!$B$36,N93+M94-V93)))</f>
        <v>308.19999999999993</v>
      </c>
      <c r="O94" s="14">
        <f>N94*VLOOKUP('Données projet'!$B$9,Paramètres!$A$1:$I$89,3,0)*VLOOKUP('Données projet'!$B$9,Paramètres!$A$1:$I$89,5,0)</f>
        <v>278.85935999999992</v>
      </c>
      <c r="P94" s="14">
        <f t="shared" si="87"/>
        <v>66.725901622172387</v>
      </c>
      <c r="Q94" s="22">
        <f t="shared" si="54"/>
        <v>601.8943306586167</v>
      </c>
      <c r="R94" s="62">
        <f t="shared" si="55"/>
        <v>895.22766399195007</v>
      </c>
      <c r="S94" s="62">
        <f ca="1">AVERAGE(OFFSET($R$3,0,0,'Données projet'!$E$9+1,1))-AVERAGE(OFFSET($H$3,0,0,'Données projet'!$E$9+1,1))</f>
        <v>312.57314929661908</v>
      </c>
      <c r="T94" s="62">
        <f t="shared" si="88"/>
        <v>190.92100876773804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64.273471294342642</v>
      </c>
      <c r="AA94" s="23">
        <f>EXP(-LN(2)/25)*AA93+(1-EXP(-LN(2)/25))/(LN(2)/25)*Calculateur!V94*Calculateur!X94*VLOOKUP('Données projet'!$B$9,Paramètres!$A$1:$I$89,3,0)*0.475*44/12</f>
        <v>3.1403998093221661</v>
      </c>
      <c r="AB94" s="23">
        <f>EXP(-LN(2)/2)*AB93+(1-EXP(-LN(2)/2))/(LN(2)/2)*V94*Y94*VLOOKUP('Données projet'!$B$9,Paramètres!$A$1:$I$89,3,0)*0.475*44/12</f>
        <v>1.2319228897067089</v>
      </c>
      <c r="AC94" s="24">
        <f t="shared" si="57"/>
        <v>68.645793993371512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6.2</v>
      </c>
      <c r="AI94" s="14">
        <f>IF('Données projet'!$A$62&gt;35,AI93+AH94-AQ93,IF(A94&lt;'Données projet'!$A$62,$AF$205^A94,IF(A94='Données projet'!$A$62,'Données projet'!$B$62,AI93+AH94-AQ93)))</f>
        <v>308.19999999999993</v>
      </c>
      <c r="AJ94" s="14">
        <f>AI94*VLOOKUP('Données projet'!$B$10,Paramètres!$A$1:$I$89,3,0)*VLOOKUP('Données projet'!$B$10,Paramètres!$A$1:$I$89,5,0)</f>
        <v>312.51479999999992</v>
      </c>
      <c r="AK94" s="14">
        <f t="shared" si="89"/>
        <v>73.793773289024969</v>
      </c>
      <c r="AL94" s="22">
        <f t="shared" si="58"/>
        <v>672.82076514505172</v>
      </c>
      <c r="AM94" s="62">
        <f t="shared" si="59"/>
        <v>966.15409847838509</v>
      </c>
      <c r="AN94" s="62">
        <f ca="1">AVERAGE(OFFSET($AM$3,0,0,'Données projet'!$E$10+1,1))-AVERAGE(OFFSET($H$3,0,0,'Données projet'!$E$10+1,1))</f>
        <v>360.56293184044779</v>
      </c>
      <c r="AO94" s="62">
        <f t="shared" si="90"/>
        <v>219.32252911220542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72.030614381590894</v>
      </c>
      <c r="AV94" s="23">
        <f>EXP(-LN(2)/25)*AV93+(1-EXP(-LN(2)/25))/(LN(2)/25)*Calculateur!AQ94*Calculateur!AS94*VLOOKUP('Données projet'!$B$10,Paramètres!$A$1:$I$89,3,0)*0.475*44/12</f>
        <v>3.5194135794127743</v>
      </c>
      <c r="AW94" s="23">
        <f>EXP(-LN(2)/2)*AW93+(1-EXP(-LN(2)/2))/(LN(2)/2)*AQ94*AT94*VLOOKUP('Données projet'!$B$10,Paramètres!$A$1:$I$89,3,0)*0.475*44/12</f>
        <v>1.3806032384644153</v>
      </c>
      <c r="AX94" s="23">
        <f t="shared" si="60"/>
        <v>76.930631199468081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1.1368683772161603E-13</v>
      </c>
      <c r="BE94" s="14">
        <f>BD94*VLOOKUP('Données projet'!$B$11,Paramètres!$A$1:$I$89,3,0)*VLOOKUP('Données projet'!$B$11,Paramètres!$A$1:$I$89,5,0)</f>
        <v>8.3355189417488869E-14</v>
      </c>
      <c r="BF94" s="14">
        <f t="shared" si="91"/>
        <v>1.2790518435140618E-12</v>
      </c>
      <c r="BG94" s="22">
        <f t="shared" si="61"/>
        <v>2.3728589156891171E-12</v>
      </c>
      <c r="BH94" s="62">
        <f t="shared" si="62"/>
        <v>293.3333333333357</v>
      </c>
      <c r="BI94" s="62">
        <f ca="1">AVERAGE(OFFSET($BH$3,0,0,'Données projet'!$E$11+1,1))-AVERAGE(OFFSET($H$3,0,0,'Données projet'!$E$11+1,1))</f>
        <v>182.06733089745194</v>
      </c>
      <c r="BJ94" s="62">
        <f t="shared" si="92"/>
        <v>320.36755413886021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17.851492194984051</v>
      </c>
      <c r="BQ94" s="23">
        <f>EXP(-LN(2)/25)*BQ93+(1-EXP(-LN(2)/25))/(LN(2)/25)*Calculateur!BL94*Calculateur!BN94*VLOOKUP('Données projet'!$B$11,Paramètres!$A$1:$I$89,3,0)*0.475*44/12</f>
        <v>2.3416831409649066</v>
      </c>
      <c r="BR94" s="23">
        <f>EXP(-LN(2)/2)*BR93+(1-EXP(-LN(2)/2))/(LN(2)/2)*BL94*BO94*VLOOKUP('Données projet'!$B$11,Paramètres!$A$1:$I$89,3,0)*0.475*44/12</f>
        <v>4.8757591980373939E-7</v>
      </c>
      <c r="BS94" s="24">
        <f t="shared" si="63"/>
        <v>20.193175823524879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319.99999999999972</v>
      </c>
      <c r="BZ94" s="14">
        <f>BY94*VLOOKUP('Données projet'!$B$12,Paramètres!$A$1:$I$89,3,0)*VLOOKUP('Données projet'!$B$12,Paramètres!$A$1:$I$89,5,0)</f>
        <v>279.55199999999979</v>
      </c>
      <c r="CA94" s="14">
        <f t="shared" si="93"/>
        <v>66.872324781216591</v>
      </c>
      <c r="CB94" s="22">
        <f t="shared" si="64"/>
        <v>603.35569899395182</v>
      </c>
      <c r="CC94" s="62">
        <f t="shared" si="65"/>
        <v>896.68903232728508</v>
      </c>
      <c r="CD94" s="62">
        <f ca="1">AVERAGE(OFFSET($CC$3,0,0,'Données projet'!$E$12+1,1))-AVERAGE(OFFSET($H$3,0,0,'Données projet'!$E$12+1,1))</f>
        <v>248.60758320902863</v>
      </c>
      <c r="CE94" s="62">
        <f t="shared" si="94"/>
        <v>222.23585883330111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43.520863031385623</v>
      </c>
      <c r="CL94" s="23">
        <f>EXP(-LN(2)/25)*CL93+(1-EXP(-LN(2)/25))/(LN(2)/25)*Calculateur!CG94*Calculateur!CI94*VLOOKUP('Données projet'!$B$12,Paramètres!$A$1:$I$89,3,0)*0.475*44/12</f>
        <v>5.3066173693694916</v>
      </c>
      <c r="CM94" s="23">
        <f>EXP(-LN(2)/2)*CM93+(1-EXP(-LN(2)/2))/(LN(2)/2)*CG94*CJ94*VLOOKUP('Données projet'!$B$12,Paramètres!$A$1:$I$89,3,0)*0.475*44/12</f>
        <v>4.1494196942217815E-2</v>
      </c>
      <c r="CN94" s="24">
        <f t="shared" si="66"/>
        <v>48.868974597697331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193.99999999999994</v>
      </c>
      <c r="CU94" s="18">
        <f>CT94*VLOOKUP('Données projet'!$B$13,Paramètres!$A$1:$I$89,3,0)*VLOOKUP('Données projet'!$B$13,Paramètres!$A$1:$I$89,5,0)</f>
        <v>105.92399999999998</v>
      </c>
      <c r="CV94" s="14">
        <f t="shared" si="95"/>
        <v>28.36854701055546</v>
      </c>
      <c r="CW94" s="22">
        <f t="shared" si="67"/>
        <v>233.89285271005073</v>
      </c>
      <c r="CX94" s="62">
        <f t="shared" si="68"/>
        <v>527.22618604338402</v>
      </c>
      <c r="CY94" s="62">
        <f ca="1">AVERAGE(OFFSET($CX$3,0,0,'Données projet'!$E$13+1,1))-AVERAGE(OFFSET($H$3,0,0,'Données projet'!$E$13+1,1))</f>
        <v>135.44138026609272</v>
      </c>
      <c r="CZ94" s="62">
        <f t="shared" si="96"/>
        <v>254.77247578425659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19.742794668600418</v>
      </c>
      <c r="DG94" s="23">
        <f>EXP(-LN(2)/25)*DG93+(1-EXP(-LN(2)/25))/(LN(2)/25)*Calculateur!DB94*Calculateur!DD94*VLOOKUP('Données projet'!$B$13,Paramètres!$A$1:$I$89,3,0)*0.475*44/12</f>
        <v>8.3363996155149582</v>
      </c>
      <c r="DH94" s="23">
        <f>EXP(-LN(2)/2)*DH93+(1-EXP(-LN(2)/2))/(LN(2)/2)*DB94*DE94*VLOOKUP('Données projet'!$B$13,Paramètres!$A$1:$I$89,3,0)*0.475*44/12</f>
        <v>5.6010283266153453E-8</v>
      </c>
      <c r="DI94" s="24">
        <f t="shared" si="69"/>
        <v>28.079194340125657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273.00000000000023</v>
      </c>
      <c r="DP94" s="18">
        <f>DO94*VLOOKUP('Données projet'!$B$14,Paramètres!$A$1:$I$89,3,0)*VLOOKUP('Données projet'!$B$14,Paramètres!$A$1:$I$89,5,0)</f>
        <v>264.04560000000021</v>
      </c>
      <c r="DQ94" s="14">
        <f t="shared" si="97"/>
        <v>63.583959929973794</v>
      </c>
      <c r="DR94" s="22">
        <f t="shared" si="70"/>
        <v>570.6214835447048</v>
      </c>
      <c r="DS94" s="62">
        <f t="shared" si="71"/>
        <v>863.95481687803817</v>
      </c>
      <c r="DT94" s="62">
        <f ca="1">AVERAGE(OFFSET($DS$3,0,0,'Données projet'!$E$14+1,1))-AVERAGE(OFFSET($H$3,0,0,'Données projet'!$E$14+1,1))</f>
        <v>271.09447278906288</v>
      </c>
      <c r="DU94" s="62">
        <f t="shared" si="98"/>
        <v>325.1094067861851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21.905515876177457</v>
      </c>
      <c r="EB94" s="23">
        <f>EXP(-LN(2)/25)*EB93+(1-EXP(-LN(2)/25))/(LN(2)/25)*Calculateur!DW94*Calculateur!DY94*VLOOKUP('Données projet'!$B$14,Paramètres!$A$1:$I$89,3,0)*0.475*44/12</f>
        <v>3.1144693876224285</v>
      </c>
      <c r="EC94" s="23">
        <f>EXP(-LN(2)/2)*EC93+(1-EXP(-LN(2)/2))/(LN(2)/2)*DW94*DZ94*VLOOKUP('Données projet'!$B$14,Paramètres!$A$1:$I$89,3,0)*0.475*44/12</f>
        <v>1.3149841490250173E-4</v>
      </c>
      <c r="ED94" s="24">
        <f t="shared" si="72"/>
        <v>25.020116762214787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273.00000000000023</v>
      </c>
      <c r="EK94" s="18">
        <f>EJ94*VLOOKUP('Données projet'!$B$15,Paramètres!$A$1:$I$89,3,0)*VLOOKUP('Données projet'!$B$15,Paramètres!$A$1:$I$89,5,0)</f>
        <v>293.85720000000026</v>
      </c>
      <c r="EL94" s="14">
        <f t="shared" si="99"/>
        <v>69.887150190339895</v>
      </c>
      <c r="EM94" s="22">
        <f t="shared" si="73"/>
        <v>633.52140991484237</v>
      </c>
      <c r="EN94" s="62">
        <f t="shared" si="74"/>
        <v>926.85474324817574</v>
      </c>
      <c r="EO94" s="62">
        <f ca="1">AVERAGE(OFFSET($EN$3,0,0,'Données projet'!$E$15+1,1))-AVERAGE(OFFSET($H$3,0,0,'Données projet'!$E$15+1,1))</f>
        <v>306.50593475734655</v>
      </c>
      <c r="EP94" s="62">
        <f t="shared" si="100"/>
        <v>366.48643801375079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24.378719281552343</v>
      </c>
      <c r="EW94" s="23">
        <f>EXP(-LN(2)/25)*EW93+(1-EXP(-LN(2)/25))/(LN(2)/25)*Calculateur!ER94*Calculateur!ET94*VLOOKUP('Données projet'!$B$15,Paramètres!$A$1:$I$89,3,0)*0.475*44/12</f>
        <v>3.4661030281604446</v>
      </c>
      <c r="EX94" s="23">
        <f>EXP(-LN(2)/2)*EX93+(1-EXP(-LN(2)/2))/(LN(2)/2)*ER94*EU94*VLOOKUP('Données projet'!$B$15,Paramètres!$A$1:$I$89,3,0)*0.475*44/12</f>
        <v>1.4634501013342926E-4</v>
      </c>
      <c r="EY94" s="24">
        <f t="shared" si="75"/>
        <v>27.844968654722919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67.454399999999836</v>
      </c>
      <c r="D95" s="12">
        <f t="shared" si="86"/>
        <v>19.03993894863974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667.67559890177927</v>
      </c>
      <c r="H95" s="70">
        <f t="shared" si="56"/>
        <v>443.97764033554722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6.2</v>
      </c>
      <c r="N95" s="14">
        <f>IF('Données projet'!$A$36&gt;35,N94+M95-V94,IF(A95&lt;'Données projet'!$A$36,$K$205^A95,IF(A95='Données projet'!$A$36,'Données projet'!$B$36,N94+M95-V94)))</f>
        <v>314.39999999999992</v>
      </c>
      <c r="O95" s="14">
        <f>N95*VLOOKUP('Données projet'!$B$9,Paramètres!$A$1:$I$89,3,0)*VLOOKUP('Données projet'!$B$9,Paramètres!$A$1:$I$89,5,0)</f>
        <v>284.46911999999992</v>
      </c>
      <c r="P95" s="14">
        <f t="shared" si="87"/>
        <v>67.91059023737904</v>
      </c>
      <c r="Q95" s="22">
        <f t="shared" si="54"/>
        <v>613.72799533010163</v>
      </c>
      <c r="R95" s="62">
        <f t="shared" si="55"/>
        <v>907.06132866343501</v>
      </c>
      <c r="S95" s="62">
        <f ca="1">AVERAGE(OFFSET($R$3,0,0,'Données projet'!$E$9+1,1))-AVERAGE(OFFSET($H$3,0,0,'Données projet'!$E$9+1,1))</f>
        <v>312.57314929661908</v>
      </c>
      <c r="T95" s="62">
        <f t="shared" si="88"/>
        <v>190.92100876773804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63.013107725207099</v>
      </c>
      <c r="AA95" s="23">
        <f>EXP(-LN(2)/25)*AA94+(1-EXP(-LN(2)/25))/(LN(2)/25)*Calculateur!V95*Calculateur!X95*VLOOKUP('Données projet'!$B$9,Paramètres!$A$1:$I$89,3,0)*0.475*44/12</f>
        <v>3.054525411389803</v>
      </c>
      <c r="AB95" s="23">
        <f>EXP(-LN(2)/2)*AB94+(1-EXP(-LN(2)/2))/(LN(2)/2)*V95*Y95*VLOOKUP('Données projet'!$B$9,Paramètres!$A$1:$I$89,3,0)*0.475*44/12</f>
        <v>0.87110102921054122</v>
      </c>
      <c r="AC95" s="24">
        <f t="shared" si="57"/>
        <v>66.938734165807432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6.2</v>
      </c>
      <c r="AI95" s="14">
        <f>IF('Données projet'!$A$62&gt;35,AI94+AH95-AQ94,IF(A95&lt;'Données projet'!$A$62,$AF$205^A95,IF(A95='Données projet'!$A$62,'Données projet'!$B$62,AI94+AH95-AQ94)))</f>
        <v>314.39999999999992</v>
      </c>
      <c r="AJ95" s="14">
        <f>AI95*VLOOKUP('Données projet'!$B$10,Paramètres!$A$1:$I$89,3,0)*VLOOKUP('Données projet'!$B$10,Paramètres!$A$1:$I$89,5,0)</f>
        <v>318.80159999999995</v>
      </c>
      <c r="AK95" s="14">
        <f t="shared" si="89"/>
        <v>75.103948812522063</v>
      </c>
      <c r="AL95" s="22">
        <f t="shared" si="58"/>
        <v>686.05216418180908</v>
      </c>
      <c r="AM95" s="62">
        <f t="shared" si="59"/>
        <v>979.38549751514233</v>
      </c>
      <c r="AN95" s="62">
        <f ca="1">AVERAGE(OFFSET($AM$3,0,0,'Données projet'!$E$10+1,1))-AVERAGE(OFFSET($H$3,0,0,'Données projet'!$E$10+1,1))</f>
        <v>360.56293184044779</v>
      </c>
      <c r="AO95" s="62">
        <f t="shared" si="90"/>
        <v>219.32252911220542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70.618137967904516</v>
      </c>
      <c r="AV95" s="23">
        <f>EXP(-LN(2)/25)*AV94+(1-EXP(-LN(2)/25))/(LN(2)/25)*Calculateur!AQ95*Calculateur!AS95*VLOOKUP('Données projet'!$B$10,Paramètres!$A$1:$I$89,3,0)*0.475*44/12</f>
        <v>3.4231750300058157</v>
      </c>
      <c r="AW95" s="23">
        <f>EXP(-LN(2)/2)*AW94+(1-EXP(-LN(2)/2))/(LN(2)/2)*AQ95*AT95*VLOOKUP('Données projet'!$B$10,Paramètres!$A$1:$I$89,3,0)*0.475*44/12</f>
        <v>0.97623391204629628</v>
      </c>
      <c r="AX95" s="23">
        <f t="shared" si="60"/>
        <v>75.017546909956636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1.1368683772161603E-13</v>
      </c>
      <c r="BE95" s="14">
        <f>BD95*VLOOKUP('Données projet'!$B$11,Paramètres!$A$1:$I$89,3,0)*VLOOKUP('Données projet'!$B$11,Paramètres!$A$1:$I$89,5,0)</f>
        <v>8.3355189417488869E-14</v>
      </c>
      <c r="BF95" s="14">
        <f t="shared" si="91"/>
        <v>1.2790518435140618E-12</v>
      </c>
      <c r="BG95" s="22">
        <f t="shared" si="61"/>
        <v>2.3728589156891171E-12</v>
      </c>
      <c r="BH95" s="62">
        <f t="shared" si="62"/>
        <v>293.3333333333357</v>
      </c>
      <c r="BI95" s="62">
        <f ca="1">AVERAGE(OFFSET($BH$3,0,0,'Données projet'!$E$11+1,1))-AVERAGE(OFFSET($H$3,0,0,'Données projet'!$E$11+1,1))</f>
        <v>182.06733089745194</v>
      </c>
      <c r="BJ95" s="62">
        <f t="shared" si="92"/>
        <v>320.36755413886021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17.501435321375517</v>
      </c>
      <c r="BQ95" s="23">
        <f>EXP(-LN(2)/25)*BQ94+(1-EXP(-LN(2)/25))/(LN(2)/25)*Calculateur!BL95*Calculateur!BN95*VLOOKUP('Données projet'!$B$11,Paramètres!$A$1:$I$89,3,0)*0.475*44/12</f>
        <v>2.2776496923314569</v>
      </c>
      <c r="BR95" s="23">
        <f>EXP(-LN(2)/2)*BR94+(1-EXP(-LN(2)/2))/(LN(2)/2)*BL95*BO95*VLOOKUP('Données projet'!$B$11,Paramètres!$A$1:$I$89,3,0)*0.475*44/12</f>
        <v>3.4476823923649239E-7</v>
      </c>
      <c r="BS95" s="24">
        <f t="shared" si="63"/>
        <v>19.779085358475214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319.99999999999972</v>
      </c>
      <c r="BZ95" s="14">
        <f>BY95*VLOOKUP('Données projet'!$B$12,Paramètres!$A$1:$I$89,3,0)*VLOOKUP('Données projet'!$B$12,Paramètres!$A$1:$I$89,5,0)</f>
        <v>279.55199999999979</v>
      </c>
      <c r="CA95" s="14">
        <f t="shared" si="93"/>
        <v>66.872324781216591</v>
      </c>
      <c r="CB95" s="22">
        <f t="shared" si="64"/>
        <v>603.35569899395182</v>
      </c>
      <c r="CC95" s="62">
        <f t="shared" si="65"/>
        <v>896.68903232728508</v>
      </c>
      <c r="CD95" s="62">
        <f ca="1">AVERAGE(OFFSET($CC$3,0,0,'Données projet'!$E$12+1,1))-AVERAGE(OFFSET($H$3,0,0,'Données projet'!$E$12+1,1))</f>
        <v>248.60758320902863</v>
      </c>
      <c r="CE95" s="62">
        <f t="shared" si="94"/>
        <v>222.23585883330111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42.667445452445492</v>
      </c>
      <c r="CL95" s="23">
        <f>EXP(-LN(2)/25)*CL94+(1-EXP(-LN(2)/25))/(LN(2)/25)*Calculateur!CG95*Calculateur!CI95*VLOOKUP('Données projet'!$B$12,Paramètres!$A$1:$I$89,3,0)*0.475*44/12</f>
        <v>5.1615076383412042</v>
      </c>
      <c r="CM95" s="23">
        <f>EXP(-LN(2)/2)*CM94+(1-EXP(-LN(2)/2))/(LN(2)/2)*CG95*CJ95*VLOOKUP('Données projet'!$B$12,Paramètres!$A$1:$I$89,3,0)*0.475*44/12</f>
        <v>2.9340828037732324E-2</v>
      </c>
      <c r="CN95" s="24">
        <f t="shared" si="66"/>
        <v>47.85829391882443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193.99999999999994</v>
      </c>
      <c r="CU95" s="18">
        <f>CT95*VLOOKUP('Données projet'!$B$13,Paramètres!$A$1:$I$89,3,0)*VLOOKUP('Données projet'!$B$13,Paramètres!$A$1:$I$89,5,0)</f>
        <v>105.92399999999998</v>
      </c>
      <c r="CV95" s="14">
        <f t="shared" si="95"/>
        <v>28.36854701055546</v>
      </c>
      <c r="CW95" s="22">
        <f t="shared" si="67"/>
        <v>233.89285271005073</v>
      </c>
      <c r="CX95" s="62">
        <f t="shared" si="68"/>
        <v>527.22618604338402</v>
      </c>
      <c r="CY95" s="62">
        <f ca="1">AVERAGE(OFFSET($CX$3,0,0,'Données projet'!$E$13+1,1))-AVERAGE(OFFSET($H$3,0,0,'Données projet'!$E$13+1,1))</f>
        <v>135.44138026609272</v>
      </c>
      <c r="CZ95" s="62">
        <f t="shared" si="96"/>
        <v>254.77247578425659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19.355650507064873</v>
      </c>
      <c r="DG95" s="23">
        <f>EXP(-LN(2)/25)*DG94+(1-EXP(-LN(2)/25))/(LN(2)/25)*Calculateur!DB95*Calculateur!DD95*VLOOKUP('Données projet'!$B$13,Paramètres!$A$1:$I$89,3,0)*0.475*44/12</f>
        <v>8.1084403296364993</v>
      </c>
      <c r="DH95" s="23">
        <f>EXP(-LN(2)/2)*DH94+(1-EXP(-LN(2)/2))/(LN(2)/2)*DB95*DE95*VLOOKUP('Données projet'!$B$13,Paramètres!$A$1:$I$89,3,0)*0.475*44/12</f>
        <v>3.9605251113676514E-8</v>
      </c>
      <c r="DI95" s="24">
        <f t="shared" si="69"/>
        <v>27.464090876306624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273.00000000000023</v>
      </c>
      <c r="DP95" s="18">
        <f>DO95*VLOOKUP('Données projet'!$B$14,Paramètres!$A$1:$I$89,3,0)*VLOOKUP('Données projet'!$B$14,Paramètres!$A$1:$I$89,5,0)</f>
        <v>264.04560000000021</v>
      </c>
      <c r="DQ95" s="14">
        <f t="shared" si="97"/>
        <v>63.583959929973794</v>
      </c>
      <c r="DR95" s="22">
        <f t="shared" si="70"/>
        <v>570.6214835447048</v>
      </c>
      <c r="DS95" s="62">
        <f t="shared" si="71"/>
        <v>863.95481687803817</v>
      </c>
      <c r="DT95" s="62">
        <f ca="1">AVERAGE(OFFSET($DS$3,0,0,'Données projet'!$E$14+1,1))-AVERAGE(OFFSET($H$3,0,0,'Données projet'!$E$14+1,1))</f>
        <v>271.09447278906288</v>
      </c>
      <c r="DU95" s="62">
        <f t="shared" si="98"/>
        <v>325.1094067861851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21.475962070891008</v>
      </c>
      <c r="EB95" s="23">
        <f>EXP(-LN(2)/25)*EB94+(1-EXP(-LN(2)/25))/(LN(2)/25)*Calculateur!DW95*Calculateur!DY95*VLOOKUP('Données projet'!$B$14,Paramètres!$A$1:$I$89,3,0)*0.475*44/12</f>
        <v>3.0293040584350663</v>
      </c>
      <c r="EC95" s="23">
        <f>EXP(-LN(2)/2)*EC94+(1-EXP(-LN(2)/2))/(LN(2)/2)*DW95*DZ95*VLOOKUP('Données projet'!$B$14,Paramètres!$A$1:$I$89,3,0)*0.475*44/12</f>
        <v>9.2983420892841129E-5</v>
      </c>
      <c r="ED95" s="24">
        <f t="shared" si="72"/>
        <v>24.505359112746966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273.00000000000023</v>
      </c>
      <c r="EK95" s="18">
        <f>EJ95*VLOOKUP('Données projet'!$B$15,Paramètres!$A$1:$I$89,3,0)*VLOOKUP('Données projet'!$B$15,Paramètres!$A$1:$I$89,5,0)</f>
        <v>293.85720000000026</v>
      </c>
      <c r="EL95" s="14">
        <f t="shared" si="99"/>
        <v>69.887150190339895</v>
      </c>
      <c r="EM95" s="22">
        <f t="shared" si="73"/>
        <v>633.52140991484237</v>
      </c>
      <c r="EN95" s="62">
        <f t="shared" si="74"/>
        <v>926.85474324817574</v>
      </c>
      <c r="EO95" s="62">
        <f ca="1">AVERAGE(OFFSET($EN$3,0,0,'Données projet'!$E$15+1,1))-AVERAGE(OFFSET($H$3,0,0,'Données projet'!$E$15+1,1))</f>
        <v>306.50593475734655</v>
      </c>
      <c r="EP95" s="62">
        <f t="shared" si="100"/>
        <v>366.48643801375079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23.900667465991617</v>
      </c>
      <c r="EW95" s="23">
        <f>EXP(-LN(2)/25)*EW94+(1-EXP(-LN(2)/25))/(LN(2)/25)*Calculateur!ER95*Calculateur!ET95*VLOOKUP('Données projet'!$B$15,Paramètres!$A$1:$I$89,3,0)*0.475*44/12</f>
        <v>3.3713222585809608</v>
      </c>
      <c r="EX95" s="23">
        <f>EXP(-LN(2)/2)*EX94+(1-EXP(-LN(2)/2))/(LN(2)/2)*ER95*EU95*VLOOKUP('Données projet'!$B$15,Paramètres!$A$1:$I$89,3,0)*0.475*44/12</f>
        <v>1.0348154905816185E-4</v>
      </c>
      <c r="EY95" s="24">
        <f t="shared" si="75"/>
        <v>27.272093206121635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68.187599999999833</v>
      </c>
      <c r="D96" s="12">
        <f t="shared" si="86"/>
        <v>19.222689927399379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674.74609768518701</v>
      </c>
      <c r="H96" s="70">
        <f t="shared" si="56"/>
        <v>445.57292162355361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6.2</v>
      </c>
      <c r="N96" s="14">
        <f>IF('Données projet'!$A$36&gt;35,N95+M96-V95,IF(A96&lt;'Données projet'!$A$36,$K$205^A96,IF(A96='Données projet'!$A$36,'Données projet'!$B$36,N95+M96-V95)))</f>
        <v>320.59999999999991</v>
      </c>
      <c r="O96" s="14">
        <f>N96*VLOOKUP('Données projet'!$B$9,Paramètres!$A$1:$I$89,3,0)*VLOOKUP('Données projet'!$B$9,Paramètres!$A$1:$I$89,5,0)</f>
        <v>290.07887999999991</v>
      </c>
      <c r="P96" s="14">
        <f t="shared" si="87"/>
        <v>69.092562427360406</v>
      </c>
      <c r="Q96" s="22">
        <f t="shared" si="54"/>
        <v>625.55692889431919</v>
      </c>
      <c r="R96" s="62">
        <f t="shared" si="55"/>
        <v>918.89026222765256</v>
      </c>
      <c r="S96" s="62">
        <f ca="1">AVERAGE(OFFSET($R$3,0,0,'Données projet'!$E$9+1,1))-AVERAGE(OFFSET($H$3,0,0,'Données projet'!$E$9+1,1))</f>
        <v>312.57314929661908</v>
      </c>
      <c r="T96" s="62">
        <f t="shared" si="88"/>
        <v>190.92100876773804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61.77745911691644</v>
      </c>
      <c r="AA96" s="23">
        <f>EXP(-LN(2)/25)*AA95+(1-EXP(-LN(2)/25))/(LN(2)/25)*Calculateur!V96*Calculateur!X96*VLOOKUP('Données projet'!$B$9,Paramètres!$A$1:$I$89,3,0)*0.475*44/12</f>
        <v>2.9709992533848388</v>
      </c>
      <c r="AB96" s="23">
        <f>EXP(-LN(2)/2)*AB95+(1-EXP(-LN(2)/2))/(LN(2)/2)*V96*Y96*VLOOKUP('Données projet'!$B$9,Paramètres!$A$1:$I$89,3,0)*0.475*44/12</f>
        <v>0.61596144485335458</v>
      </c>
      <c r="AC96" s="24">
        <f t="shared" si="57"/>
        <v>65.364419815154633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6.2</v>
      </c>
      <c r="AI96" s="14">
        <f>IF('Données projet'!$A$62&gt;35,AI95+AH96-AQ95,IF(A96&lt;'Données projet'!$A$62,$AF$205^A96,IF(A96='Données projet'!$A$62,'Données projet'!$B$62,AI95+AH96-AQ95)))</f>
        <v>320.59999999999991</v>
      </c>
      <c r="AJ96" s="14">
        <f>AI96*VLOOKUP('Données projet'!$B$10,Paramètres!$A$1:$I$89,3,0)*VLOOKUP('Données projet'!$B$10,Paramètres!$A$1:$I$89,5,0)</f>
        <v>325.08839999999992</v>
      </c>
      <c r="AK96" s="14">
        <f t="shared" si="89"/>
        <v>76.411120176279823</v>
      </c>
      <c r="AL96" s="22">
        <f t="shared" si="58"/>
        <v>699.27833097368728</v>
      </c>
      <c r="AM96" s="62">
        <f t="shared" si="59"/>
        <v>992.61166430702065</v>
      </c>
      <c r="AN96" s="62">
        <f ca="1">AVERAGE(OFFSET($AM$3,0,0,'Données projet'!$E$10+1,1))-AVERAGE(OFFSET($H$3,0,0,'Données projet'!$E$10+1,1))</f>
        <v>360.56293184044779</v>
      </c>
      <c r="AO96" s="62">
        <f t="shared" si="90"/>
        <v>219.32252911220542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69.233359355164978</v>
      </c>
      <c r="AV96" s="23">
        <f>EXP(-LN(2)/25)*AV95+(1-EXP(-LN(2)/25))/(LN(2)/25)*Calculateur!AQ96*Calculateur!AS96*VLOOKUP('Données projet'!$B$10,Paramètres!$A$1:$I$89,3,0)*0.475*44/12</f>
        <v>3.3295681287933556</v>
      </c>
      <c r="AW96" s="23">
        <f>EXP(-LN(2)/2)*AW95+(1-EXP(-LN(2)/2))/(LN(2)/2)*AQ96*AT96*VLOOKUP('Données projet'!$B$10,Paramètres!$A$1:$I$89,3,0)*0.475*44/12</f>
        <v>0.69030161923220779</v>
      </c>
      <c r="AX96" s="23">
        <f t="shared" si="60"/>
        <v>73.253229103190534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1.1368683772161603E-13</v>
      </c>
      <c r="BE96" s="14">
        <f>BD96*VLOOKUP('Données projet'!$B$11,Paramètres!$A$1:$I$89,3,0)*VLOOKUP('Données projet'!$B$11,Paramètres!$A$1:$I$89,5,0)</f>
        <v>8.3355189417488869E-14</v>
      </c>
      <c r="BF96" s="14">
        <f t="shared" si="91"/>
        <v>1.2790518435140618E-12</v>
      </c>
      <c r="BG96" s="22">
        <f t="shared" si="61"/>
        <v>2.3728589156891171E-12</v>
      </c>
      <c r="BH96" s="62">
        <f t="shared" si="62"/>
        <v>293.3333333333357</v>
      </c>
      <c r="BI96" s="62">
        <f ca="1">AVERAGE(OFFSET($BH$3,0,0,'Données projet'!$E$11+1,1))-AVERAGE(OFFSET($H$3,0,0,'Données projet'!$E$11+1,1))</f>
        <v>182.06733089745194</v>
      </c>
      <c r="BJ96" s="62">
        <f t="shared" si="92"/>
        <v>320.36755413886021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17.158242849544838</v>
      </c>
      <c r="BQ96" s="23">
        <f>EXP(-LN(2)/25)*BQ95+(1-EXP(-LN(2)/25))/(LN(2)/25)*Calculateur!BL96*Calculateur!BN96*VLOOKUP('Données projet'!$B$11,Paramètres!$A$1:$I$89,3,0)*0.475*44/12</f>
        <v>2.2153672417182615</v>
      </c>
      <c r="BR96" s="23">
        <f>EXP(-LN(2)/2)*BR95+(1-EXP(-LN(2)/2))/(LN(2)/2)*BL96*BO96*VLOOKUP('Données projet'!$B$11,Paramètres!$A$1:$I$89,3,0)*0.475*44/12</f>
        <v>2.437879599018697E-7</v>
      </c>
      <c r="BS96" s="24">
        <f t="shared" si="63"/>
        <v>19.373610335051058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319.99999999999972</v>
      </c>
      <c r="BZ96" s="14">
        <f>BY96*VLOOKUP('Données projet'!$B$12,Paramètres!$A$1:$I$89,3,0)*VLOOKUP('Données projet'!$B$12,Paramètres!$A$1:$I$89,5,0)</f>
        <v>279.55199999999979</v>
      </c>
      <c r="CA96" s="14">
        <f t="shared" si="93"/>
        <v>66.872324781216591</v>
      </c>
      <c r="CB96" s="22">
        <f t="shared" si="64"/>
        <v>603.35569899395182</v>
      </c>
      <c r="CC96" s="62">
        <f t="shared" si="65"/>
        <v>896.68903232728508</v>
      </c>
      <c r="CD96" s="62">
        <f ca="1">AVERAGE(OFFSET($CC$3,0,0,'Données projet'!$E$12+1,1))-AVERAGE(OFFSET($H$3,0,0,'Données projet'!$E$12+1,1))</f>
        <v>248.60758320902863</v>
      </c>
      <c r="CE96" s="62">
        <f t="shared" si="94"/>
        <v>222.23585883330111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41.83076287169505</v>
      </c>
      <c r="CL96" s="23">
        <f>EXP(-LN(2)/25)*CL95+(1-EXP(-LN(2)/25))/(LN(2)/25)*Calculateur!CG96*Calculateur!CI96*VLOOKUP('Données projet'!$B$12,Paramètres!$A$1:$I$89,3,0)*0.475*44/12</f>
        <v>5.0203659405388743</v>
      </c>
      <c r="CM96" s="23">
        <f>EXP(-LN(2)/2)*CM95+(1-EXP(-LN(2)/2))/(LN(2)/2)*CG96*CJ96*VLOOKUP('Données projet'!$B$12,Paramètres!$A$1:$I$89,3,0)*0.475*44/12</f>
        <v>2.0747098471108911E-2</v>
      </c>
      <c r="CN96" s="24">
        <f t="shared" si="66"/>
        <v>46.871875910705036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193.99999999999994</v>
      </c>
      <c r="CU96" s="18">
        <f>CT96*VLOOKUP('Données projet'!$B$13,Paramètres!$A$1:$I$89,3,0)*VLOOKUP('Données projet'!$B$13,Paramètres!$A$1:$I$89,5,0)</f>
        <v>105.92399999999998</v>
      </c>
      <c r="CV96" s="14">
        <f t="shared" si="95"/>
        <v>28.36854701055546</v>
      </c>
      <c r="CW96" s="22">
        <f t="shared" si="67"/>
        <v>233.89285271005073</v>
      </c>
      <c r="CX96" s="62">
        <f t="shared" si="68"/>
        <v>527.22618604338402</v>
      </c>
      <c r="CY96" s="62">
        <f ca="1">AVERAGE(OFFSET($CX$3,0,0,'Données projet'!$E$13+1,1))-AVERAGE(OFFSET($H$3,0,0,'Données projet'!$E$13+1,1))</f>
        <v>135.44138026609272</v>
      </c>
      <c r="CZ96" s="62">
        <f t="shared" si="96"/>
        <v>254.77247578425659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18.976098006402417</v>
      </c>
      <c r="DG96" s="23">
        <f>EXP(-LN(2)/25)*DG95+(1-EXP(-LN(2)/25))/(LN(2)/25)*Calculateur!DB96*Calculateur!DD96*VLOOKUP('Données projet'!$B$13,Paramètres!$A$1:$I$89,3,0)*0.475*44/12</f>
        <v>7.8867146024182446</v>
      </c>
      <c r="DH96" s="23">
        <f>EXP(-LN(2)/2)*DH95+(1-EXP(-LN(2)/2))/(LN(2)/2)*DB96*DE96*VLOOKUP('Données projet'!$B$13,Paramètres!$A$1:$I$89,3,0)*0.475*44/12</f>
        <v>2.8005141633076726E-8</v>
      </c>
      <c r="DI96" s="24">
        <f t="shared" si="69"/>
        <v>26.862812636825804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273.00000000000023</v>
      </c>
      <c r="DP96" s="18">
        <f>DO96*VLOOKUP('Données projet'!$B$14,Paramètres!$A$1:$I$89,3,0)*VLOOKUP('Données projet'!$B$14,Paramètres!$A$1:$I$89,5,0)</f>
        <v>264.04560000000021</v>
      </c>
      <c r="DQ96" s="14">
        <f t="shared" si="97"/>
        <v>63.583959929973794</v>
      </c>
      <c r="DR96" s="22">
        <f t="shared" si="70"/>
        <v>570.6214835447048</v>
      </c>
      <c r="DS96" s="62">
        <f t="shared" si="71"/>
        <v>863.95481687803817</v>
      </c>
      <c r="DT96" s="62">
        <f ca="1">AVERAGE(OFFSET($DS$3,0,0,'Données projet'!$E$14+1,1))-AVERAGE(OFFSET($H$3,0,0,'Données projet'!$E$14+1,1))</f>
        <v>271.09447278906288</v>
      </c>
      <c r="DU96" s="62">
        <f t="shared" si="98"/>
        <v>325.1094067861851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21.054831553724274</v>
      </c>
      <c r="EB96" s="23">
        <f>EXP(-LN(2)/25)*EB95+(1-EXP(-LN(2)/25))/(LN(2)/25)*Calculateur!DW96*Calculateur!DY96*VLOOKUP('Données projet'!$B$14,Paramètres!$A$1:$I$89,3,0)*0.475*44/12</f>
        <v>2.9464675796529827</v>
      </c>
      <c r="EC96" s="23">
        <f>EXP(-LN(2)/2)*EC95+(1-EXP(-LN(2)/2))/(LN(2)/2)*DW96*DZ96*VLOOKUP('Données projet'!$B$14,Paramètres!$A$1:$I$89,3,0)*0.475*44/12</f>
        <v>6.5749207451250863E-5</v>
      </c>
      <c r="ED96" s="24">
        <f t="shared" si="72"/>
        <v>24.001364882584706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273.00000000000023</v>
      </c>
      <c r="EK96" s="18">
        <f>EJ96*VLOOKUP('Données projet'!$B$15,Paramètres!$A$1:$I$89,3,0)*VLOOKUP('Données projet'!$B$15,Paramètres!$A$1:$I$89,5,0)</f>
        <v>293.85720000000026</v>
      </c>
      <c r="EL96" s="14">
        <f t="shared" si="99"/>
        <v>69.887150190339895</v>
      </c>
      <c r="EM96" s="22">
        <f t="shared" si="73"/>
        <v>633.52140991484237</v>
      </c>
      <c r="EN96" s="62">
        <f t="shared" si="74"/>
        <v>926.85474324817574</v>
      </c>
      <c r="EO96" s="62">
        <f ca="1">AVERAGE(OFFSET($EN$3,0,0,'Données projet'!$E$15+1,1))-AVERAGE(OFFSET($H$3,0,0,'Données projet'!$E$15+1,1))</f>
        <v>306.50593475734655</v>
      </c>
      <c r="EP96" s="62">
        <f t="shared" si="100"/>
        <v>366.48643801375079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23.43198995495122</v>
      </c>
      <c r="EW96" s="23">
        <f>EXP(-LN(2)/25)*EW95+(1-EXP(-LN(2)/25))/(LN(2)/25)*Calculateur!ER96*Calculateur!ET96*VLOOKUP('Données projet'!$B$15,Paramètres!$A$1:$I$89,3,0)*0.475*44/12</f>
        <v>3.2791332741299319</v>
      </c>
      <c r="EX96" s="23">
        <f>EXP(-LN(2)/2)*EX95+(1-EXP(-LN(2)/2))/(LN(2)/2)*ER96*EU96*VLOOKUP('Données projet'!$B$15,Paramètres!$A$1:$I$89,3,0)*0.475*44/12</f>
        <v>7.3172505066714631E-5</v>
      </c>
      <c r="EY96" s="24">
        <f t="shared" si="75"/>
        <v>26.711196401586221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68.920799999999829</v>
      </c>
      <c r="D97" s="12">
        <f t="shared" si="86"/>
        <v>19.405212311100474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681.81483187516017</v>
      </c>
      <c r="H97" s="70">
        <f t="shared" si="56"/>
        <v>447.16780477516636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6.2</v>
      </c>
      <c r="N97" s="14">
        <f>IF('Données projet'!$A$36&gt;35,N96+M97-V96,IF(A97&lt;'Données projet'!$A$36,$K$205^A97,IF(A97='Données projet'!$A$36,'Données projet'!$B$36,N96+M97-V96)))</f>
        <v>326.7999999999999</v>
      </c>
      <c r="O97" s="14">
        <f>N97*VLOOKUP('Données projet'!$B$9,Paramètres!$A$1:$I$89,3,0)*VLOOKUP('Données projet'!$B$9,Paramètres!$A$1:$I$89,5,0)</f>
        <v>295.68863999999991</v>
      </c>
      <c r="P97" s="14">
        <f t="shared" si="87"/>
        <v>70.271876780519747</v>
      </c>
      <c r="Q97" s="22">
        <f t="shared" si="54"/>
        <v>637.3812333927383</v>
      </c>
      <c r="R97" s="62">
        <f t="shared" si="55"/>
        <v>930.71456672607155</v>
      </c>
      <c r="S97" s="62">
        <f ca="1">AVERAGE(OFFSET($R$3,0,0,'Données projet'!$E$9+1,1))-AVERAGE(OFFSET($H$3,0,0,'Données projet'!$E$9+1,1))</f>
        <v>312.57314929661908</v>
      </c>
      <c r="T97" s="62">
        <f t="shared" si="88"/>
        <v>190.92100876773804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60.566040824163125</v>
      </c>
      <c r="AA97" s="23">
        <f>EXP(-LN(2)/25)*AA96+(1-EXP(-LN(2)/25))/(LN(2)/25)*Calculateur!V97*Calculateur!X97*VLOOKUP('Données projet'!$B$9,Paramètres!$A$1:$I$89,3,0)*0.475*44/12</f>
        <v>2.8897571225629699</v>
      </c>
      <c r="AB97" s="23">
        <f>EXP(-LN(2)/2)*AB96+(1-EXP(-LN(2)/2))/(LN(2)/2)*V97*Y97*VLOOKUP('Données projet'!$B$9,Paramètres!$A$1:$I$89,3,0)*0.475*44/12</f>
        <v>0.43555051460527067</v>
      </c>
      <c r="AC97" s="24">
        <f t="shared" si="57"/>
        <v>63.891348461331361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6.2</v>
      </c>
      <c r="AI97" s="14">
        <f>IF('Données projet'!$A$62&gt;35,AI96+AH97-AQ96,IF(A97&lt;'Données projet'!$A$62,$AF$205^A97,IF(A97='Données projet'!$A$62,'Données projet'!$B$62,AI96+AH97-AQ96)))</f>
        <v>326.7999999999999</v>
      </c>
      <c r="AJ97" s="14">
        <f>AI97*VLOOKUP('Données projet'!$B$10,Paramètres!$A$1:$I$89,3,0)*VLOOKUP('Données projet'!$B$10,Paramètres!$A$1:$I$89,5,0)</f>
        <v>331.37519999999989</v>
      </c>
      <c r="AK97" s="14">
        <f t="shared" si="89"/>
        <v>77.715352174616896</v>
      </c>
      <c r="AL97" s="22">
        <f t="shared" si="58"/>
        <v>712.49937837079085</v>
      </c>
      <c r="AM97" s="62">
        <f t="shared" si="59"/>
        <v>1005.8327117041242</v>
      </c>
      <c r="AN97" s="62">
        <f ca="1">AVERAGE(OFFSET($AM$3,0,0,'Données projet'!$E$10+1,1))-AVERAGE(OFFSET($H$3,0,0,'Données projet'!$E$10+1,1))</f>
        <v>360.56293184044779</v>
      </c>
      <c r="AO97" s="62">
        <f t="shared" si="90"/>
        <v>219.32252911220542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67.875735406389708</v>
      </c>
      <c r="AV97" s="23">
        <f>EXP(-LN(2)/25)*AV96+(1-EXP(-LN(2)/25))/(LN(2)/25)*Calculateur!AQ97*Calculateur!AS97*VLOOKUP('Données projet'!$B$10,Paramètres!$A$1:$I$89,3,0)*0.475*44/12</f>
        <v>3.2385209132171231</v>
      </c>
      <c r="AW97" s="23">
        <f>EXP(-LN(2)/2)*AW96+(1-EXP(-LN(2)/2))/(LN(2)/2)*AQ97*AT97*VLOOKUP('Données projet'!$B$10,Paramètres!$A$1:$I$89,3,0)*0.475*44/12</f>
        <v>0.48811695602314825</v>
      </c>
      <c r="AX97" s="23">
        <f t="shared" si="60"/>
        <v>71.602373275629986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1.1368683772161603E-13</v>
      </c>
      <c r="BE97" s="14">
        <f>BD97*VLOOKUP('Données projet'!$B$11,Paramètres!$A$1:$I$89,3,0)*VLOOKUP('Données projet'!$B$11,Paramètres!$A$1:$I$89,5,0)</f>
        <v>8.3355189417488869E-14</v>
      </c>
      <c r="BF97" s="14">
        <f t="shared" si="91"/>
        <v>1.2790518435140618E-12</v>
      </c>
      <c r="BG97" s="22">
        <f t="shared" si="61"/>
        <v>2.3728589156891171E-12</v>
      </c>
      <c r="BH97" s="62">
        <f t="shared" si="62"/>
        <v>293.3333333333357</v>
      </c>
      <c r="BI97" s="62">
        <f ca="1">AVERAGE(OFFSET($BH$3,0,0,'Données projet'!$E$11+1,1))-AVERAGE(OFFSET($H$3,0,0,'Données projet'!$E$11+1,1))</f>
        <v>182.06733089745194</v>
      </c>
      <c r="BJ97" s="62">
        <f t="shared" si="92"/>
        <v>320.36755413886021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16.821780172760018</v>
      </c>
      <c r="BQ97" s="23">
        <f>EXP(-LN(2)/25)*BQ96+(1-EXP(-LN(2)/25))/(LN(2)/25)*Calculateur!BL97*Calculateur!BN97*VLOOKUP('Données projet'!$B$11,Paramètres!$A$1:$I$89,3,0)*0.475*44/12</f>
        <v>2.1547879079923757</v>
      </c>
      <c r="BR97" s="23">
        <f>EXP(-LN(2)/2)*BR96+(1-EXP(-LN(2)/2))/(LN(2)/2)*BL97*BO97*VLOOKUP('Données projet'!$B$11,Paramètres!$A$1:$I$89,3,0)*0.475*44/12</f>
        <v>1.723841196182462E-7</v>
      </c>
      <c r="BS97" s="24">
        <f t="shared" si="63"/>
        <v>18.976568253136513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319.99999999999972</v>
      </c>
      <c r="BZ97" s="14">
        <f>BY97*VLOOKUP('Données projet'!$B$12,Paramètres!$A$1:$I$89,3,0)*VLOOKUP('Données projet'!$B$12,Paramètres!$A$1:$I$89,5,0)</f>
        <v>279.55199999999979</v>
      </c>
      <c r="CA97" s="14">
        <f t="shared" si="93"/>
        <v>66.872324781216591</v>
      </c>
      <c r="CB97" s="22">
        <f t="shared" si="64"/>
        <v>603.35569899395182</v>
      </c>
      <c r="CC97" s="62">
        <f t="shared" si="65"/>
        <v>896.68903232728508</v>
      </c>
      <c r="CD97" s="62">
        <f ca="1">AVERAGE(OFFSET($CC$3,0,0,'Données projet'!$E$12+1,1))-AVERAGE(OFFSET($H$3,0,0,'Données projet'!$E$12+1,1))</f>
        <v>248.60758320902863</v>
      </c>
      <c r="CE97" s="62">
        <f t="shared" si="94"/>
        <v>222.23585883330111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41.010487126027137</v>
      </c>
      <c r="CL97" s="23">
        <f>EXP(-LN(2)/25)*CL96+(1-EXP(-LN(2)/25))/(LN(2)/25)*Calculateur!CG97*Calculateur!CI97*VLOOKUP('Données projet'!$B$12,Paramètres!$A$1:$I$89,3,0)*0.475*44/12</f>
        <v>4.8830837698852685</v>
      </c>
      <c r="CM97" s="23">
        <f>EXP(-LN(2)/2)*CM96+(1-EXP(-LN(2)/2))/(LN(2)/2)*CG97*CJ97*VLOOKUP('Données projet'!$B$12,Paramètres!$A$1:$I$89,3,0)*0.475*44/12</f>
        <v>1.4670414018866164E-2</v>
      </c>
      <c r="CN97" s="24">
        <f t="shared" si="66"/>
        <v>45.90824130993127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193.99999999999994</v>
      </c>
      <c r="CU97" s="18">
        <f>CT97*VLOOKUP('Données projet'!$B$13,Paramètres!$A$1:$I$89,3,0)*VLOOKUP('Données projet'!$B$13,Paramètres!$A$1:$I$89,5,0)</f>
        <v>105.92399999999998</v>
      </c>
      <c r="CV97" s="14">
        <f t="shared" si="95"/>
        <v>28.36854701055546</v>
      </c>
      <c r="CW97" s="22">
        <f t="shared" si="67"/>
        <v>233.89285271005073</v>
      </c>
      <c r="CX97" s="62">
        <f t="shared" si="68"/>
        <v>527.22618604338402</v>
      </c>
      <c r="CY97" s="62">
        <f ca="1">AVERAGE(OFFSET($CX$3,0,0,'Données projet'!$E$13+1,1))-AVERAGE(OFFSET($H$3,0,0,'Données projet'!$E$13+1,1))</f>
        <v>135.44138026609272</v>
      </c>
      <c r="CZ97" s="62">
        <f t="shared" si="96"/>
        <v>254.77247578425659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18.603988298773785</v>
      </c>
      <c r="DG97" s="23">
        <f>EXP(-LN(2)/25)*DG96+(1-EXP(-LN(2)/25))/(LN(2)/25)*Calculateur!DB97*Calculateur!DD97*VLOOKUP('Données projet'!$B$13,Paramètres!$A$1:$I$89,3,0)*0.475*44/12</f>
        <v>7.6710519768708219</v>
      </c>
      <c r="DH97" s="23">
        <f>EXP(-LN(2)/2)*DH96+(1-EXP(-LN(2)/2))/(LN(2)/2)*DB97*DE97*VLOOKUP('Données projet'!$B$13,Paramètres!$A$1:$I$89,3,0)*0.475*44/12</f>
        <v>1.9802625556838257E-8</v>
      </c>
      <c r="DI97" s="24">
        <f t="shared" si="69"/>
        <v>26.275040295447234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273.00000000000023</v>
      </c>
      <c r="DP97" s="18">
        <f>DO97*VLOOKUP('Données projet'!$B$14,Paramètres!$A$1:$I$89,3,0)*VLOOKUP('Données projet'!$B$14,Paramètres!$A$1:$I$89,5,0)</f>
        <v>264.04560000000021</v>
      </c>
      <c r="DQ97" s="14">
        <f t="shared" si="97"/>
        <v>63.583959929973794</v>
      </c>
      <c r="DR97" s="22">
        <f t="shared" si="70"/>
        <v>570.6214835447048</v>
      </c>
      <c r="DS97" s="62">
        <f t="shared" si="71"/>
        <v>863.95481687803817</v>
      </c>
      <c r="DT97" s="62">
        <f ca="1">AVERAGE(OFFSET($DS$3,0,0,'Données projet'!$E$14+1,1))-AVERAGE(OFFSET($H$3,0,0,'Données projet'!$E$14+1,1))</f>
        <v>271.09447278906288</v>
      </c>
      <c r="DU97" s="62">
        <f t="shared" si="98"/>
        <v>325.1094067861851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20.64195914913493</v>
      </c>
      <c r="EB97" s="23">
        <f>EXP(-LN(2)/25)*EB96+(1-EXP(-LN(2)/25))/(LN(2)/25)*Calculateur!DW97*Calculateur!DY97*VLOOKUP('Données projet'!$B$14,Paramètres!$A$1:$I$89,3,0)*0.475*44/12</f>
        <v>2.8658962687393763</v>
      </c>
      <c r="EC97" s="23">
        <f>EXP(-LN(2)/2)*EC96+(1-EXP(-LN(2)/2))/(LN(2)/2)*DW97*DZ97*VLOOKUP('Données projet'!$B$14,Paramètres!$A$1:$I$89,3,0)*0.475*44/12</f>
        <v>4.6491710446420564E-5</v>
      </c>
      <c r="ED97" s="24">
        <f t="shared" si="72"/>
        <v>23.507901909584753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273.00000000000023</v>
      </c>
      <c r="EK97" s="18">
        <f>EJ97*VLOOKUP('Données projet'!$B$15,Paramètres!$A$1:$I$89,3,0)*VLOOKUP('Données projet'!$B$15,Paramètres!$A$1:$I$89,5,0)</f>
        <v>293.85720000000026</v>
      </c>
      <c r="EL97" s="14">
        <f t="shared" si="99"/>
        <v>69.887150190339895</v>
      </c>
      <c r="EM97" s="22">
        <f t="shared" si="73"/>
        <v>633.52140991484237</v>
      </c>
      <c r="EN97" s="62">
        <f t="shared" si="74"/>
        <v>926.85474324817574</v>
      </c>
      <c r="EO97" s="62">
        <f ca="1">AVERAGE(OFFSET($EN$3,0,0,'Données projet'!$E$15+1,1))-AVERAGE(OFFSET($H$3,0,0,'Données projet'!$E$15+1,1))</f>
        <v>306.50593475734655</v>
      </c>
      <c r="EP97" s="62">
        <f t="shared" si="100"/>
        <v>366.48643801375079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22.972502924037272</v>
      </c>
      <c r="EW97" s="23">
        <f>EXP(-LN(2)/25)*EW96+(1-EXP(-LN(2)/25))/(LN(2)/25)*Calculateur!ER97*Calculateur!ET97*VLOOKUP('Données projet'!$B$15,Paramètres!$A$1:$I$89,3,0)*0.475*44/12</f>
        <v>3.1894652023067245</v>
      </c>
      <c r="EX97" s="23">
        <f>EXP(-LN(2)/2)*EX96+(1-EXP(-LN(2)/2))/(LN(2)/2)*ER97*EU97*VLOOKUP('Données projet'!$B$15,Paramètres!$A$1:$I$89,3,0)*0.475*44/12</f>
        <v>5.1740774529080923E-5</v>
      </c>
      <c r="EY97" s="24">
        <f t="shared" si="75"/>
        <v>26.162019867118527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69.653999999999826</v>
      </c>
      <c r="D98" s="12">
        <f t="shared" si="86"/>
        <v>19.58750881309674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688.88182241688583</v>
      </c>
      <c r="H98" s="70">
        <f t="shared" si="56"/>
        <v>448.76229451614319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>
        <f>VLOOKUP(A98,'Données projet'!$A$35:$I$55,2,0)</f>
        <v>333</v>
      </c>
      <c r="L98" s="13">
        <f>VLOOKUP(A98,'Données projet'!$A$35:$I$55,9,0)</f>
        <v>6.2</v>
      </c>
      <c r="M98" s="13">
        <f t="array" ref="M98">INDEX(L:L,MIN(IF(ISNUMBER(L98:L294),ROW(L98:L294),"")))</f>
        <v>6.2</v>
      </c>
      <c r="N98" s="14">
        <f>IF('Données projet'!$A$36&gt;35,N97+M98-V97,IF(A98&lt;'Données projet'!$A$36,$K$205^A98,IF(A98='Données projet'!$A$36,'Données projet'!$B$36,N97+M98-V97)))</f>
        <v>332.99999999999989</v>
      </c>
      <c r="O98" s="14">
        <f>N98*VLOOKUP('Données projet'!$B$9,Paramètres!$A$1:$I$89,3,0)*VLOOKUP('Données projet'!$B$9,Paramètres!$A$1:$I$89,5,0)</f>
        <v>301.2983999999999</v>
      </c>
      <c r="P98" s="14">
        <f t="shared" si="87"/>
        <v>71.448589534990518</v>
      </c>
      <c r="Q98" s="22">
        <f t="shared" si="54"/>
        <v>649.20100677344158</v>
      </c>
      <c r="R98" s="62">
        <f t="shared" si="55"/>
        <v>942.53434010677483</v>
      </c>
      <c r="S98" s="62">
        <f ca="1">AVERAGE(OFFSET($R$3,0,0,'Données projet'!$E$9+1,1))-AVERAGE(OFFSET($H$3,0,0,'Données projet'!$E$9+1,1))</f>
        <v>312.57314929661908</v>
      </c>
      <c r="T98" s="62">
        <f t="shared" si="88"/>
        <v>190.92100876773804</v>
      </c>
      <c r="U98" s="16">
        <f>IF(ISNA(VLOOKUP(A98,'Données projet'!$A$35:$I$55,3,0)),0,VLOOKUP(A98,'Données projet'!$A$35:$I$55,3,0))</f>
        <v>16</v>
      </c>
      <c r="V98" s="16">
        <f>IF(ISNA(VLOOKUP(A98,'Données projet'!$A$35:$I$55,4,0)),0,VLOOKUP(A98,'Données projet'!$A$35:$I$55,4,0))</f>
        <v>28</v>
      </c>
      <c r="W98" s="17">
        <f>IF(ISNA(VLOOKUP(A98,'Données projet'!$A$35:$I$55,5,0)),0%,VLOOKUP(A98,'Données projet'!$A$35:$I$55,5,0)*VLOOKUP('Données projet'!$B$9,Paramètres!$A$1:$I$89,7,0))</f>
        <v>0.34400000000000003</v>
      </c>
      <c r="X98" s="17">
        <f>IF(ISNA(VLOOKUP(A98,'Données projet'!$A$35:$I$55,6,0)),0%,VLOOKUP(A98,'Données projet'!$A$35:$I$55,6,0)*VLOOKUP('Données projet'!$B$9,Paramètres!$A$1:$I$89,7,0))</f>
        <v>1.72E-2</v>
      </c>
      <c r="Y98" s="17">
        <f>IF(ISNA(VLOOKUP(A98,'Données projet'!$A$35:$I$55,7,0)),0%,VLOOKUP(A98,'Données projet'!$A$35:$I$55,7,0))</f>
        <v>0.06</v>
      </c>
      <c r="Z98" s="23">
        <f>EXP(-LN(2)/35)*Z97+(1-EXP(-LN(2)/35))/(LN(2)/35)*V98*W98*VLOOKUP('Données projet'!$B$9,Paramètres!$A$1:$I$89,3,0)*0.475*44/12</f>
        <v>69.012589206672914</v>
      </c>
      <c r="AA98" s="23">
        <f>EXP(-LN(2)/25)*AA97+(1-EXP(-LN(2)/25))/(LN(2)/25)*Calculateur!V98*Calculateur!X98*VLOOKUP('Données projet'!$B$9,Paramètres!$A$1:$I$89,3,0)*0.475*44/12</f>
        <v>3.2905504590723074</v>
      </c>
      <c r="AB98" s="23">
        <f>EXP(-LN(2)/2)*AB97+(1-EXP(-LN(2)/2))/(LN(2)/2)*V98*Y98*VLOOKUP('Données projet'!$B$9,Paramètres!$A$1:$I$89,3,0)*0.475*44/12</f>
        <v>1.742202018349402</v>
      </c>
      <c r="AC98" s="24">
        <f t="shared" si="57"/>
        <v>74.045341684094623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333</v>
      </c>
      <c r="AG98" s="13">
        <f>VLOOKUP(A98,'Données projet'!$A$61:$I$81,9,0)</f>
        <v>6.2</v>
      </c>
      <c r="AH98" s="13">
        <f t="array" ref="AH98">INDEX(AG:AG,MIN(IF(ISNUMBER(AG98:AG294),ROW(AG98:AG294),"")))</f>
        <v>6.2</v>
      </c>
      <c r="AI98" s="14">
        <f>IF('Données projet'!$A$62&gt;35,AI97+AH98-AQ97,IF(A98&lt;'Données projet'!$A$62,$AF$205^A98,IF(A98='Données projet'!$A$62,'Données projet'!$B$62,AI97+AH98-AQ97)))</f>
        <v>332.99999999999989</v>
      </c>
      <c r="AJ98" s="14">
        <f>AI98*VLOOKUP('Données projet'!$B$10,Paramètres!$A$1:$I$89,3,0)*VLOOKUP('Données projet'!$B$10,Paramètres!$A$1:$I$89,5,0)</f>
        <v>337.66199999999992</v>
      </c>
      <c r="AK98" s="14">
        <f t="shared" si="89"/>
        <v>79.016707002632685</v>
      </c>
      <c r="AL98" s="22">
        <f t="shared" si="58"/>
        <v>725.71541469625174</v>
      </c>
      <c r="AM98" s="62">
        <f t="shared" si="59"/>
        <v>1019.0487480295851</v>
      </c>
      <c r="AN98" s="62">
        <f ca="1">AVERAGE(OFFSET($AM$3,0,0,'Données projet'!$E$10+1,1))-AVERAGE(OFFSET($H$3,0,0,'Données projet'!$E$10+1,1))</f>
        <v>360.56293184044779</v>
      </c>
      <c r="AO98" s="62">
        <f t="shared" si="90"/>
        <v>219.32252911220542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28</v>
      </c>
      <c r="AR98" s="17">
        <f>IF(ISNA(VLOOKUP(A98,'Données projet'!$A$61:$I$81,5,0)),0%,VLOOKUP(A98,'Données projet'!$A$61:$I$81,5,0)*VLOOKUP('Données projet'!$B$10,Paramètres!$A$1:$I$89,7,0))</f>
        <v>0.34400000000000003</v>
      </c>
      <c r="AS98" s="17">
        <f>IF(ISNA(VLOOKUP(A98,'Données projet'!$A$61:$I$81,6,0)),0%,VLOOKUP(A98,'Données projet'!$A$61:$I$81,6,0)*VLOOKUP('Données projet'!$B$10,Paramètres!$A$1:$I$89,7,0))</f>
        <v>1.72E-2</v>
      </c>
      <c r="AT98" s="17">
        <f>IF(ISNA(VLOOKUP(A98,'Données projet'!$A$61:$I$81,7,0)),0%,VLOOKUP(A98,'Données projet'!$A$61:$I$81,7,0))</f>
        <v>0.06</v>
      </c>
      <c r="AU98" s="23">
        <f>EXP(-LN(2)/35)*AU97+(1-EXP(-LN(2)/35))/(LN(2)/35)*AQ98*AR98*VLOOKUP('Données projet'!$B$10,Paramètres!$A$1:$I$89,3,0)*0.475*44/12</f>
        <v>77.34169480058172</v>
      </c>
      <c r="AV98" s="23">
        <f>EXP(-LN(2)/25)*AV97+(1-EXP(-LN(2)/25))/(LN(2)/25)*Calculateur!AQ98*Calculateur!AS98*VLOOKUP('Données projet'!$B$10,Paramètres!$A$1:$I$89,3,0)*0.475*44/12</f>
        <v>3.6876858593051738</v>
      </c>
      <c r="AW98" s="23">
        <f>EXP(-LN(2)/2)*AW97+(1-EXP(-LN(2)/2))/(LN(2)/2)*AQ98*AT98*VLOOKUP('Données projet'!$B$10,Paramètres!$A$1:$I$89,3,0)*0.475*44/12</f>
        <v>1.952467779184675</v>
      </c>
      <c r="AX98" s="23">
        <f t="shared" si="60"/>
        <v>82.98184843907157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1.1368683772161603E-13</v>
      </c>
      <c r="BE98" s="14">
        <f>BD98*VLOOKUP('Données projet'!$B$11,Paramètres!$A$1:$I$89,3,0)*VLOOKUP('Données projet'!$B$11,Paramètres!$A$1:$I$89,5,0)</f>
        <v>8.3355189417488869E-14</v>
      </c>
      <c r="BF98" s="14">
        <f t="shared" si="91"/>
        <v>1.2790518435140618E-12</v>
      </c>
      <c r="BG98" s="22">
        <f t="shared" si="61"/>
        <v>2.3728589156891171E-12</v>
      </c>
      <c r="BH98" s="62">
        <f t="shared" si="62"/>
        <v>293.3333333333357</v>
      </c>
      <c r="BI98" s="62">
        <f ca="1">AVERAGE(OFFSET($BH$3,0,0,'Données projet'!$E$11+1,1))-AVERAGE(OFFSET($H$3,0,0,'Données projet'!$E$11+1,1))</f>
        <v>182.06733089745194</v>
      </c>
      <c r="BJ98" s="62">
        <f t="shared" si="92"/>
        <v>320.36755413886021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16.491915323844982</v>
      </c>
      <c r="BQ98" s="23">
        <f>EXP(-LN(2)/25)*BQ97+(1-EXP(-LN(2)/25))/(LN(2)/25)*Calculateur!BL98*Calculateur!BN98*VLOOKUP('Données projet'!$B$11,Paramètres!$A$1:$I$89,3,0)*0.475*44/12</f>
        <v>2.0958651193329532</v>
      </c>
      <c r="BR98" s="23">
        <f>EXP(-LN(2)/2)*BR97+(1-EXP(-LN(2)/2))/(LN(2)/2)*BL98*BO98*VLOOKUP('Données projet'!$B$11,Paramètres!$A$1:$I$89,3,0)*0.475*44/12</f>
        <v>1.2189397995093485E-7</v>
      </c>
      <c r="BS98" s="24">
        <f t="shared" si="63"/>
        <v>18.587780565071913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319.99999999999972</v>
      </c>
      <c r="BZ98" s="14">
        <f>BY98*VLOOKUP('Données projet'!$B$12,Paramètres!$A$1:$I$89,3,0)*VLOOKUP('Données projet'!$B$12,Paramètres!$A$1:$I$89,5,0)</f>
        <v>279.55199999999979</v>
      </c>
      <c r="CA98" s="14">
        <f t="shared" si="93"/>
        <v>66.872324781216591</v>
      </c>
      <c r="CB98" s="22">
        <f t="shared" si="64"/>
        <v>603.35569899395182</v>
      </c>
      <c r="CC98" s="62">
        <f t="shared" si="65"/>
        <v>896.68903232728508</v>
      </c>
      <c r="CD98" s="62">
        <f ca="1">AVERAGE(OFFSET($CC$3,0,0,'Données projet'!$E$12+1,1))-AVERAGE(OFFSET($H$3,0,0,'Données projet'!$E$12+1,1))</f>
        <v>248.60758320902863</v>
      </c>
      <c r="CE98" s="62">
        <f t="shared" si="94"/>
        <v>222.23585883330111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40.20629648741297</v>
      </c>
      <c r="CL98" s="23">
        <f>EXP(-LN(2)/25)*CL97+(1-EXP(-LN(2)/25))/(LN(2)/25)*Calculateur!CG98*Calculateur!CI98*VLOOKUP('Données projet'!$B$12,Paramètres!$A$1:$I$89,3,0)*0.475*44/12</f>
        <v>4.7495555874075412</v>
      </c>
      <c r="CM98" s="23">
        <f>EXP(-LN(2)/2)*CM97+(1-EXP(-LN(2)/2))/(LN(2)/2)*CG98*CJ98*VLOOKUP('Données projet'!$B$12,Paramètres!$A$1:$I$89,3,0)*0.475*44/12</f>
        <v>1.0373549235554455E-2</v>
      </c>
      <c r="CN98" s="24">
        <f t="shared" si="66"/>
        <v>44.966225624056065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193.99999999999994</v>
      </c>
      <c r="CU98" s="18">
        <f>CT98*VLOOKUP('Données projet'!$B$13,Paramètres!$A$1:$I$89,3,0)*VLOOKUP('Données projet'!$B$13,Paramètres!$A$1:$I$89,5,0)</f>
        <v>105.92399999999998</v>
      </c>
      <c r="CV98" s="14">
        <f t="shared" si="95"/>
        <v>28.36854701055546</v>
      </c>
      <c r="CW98" s="22">
        <f t="shared" si="67"/>
        <v>233.89285271005073</v>
      </c>
      <c r="CX98" s="62">
        <f t="shared" si="68"/>
        <v>527.22618604338402</v>
      </c>
      <c r="CY98" s="62">
        <f ca="1">AVERAGE(OFFSET($CX$3,0,0,'Données projet'!$E$13+1,1))-AVERAGE(OFFSET($H$3,0,0,'Données projet'!$E$13+1,1))</f>
        <v>135.44138026609272</v>
      </c>
      <c r="CZ98" s="62">
        <f t="shared" si="96"/>
        <v>254.77247578425659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18.239175435547239</v>
      </c>
      <c r="DG98" s="23">
        <f>EXP(-LN(2)/25)*DG97+(1-EXP(-LN(2)/25))/(LN(2)/25)*Calculateur!DB98*Calculateur!DD98*VLOOKUP('Données projet'!$B$13,Paramètres!$A$1:$I$89,3,0)*0.475*44/12</f>
        <v>7.4612866571601986</v>
      </c>
      <c r="DH98" s="23">
        <f>EXP(-LN(2)/2)*DH97+(1-EXP(-LN(2)/2))/(LN(2)/2)*DB98*DE98*VLOOKUP('Données projet'!$B$13,Paramètres!$A$1:$I$89,3,0)*0.475*44/12</f>
        <v>1.4002570816538363E-8</v>
      </c>
      <c r="DI98" s="24">
        <f t="shared" si="69"/>
        <v>25.700462106710006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273.00000000000023</v>
      </c>
      <c r="DP98" s="18">
        <f>DO98*VLOOKUP('Données projet'!$B$14,Paramètres!$A$1:$I$89,3,0)*VLOOKUP('Données projet'!$B$14,Paramètres!$A$1:$I$89,5,0)</f>
        <v>264.04560000000021</v>
      </c>
      <c r="DQ98" s="14">
        <f t="shared" si="97"/>
        <v>63.583959929973794</v>
      </c>
      <c r="DR98" s="22">
        <f t="shared" si="70"/>
        <v>570.6214835447048</v>
      </c>
      <c r="DS98" s="62">
        <f t="shared" si="71"/>
        <v>863.95481687803817</v>
      </c>
      <c r="DT98" s="62">
        <f ca="1">AVERAGE(OFFSET($DS$3,0,0,'Données projet'!$E$14+1,1))-AVERAGE(OFFSET($H$3,0,0,'Données projet'!$E$14+1,1))</f>
        <v>271.09447278906288</v>
      </c>
      <c r="DU98" s="62">
        <f t="shared" si="98"/>
        <v>325.1094067861851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20.23718292057228</v>
      </c>
      <c r="EB98" s="23">
        <f>EXP(-LN(2)/25)*EB97+(1-EXP(-LN(2)/25))/(LN(2)/25)*Calculateur!DW98*Calculateur!DY98*VLOOKUP('Données projet'!$B$14,Paramètres!$A$1:$I$89,3,0)*0.475*44/12</f>
        <v>2.7875281845597635</v>
      </c>
      <c r="EC98" s="23">
        <f>EXP(-LN(2)/2)*EC97+(1-EXP(-LN(2)/2))/(LN(2)/2)*DW98*DZ98*VLOOKUP('Données projet'!$B$14,Paramètres!$A$1:$I$89,3,0)*0.475*44/12</f>
        <v>3.2874603725625432E-5</v>
      </c>
      <c r="ED98" s="24">
        <f t="shared" si="72"/>
        <v>23.024743979735771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273.00000000000023</v>
      </c>
      <c r="EK98" s="18">
        <f>EJ98*VLOOKUP('Données projet'!$B$15,Paramètres!$A$1:$I$89,3,0)*VLOOKUP('Données projet'!$B$15,Paramètres!$A$1:$I$89,5,0)</f>
        <v>293.85720000000026</v>
      </c>
      <c r="EL98" s="14">
        <f t="shared" si="99"/>
        <v>69.887150190339895</v>
      </c>
      <c r="EM98" s="22">
        <f t="shared" si="73"/>
        <v>633.52140991484237</v>
      </c>
      <c r="EN98" s="62">
        <f t="shared" si="74"/>
        <v>926.85474324817574</v>
      </c>
      <c r="EO98" s="62">
        <f ca="1">AVERAGE(OFFSET($EN$3,0,0,'Données projet'!$E$15+1,1))-AVERAGE(OFFSET($H$3,0,0,'Données projet'!$E$15+1,1))</f>
        <v>306.50593475734655</v>
      </c>
      <c r="EP98" s="62">
        <f t="shared" si="100"/>
        <v>366.48643801375079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22.522026153540128</v>
      </c>
      <c r="EW98" s="23">
        <f>EXP(-LN(2)/25)*EW97+(1-EXP(-LN(2)/25))/(LN(2)/25)*Calculateur!ER98*Calculateur!ET98*VLOOKUP('Données projet'!$B$15,Paramètres!$A$1:$I$89,3,0)*0.475*44/12</f>
        <v>3.1022491086229618</v>
      </c>
      <c r="EX98" s="23">
        <f>EXP(-LN(2)/2)*EX97+(1-EXP(-LN(2)/2))/(LN(2)/2)*ER98*EU98*VLOOKUP('Données projet'!$B$15,Paramètres!$A$1:$I$89,3,0)*0.475*44/12</f>
        <v>3.6586252533357315E-5</v>
      </c>
      <c r="EY98" s="24">
        <f t="shared" si="75"/>
        <v>25.624311848415623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70.387199999999822</v>
      </c>
      <c r="D99" s="12">
        <f t="shared" si="86"/>
        <v>19.769582086327762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695.9470897891955</v>
      </c>
      <c r="H99" s="70">
        <f t="shared" si="56"/>
        <v>450.35639546702049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5.6</v>
      </c>
      <c r="N99" s="14">
        <f>IF('Données projet'!$A$36&gt;35,N98+M99-V98,IF(A99&lt;'Données projet'!$A$36,$K$205^A99,IF(A99='Données projet'!$A$36,'Données projet'!$B$36,N98+M99-V98)))</f>
        <v>310.59999999999991</v>
      </c>
      <c r="O99" s="14">
        <f>N99*VLOOKUP('Données projet'!$B$9,Paramètres!$A$1:$I$89,3,0)*VLOOKUP('Données projet'!$B$9,Paramètres!$A$1:$I$89,5,0)</f>
        <v>281.03087999999991</v>
      </c>
      <c r="P99" s="14">
        <f t="shared" si="87"/>
        <v>67.184816842275467</v>
      </c>
      <c r="Q99" s="22">
        <f t="shared" ref="Q99:Q130" si="107">(O99+P99)*0.475*44/12</f>
        <v>606.4756720002963</v>
      </c>
      <c r="R99" s="62">
        <f t="shared" si="55"/>
        <v>899.80900533362956</v>
      </c>
      <c r="S99" s="62">
        <f ca="1">AVERAGE(OFFSET($R$3,0,0,'Données projet'!$E$9+1,1))-AVERAGE(OFFSET($H$3,0,0,'Données projet'!$E$9+1,1))</f>
        <v>312.57314929661908</v>
      </c>
      <c r="T99" s="62">
        <f t="shared" si="88"/>
        <v>190.92100876773804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67.659294425853091</v>
      </c>
      <c r="AA99" s="23">
        <f>EXP(-LN(2)/25)*AA98+(1-EXP(-LN(2)/25))/(LN(2)/25)*Calculateur!V99*Calculateur!X99*VLOOKUP('Données projet'!$B$9,Paramètres!$A$1:$I$89,3,0)*0.475*44/12</f>
        <v>3.2005701837264473</v>
      </c>
      <c r="AB99" s="23">
        <f>EXP(-LN(2)/2)*AB98+(1-EXP(-LN(2)/2))/(LN(2)/2)*V99*Y99*VLOOKUP('Données projet'!$B$9,Paramètres!$A$1:$I$89,3,0)*0.475*44/12</f>
        <v>1.2319228613717521</v>
      </c>
      <c r="AC99" s="24">
        <f t="shared" si="57"/>
        <v>72.091787470951289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5.6</v>
      </c>
      <c r="AI99" s="14">
        <f>IF('Données projet'!$A$62&gt;35,AI98+AH99-AQ98,IF(A99&lt;'Données projet'!$A$62,$AF$205^A99,IF(A99='Données projet'!$A$62,'Données projet'!$B$62,AI98+AH99-AQ98)))</f>
        <v>310.59999999999991</v>
      </c>
      <c r="AJ99" s="14">
        <f>AI99*VLOOKUP('Données projet'!$B$10,Paramètres!$A$1:$I$89,3,0)*VLOOKUP('Données projet'!$B$10,Paramètres!$A$1:$I$89,5,0)</f>
        <v>314.94839999999994</v>
      </c>
      <c r="AK99" s="14">
        <f t="shared" si="89"/>
        <v>74.301298626081149</v>
      </c>
      <c r="AL99" s="22">
        <f t="shared" si="58"/>
        <v>677.94322510709128</v>
      </c>
      <c r="AM99" s="62">
        <f t="shared" si="59"/>
        <v>971.27655844042465</v>
      </c>
      <c r="AN99" s="62">
        <f ca="1">AVERAGE(OFFSET($AM$3,0,0,'Données projet'!$E$10+1,1))-AVERAGE(OFFSET($H$3,0,0,'Données projet'!$E$10+1,1))</f>
        <v>360.56293184044779</v>
      </c>
      <c r="AO99" s="62">
        <f t="shared" si="90"/>
        <v>219.32252911220542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75.825071339318114</v>
      </c>
      <c r="AV99" s="23">
        <f>EXP(-LN(2)/25)*AV98+(1-EXP(-LN(2)/25))/(LN(2)/25)*Calculateur!AQ99*Calculateur!AS99*VLOOKUP('Données projet'!$B$10,Paramètres!$A$1:$I$89,3,0)*0.475*44/12</f>
        <v>3.5868458955555029</v>
      </c>
      <c r="AW99" s="23">
        <f>EXP(-LN(2)/2)*AW98+(1-EXP(-LN(2)/2))/(LN(2)/2)*AQ99*AT99*VLOOKUP('Données projet'!$B$10,Paramètres!$A$1:$I$89,3,0)*0.475*44/12</f>
        <v>1.3806032067097225</v>
      </c>
      <c r="AX99" s="23">
        <f t="shared" si="60"/>
        <v>80.792520441583335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1.1368683772161603E-13</v>
      </c>
      <c r="BE99" s="14">
        <f>BD99*VLOOKUP('Données projet'!$B$11,Paramètres!$A$1:$I$89,3,0)*VLOOKUP('Données projet'!$B$11,Paramètres!$A$1:$I$89,5,0)</f>
        <v>8.3355189417488869E-14</v>
      </c>
      <c r="BF99" s="14">
        <f t="shared" si="91"/>
        <v>1.2790518435140618E-12</v>
      </c>
      <c r="BG99" s="22">
        <f t="shared" si="61"/>
        <v>2.3728589156891171E-12</v>
      </c>
      <c r="BH99" s="62">
        <f t="shared" si="62"/>
        <v>293.3333333333357</v>
      </c>
      <c r="BI99" s="62">
        <f ca="1">AVERAGE(OFFSET($BH$3,0,0,'Données projet'!$E$11+1,1))-AVERAGE(OFFSET($H$3,0,0,'Données projet'!$E$11+1,1))</f>
        <v>182.06733089745194</v>
      </c>
      <c r="BJ99" s="62">
        <f t="shared" si="92"/>
        <v>320.36755413886021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16.168518923419477</v>
      </c>
      <c r="BQ99" s="23">
        <f>EXP(-LN(2)/25)*BQ98+(1-EXP(-LN(2)/25))/(LN(2)/25)*Calculateur!BL99*Calculateur!BN99*VLOOKUP('Données projet'!$B$11,Paramètres!$A$1:$I$89,3,0)*0.475*44/12</f>
        <v>2.0385535774280372</v>
      </c>
      <c r="BR99" s="23">
        <f>EXP(-LN(2)/2)*BR98+(1-EXP(-LN(2)/2))/(LN(2)/2)*BL99*BO99*VLOOKUP('Données projet'!$B$11,Paramètres!$A$1:$I$89,3,0)*0.475*44/12</f>
        <v>8.6192059809123098E-8</v>
      </c>
      <c r="BS99" s="24">
        <f t="shared" si="63"/>
        <v>18.207072587039573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319.99999999999972</v>
      </c>
      <c r="BZ99" s="14">
        <f>BY99*VLOOKUP('Données projet'!$B$12,Paramètres!$A$1:$I$89,3,0)*VLOOKUP('Données projet'!$B$12,Paramètres!$A$1:$I$89,5,0)</f>
        <v>279.55199999999979</v>
      </c>
      <c r="CA99" s="14">
        <f t="shared" si="93"/>
        <v>66.872324781216591</v>
      </c>
      <c r="CB99" s="22">
        <f t="shared" si="64"/>
        <v>603.35569899395182</v>
      </c>
      <c r="CC99" s="62">
        <f t="shared" si="65"/>
        <v>896.68903232728508</v>
      </c>
      <c r="CD99" s="62">
        <f ca="1">AVERAGE(OFFSET($CC$3,0,0,'Données projet'!$E$12+1,1))-AVERAGE(OFFSET($H$3,0,0,'Données projet'!$E$12+1,1))</f>
        <v>248.60758320902863</v>
      </c>
      <c r="CE99" s="62">
        <f t="shared" si="94"/>
        <v>222.23585883330111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39.41787553671417</v>
      </c>
      <c r="CL99" s="23">
        <f>EXP(-LN(2)/25)*CL98+(1-EXP(-LN(2)/25))/(LN(2)/25)*Calculateur!CG99*Calculateur!CI99*VLOOKUP('Données projet'!$B$12,Paramètres!$A$1:$I$89,3,0)*0.475*44/12</f>
        <v>4.6196787401016088</v>
      </c>
      <c r="CM99" s="23">
        <f>EXP(-LN(2)/2)*CM98+(1-EXP(-LN(2)/2))/(LN(2)/2)*CG99*CJ99*VLOOKUP('Données projet'!$B$12,Paramètres!$A$1:$I$89,3,0)*0.475*44/12</f>
        <v>7.3352070094330818E-3</v>
      </c>
      <c r="CN99" s="24">
        <f t="shared" si="66"/>
        <v>44.044889483825216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193.99999999999994</v>
      </c>
      <c r="CU99" s="18">
        <f>CT99*VLOOKUP('Données projet'!$B$13,Paramètres!$A$1:$I$89,3,0)*VLOOKUP('Données projet'!$B$13,Paramètres!$A$1:$I$89,5,0)</f>
        <v>105.92399999999998</v>
      </c>
      <c r="CV99" s="14">
        <f t="shared" si="95"/>
        <v>28.36854701055546</v>
      </c>
      <c r="CW99" s="22">
        <f t="shared" si="67"/>
        <v>233.89285271005073</v>
      </c>
      <c r="CX99" s="62">
        <f t="shared" si="68"/>
        <v>527.22618604338402</v>
      </c>
      <c r="CY99" s="62">
        <f ca="1">AVERAGE(OFFSET($CX$3,0,0,'Données projet'!$E$13+1,1))-AVERAGE(OFFSET($H$3,0,0,'Données projet'!$E$13+1,1))</f>
        <v>135.44138026609272</v>
      </c>
      <c r="CZ99" s="62">
        <f t="shared" si="96"/>
        <v>254.77247578425659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17.881516330054691</v>
      </c>
      <c r="DG99" s="23">
        <f>EXP(-LN(2)/25)*DG98+(1-EXP(-LN(2)/25))/(LN(2)/25)*Calculateur!DB99*Calculateur!DD99*VLOOKUP('Données projet'!$B$13,Paramètres!$A$1:$I$89,3,0)*0.475*44/12</f>
        <v>7.2572573811481407</v>
      </c>
      <c r="DH99" s="23">
        <f>EXP(-LN(2)/2)*DH98+(1-EXP(-LN(2)/2))/(LN(2)/2)*DB99*DE99*VLOOKUP('Données projet'!$B$13,Paramètres!$A$1:$I$89,3,0)*0.475*44/12</f>
        <v>9.9013127784191284E-9</v>
      </c>
      <c r="DI99" s="24">
        <f t="shared" si="69"/>
        <v>25.138773721104144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273.00000000000023</v>
      </c>
      <c r="DP99" s="18">
        <f>DO99*VLOOKUP('Données projet'!$B$14,Paramètres!$A$1:$I$89,3,0)*VLOOKUP('Données projet'!$B$14,Paramètres!$A$1:$I$89,5,0)</f>
        <v>264.04560000000021</v>
      </c>
      <c r="DQ99" s="14">
        <f t="shared" si="97"/>
        <v>63.583959929973794</v>
      </c>
      <c r="DR99" s="22">
        <f t="shared" si="70"/>
        <v>570.6214835447048</v>
      </c>
      <c r="DS99" s="62">
        <f t="shared" si="71"/>
        <v>863.95481687803817</v>
      </c>
      <c r="DT99" s="62">
        <f ca="1">AVERAGE(OFFSET($DS$3,0,0,'Données projet'!$E$14+1,1))-AVERAGE(OFFSET($H$3,0,0,'Données projet'!$E$14+1,1))</f>
        <v>271.09447278906288</v>
      </c>
      <c r="DU99" s="62">
        <f t="shared" si="98"/>
        <v>325.1094067861851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19.840344106962625</v>
      </c>
      <c r="EB99" s="23">
        <f>EXP(-LN(2)/25)*EB98+(1-EXP(-LN(2)/25))/(LN(2)/25)*Calculateur!DW99*Calculateur!DY99*VLOOKUP('Données projet'!$B$14,Paramètres!$A$1:$I$89,3,0)*0.475*44/12</f>
        <v>2.7113030797632405</v>
      </c>
      <c r="EC99" s="23">
        <f>EXP(-LN(2)/2)*EC98+(1-EXP(-LN(2)/2))/(LN(2)/2)*DW99*DZ99*VLOOKUP('Données projet'!$B$14,Paramètres!$A$1:$I$89,3,0)*0.475*44/12</f>
        <v>2.3245855223210282E-5</v>
      </c>
      <c r="ED99" s="24">
        <f t="shared" si="72"/>
        <v>22.551670432581091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273.00000000000023</v>
      </c>
      <c r="EK99" s="18">
        <f>EJ99*VLOOKUP('Données projet'!$B$15,Paramètres!$A$1:$I$89,3,0)*VLOOKUP('Données projet'!$B$15,Paramètres!$A$1:$I$89,5,0)</f>
        <v>293.85720000000026</v>
      </c>
      <c r="EL99" s="14">
        <f t="shared" si="99"/>
        <v>69.887150190339895</v>
      </c>
      <c r="EM99" s="22">
        <f t="shared" si="73"/>
        <v>633.52140991484237</v>
      </c>
      <c r="EN99" s="62">
        <f t="shared" si="74"/>
        <v>926.85474324817574</v>
      </c>
      <c r="EO99" s="62">
        <f ca="1">AVERAGE(OFFSET($EN$3,0,0,'Données projet'!$E$15+1,1))-AVERAGE(OFFSET($H$3,0,0,'Données projet'!$E$15+1,1))</f>
        <v>306.50593475734655</v>
      </c>
      <c r="EP99" s="62">
        <f t="shared" si="100"/>
        <v>366.48643801375079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22.080382957748736</v>
      </c>
      <c r="EW99" s="23">
        <f>EXP(-LN(2)/25)*EW98+(1-EXP(-LN(2)/25))/(LN(2)/25)*Calculateur!ER99*Calculateur!ET99*VLOOKUP('Données projet'!$B$15,Paramètres!$A$1:$I$89,3,0)*0.475*44/12</f>
        <v>3.0174179436074766</v>
      </c>
      <c r="EX99" s="23">
        <f>EXP(-LN(2)/2)*EX98+(1-EXP(-LN(2)/2))/(LN(2)/2)*ER99*EU99*VLOOKUP('Données projet'!$B$15,Paramètres!$A$1:$I$89,3,0)*0.475*44/12</f>
        <v>2.5870387264540461E-5</v>
      </c>
      <c r="EY99" s="24">
        <f t="shared" si="75"/>
        <v>25.097826771743478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71.120399999999819</v>
      </c>
      <c r="D100" s="12">
        <f t="shared" si="86"/>
        <v>19.951434725279164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703.01065401969754</v>
      </c>
      <c r="H100" s="70">
        <f t="shared" si="56"/>
        <v>451.95011214652754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5.6</v>
      </c>
      <c r="N100" s="14">
        <f>IF('Données projet'!$A$36&gt;35,N99+M100-V99,IF(A100&lt;'Données projet'!$A$36,$K$205^A100,IF(A100='Données projet'!$A$36,'Données projet'!$B$36,N99+M100-V99)))</f>
        <v>316.19999999999993</v>
      </c>
      <c r="O100" s="14">
        <f>N100*VLOOKUP('Données projet'!$B$9,Paramètres!$A$1:$I$89,3,0)*VLOOKUP('Données projet'!$B$9,Paramètres!$A$1:$I$89,5,0)</f>
        <v>286.09775999999994</v>
      </c>
      <c r="P100" s="14">
        <f t="shared" si="87"/>
        <v>68.254020651723678</v>
      </c>
      <c r="Q100" s="22">
        <f t="shared" si="107"/>
        <v>617.16268463508527</v>
      </c>
      <c r="R100" s="62">
        <f t="shared" si="55"/>
        <v>910.49601796841853</v>
      </c>
      <c r="S100" s="62">
        <f ca="1">AVERAGE(OFFSET($R$3,0,0,'Données projet'!$E$9+1,1))-AVERAGE(OFFSET($H$3,0,0,'Données projet'!$E$9+1,1))</f>
        <v>312.57314929661908</v>
      </c>
      <c r="T100" s="62">
        <f t="shared" si="88"/>
        <v>190.92100876773804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66.332536930256822</v>
      </c>
      <c r="AA100" s="23">
        <f>EXP(-LN(2)/25)*AA99+(1-EXP(-LN(2)/25))/(LN(2)/25)*Calculateur!V100*Calculateur!X100*VLOOKUP('Données projet'!$B$9,Paramètres!$A$1:$I$89,3,0)*0.475*44/12</f>
        <v>3.1130504237417767</v>
      </c>
      <c r="AB100" s="23">
        <f>EXP(-LN(2)/2)*AB99+(1-EXP(-LN(2)/2))/(LN(2)/2)*V100*Y100*VLOOKUP('Données projet'!$B$9,Paramètres!$A$1:$I$89,3,0)*0.475*44/12</f>
        <v>0.87110100917470112</v>
      </c>
      <c r="AC100" s="24">
        <f t="shared" si="57"/>
        <v>70.316688363173299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5.6</v>
      </c>
      <c r="AI100" s="14">
        <f>IF('Données projet'!$A$62&gt;35,AI99+AH100-AQ99,IF(A100&lt;'Données projet'!$A$62,$AF$205^A100,IF(A100='Données projet'!$A$62,'Données projet'!$B$62,AI99+AH100-AQ99)))</f>
        <v>316.19999999999993</v>
      </c>
      <c r="AJ100" s="14">
        <f>AI100*VLOOKUP('Données projet'!$B$10,Paramètres!$A$1:$I$89,3,0)*VLOOKUP('Données projet'!$B$10,Paramètres!$A$1:$I$89,5,0)</f>
        <v>320.62679999999995</v>
      </c>
      <c r="AK100" s="14">
        <f t="shared" si="89"/>
        <v>75.483756735990909</v>
      </c>
      <c r="AL100" s="22">
        <f t="shared" si="58"/>
        <v>689.89255298185071</v>
      </c>
      <c r="AM100" s="62">
        <f t="shared" si="59"/>
        <v>983.22588631518397</v>
      </c>
      <c r="AN100" s="62">
        <f ca="1">AVERAGE(OFFSET($AM$3,0,0,'Données projet'!$E$10+1,1))-AVERAGE(OFFSET($H$3,0,0,'Données projet'!$E$10+1,1))</f>
        <v>360.56293184044779</v>
      </c>
      <c r="AO100" s="62">
        <f t="shared" si="90"/>
        <v>219.32252911220542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74.338187939080925</v>
      </c>
      <c r="AV100" s="23">
        <f>EXP(-LN(2)/25)*AV99+(1-EXP(-LN(2)/25))/(LN(2)/25)*Calculateur!AQ100*Calculateur!AS100*VLOOKUP('Données projet'!$B$10,Paramètres!$A$1:$I$89,3,0)*0.475*44/12</f>
        <v>3.4887634059175099</v>
      </c>
      <c r="AW100" s="23">
        <f>EXP(-LN(2)/2)*AW99+(1-EXP(-LN(2)/2))/(LN(2)/2)*AQ100*AT100*VLOOKUP('Données projet'!$B$10,Paramètres!$A$1:$I$89,3,0)*0.475*44/12</f>
        <v>0.97623388959233759</v>
      </c>
      <c r="AX100" s="23">
        <f t="shared" si="60"/>
        <v>78.803185234590771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1.1368683772161603E-13</v>
      </c>
      <c r="BE100" s="14">
        <f>BD100*VLOOKUP('Données projet'!$B$11,Paramètres!$A$1:$I$89,3,0)*VLOOKUP('Données projet'!$B$11,Paramètres!$A$1:$I$89,5,0)</f>
        <v>8.3355189417488869E-14</v>
      </c>
      <c r="BF100" s="14">
        <f t="shared" si="91"/>
        <v>1.2790518435140618E-12</v>
      </c>
      <c r="BG100" s="22">
        <f t="shared" si="61"/>
        <v>2.3728589156891171E-12</v>
      </c>
      <c r="BH100" s="62">
        <f t="shared" si="62"/>
        <v>293.3333333333357</v>
      </c>
      <c r="BI100" s="62">
        <f ca="1">AVERAGE(OFFSET($BH$3,0,0,'Données projet'!$E$11+1,1))-AVERAGE(OFFSET($H$3,0,0,'Données projet'!$E$11+1,1))</f>
        <v>182.06733089745194</v>
      </c>
      <c r="BJ100" s="62">
        <f t="shared" si="92"/>
        <v>320.36755413886021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15.851464129153991</v>
      </c>
      <c r="BQ100" s="23">
        <f>EXP(-LN(2)/25)*BQ99+(1-EXP(-LN(2)/25))/(LN(2)/25)*Calculateur!BL100*Calculateur!BN100*VLOOKUP('Données projet'!$B$11,Paramètres!$A$1:$I$89,3,0)*0.475*44/12</f>
        <v>1.9828092226503942</v>
      </c>
      <c r="BR100" s="23">
        <f>EXP(-LN(2)/2)*BR99+(1-EXP(-LN(2)/2))/(LN(2)/2)*BL100*BO100*VLOOKUP('Données projet'!$B$11,Paramètres!$A$1:$I$89,3,0)*0.475*44/12</f>
        <v>6.0946989975467424E-8</v>
      </c>
      <c r="BS100" s="24">
        <f t="shared" si="63"/>
        <v>17.834273412751376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319.99999999999972</v>
      </c>
      <c r="BZ100" s="14">
        <f>BY100*VLOOKUP('Données projet'!$B$12,Paramètres!$A$1:$I$89,3,0)*VLOOKUP('Données projet'!$B$12,Paramètres!$A$1:$I$89,5,0)</f>
        <v>279.55199999999979</v>
      </c>
      <c r="CA100" s="14">
        <f t="shared" si="93"/>
        <v>66.872324781216591</v>
      </c>
      <c r="CB100" s="22">
        <f t="shared" si="64"/>
        <v>603.35569899395182</v>
      </c>
      <c r="CC100" s="62">
        <f t="shared" si="65"/>
        <v>896.68903232728508</v>
      </c>
      <c r="CD100" s="62">
        <f ca="1">AVERAGE(OFFSET($CC$3,0,0,'Données projet'!$E$12+1,1))-AVERAGE(OFFSET($H$3,0,0,'Données projet'!$E$12+1,1))</f>
        <v>248.60758320902863</v>
      </c>
      <c r="CE100" s="62">
        <f t="shared" si="94"/>
        <v>222.23585883330111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38.644915039969277</v>
      </c>
      <c r="CL100" s="23">
        <f>EXP(-LN(2)/25)*CL99+(1-EXP(-LN(2)/25))/(LN(2)/25)*Calculateur!CG100*Calculateur!CI100*VLOOKUP('Données projet'!$B$12,Paramètres!$A$1:$I$89,3,0)*0.475*44/12</f>
        <v>4.4933533820151839</v>
      </c>
      <c r="CM100" s="23">
        <f>EXP(-LN(2)/2)*CM99+(1-EXP(-LN(2)/2))/(LN(2)/2)*CG100*CJ100*VLOOKUP('Données projet'!$B$12,Paramètres!$A$1:$I$89,3,0)*0.475*44/12</f>
        <v>5.1867746177772277E-3</v>
      </c>
      <c r="CN100" s="24">
        <f t="shared" si="66"/>
        <v>43.14345519660224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193.99999999999994</v>
      </c>
      <c r="CU100" s="18">
        <f>CT100*VLOOKUP('Données projet'!$B$13,Paramètres!$A$1:$I$89,3,0)*VLOOKUP('Données projet'!$B$13,Paramètres!$A$1:$I$89,5,0)</f>
        <v>105.92399999999998</v>
      </c>
      <c r="CV100" s="14">
        <f t="shared" si="95"/>
        <v>28.36854701055546</v>
      </c>
      <c r="CW100" s="22">
        <f t="shared" si="67"/>
        <v>233.89285271005073</v>
      </c>
      <c r="CX100" s="62">
        <f t="shared" si="68"/>
        <v>527.22618604338402</v>
      </c>
      <c r="CY100" s="62">
        <f ca="1">AVERAGE(OFFSET($CX$3,0,0,'Données projet'!$E$13+1,1))-AVERAGE(OFFSET($H$3,0,0,'Données projet'!$E$13+1,1))</f>
        <v>135.44138026609272</v>
      </c>
      <c r="CZ100" s="62">
        <f t="shared" si="96"/>
        <v>254.77247578425659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17.530870701470338</v>
      </c>
      <c r="DG100" s="23">
        <f>EXP(-LN(2)/25)*DG99+(1-EXP(-LN(2)/25))/(LN(2)/25)*Calculateur!DB100*Calculateur!DD100*VLOOKUP('Données projet'!$B$13,Paramètres!$A$1:$I$89,3,0)*0.475*44/12</f>
        <v>7.0588072964180659</v>
      </c>
      <c r="DH100" s="23">
        <f>EXP(-LN(2)/2)*DH99+(1-EXP(-LN(2)/2))/(LN(2)/2)*DB100*DE100*VLOOKUP('Données projet'!$B$13,Paramètres!$A$1:$I$89,3,0)*0.475*44/12</f>
        <v>7.0012854082691816E-9</v>
      </c>
      <c r="DI100" s="24">
        <f t="shared" si="69"/>
        <v>24.589678004889691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273.00000000000023</v>
      </c>
      <c r="DP100" s="18">
        <f>DO100*VLOOKUP('Données projet'!$B$14,Paramètres!$A$1:$I$89,3,0)*VLOOKUP('Données projet'!$B$14,Paramètres!$A$1:$I$89,5,0)</f>
        <v>264.04560000000021</v>
      </c>
      <c r="DQ100" s="14">
        <f t="shared" si="97"/>
        <v>63.583959929973794</v>
      </c>
      <c r="DR100" s="22">
        <f t="shared" si="70"/>
        <v>570.6214835447048</v>
      </c>
      <c r="DS100" s="62">
        <f t="shared" si="71"/>
        <v>863.95481687803817</v>
      </c>
      <c r="DT100" s="62">
        <f ca="1">AVERAGE(OFFSET($DS$3,0,0,'Données projet'!$E$14+1,1))-AVERAGE(OFFSET($H$3,0,0,'Données projet'!$E$14+1,1))</f>
        <v>271.09447278906288</v>
      </c>
      <c r="DU100" s="62">
        <f t="shared" si="98"/>
        <v>325.1094067861851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19.451287060440077</v>
      </c>
      <c r="EB100" s="23">
        <f>EXP(-LN(2)/25)*EB99+(1-EXP(-LN(2)/25))/(LN(2)/25)*Calculateur!DW100*Calculateur!DY100*VLOOKUP('Données projet'!$B$14,Paramètres!$A$1:$I$89,3,0)*0.475*44/12</f>
        <v>2.6371623544658824</v>
      </c>
      <c r="EC100" s="23">
        <f>EXP(-LN(2)/2)*EC99+(1-EXP(-LN(2)/2))/(LN(2)/2)*DW100*DZ100*VLOOKUP('Données projet'!$B$14,Paramètres!$A$1:$I$89,3,0)*0.475*44/12</f>
        <v>1.6437301862812716E-5</v>
      </c>
      <c r="ED100" s="24">
        <f t="shared" si="72"/>
        <v>22.088465852207822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273.00000000000023</v>
      </c>
      <c r="EK100" s="18">
        <f>EJ100*VLOOKUP('Données projet'!$B$15,Paramètres!$A$1:$I$89,3,0)*VLOOKUP('Données projet'!$B$15,Paramètres!$A$1:$I$89,5,0)</f>
        <v>293.85720000000026</v>
      </c>
      <c r="EL100" s="14">
        <f t="shared" si="99"/>
        <v>69.887150190339895</v>
      </c>
      <c r="EM100" s="22">
        <f t="shared" si="73"/>
        <v>633.52140991484237</v>
      </c>
      <c r="EN100" s="62">
        <f t="shared" si="74"/>
        <v>926.85474324817574</v>
      </c>
      <c r="EO100" s="62">
        <f ca="1">AVERAGE(OFFSET($EN$3,0,0,'Données projet'!$E$15+1,1))-AVERAGE(OFFSET($H$3,0,0,'Données projet'!$E$15+1,1))</f>
        <v>306.50593475734655</v>
      </c>
      <c r="EP100" s="62">
        <f t="shared" si="100"/>
        <v>366.48643801375079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21.647400115651063</v>
      </c>
      <c r="EW100" s="23">
        <f>EXP(-LN(2)/25)*EW99+(1-EXP(-LN(2)/25))/(LN(2)/25)*Calculateur!ER100*Calculateur!ET100*VLOOKUP('Données projet'!$B$15,Paramètres!$A$1:$I$89,3,0)*0.475*44/12</f>
        <v>2.934906491260417</v>
      </c>
      <c r="EX100" s="23">
        <f>EXP(-LN(2)/2)*EX99+(1-EXP(-LN(2)/2))/(LN(2)/2)*ER100*EU100*VLOOKUP('Données projet'!$B$15,Paramètres!$A$1:$I$89,3,0)*0.475*44/12</f>
        <v>1.8293126266678658E-5</v>
      </c>
      <c r="EY100" s="24">
        <f t="shared" si="75"/>
        <v>24.582324900037747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71.853599999999815</v>
      </c>
      <c r="D101" s="12">
        <f t="shared" si="86"/>
        <v>20.133069267859618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710.07253469926593</v>
      </c>
      <c r="H101" s="70">
        <f t="shared" si="56"/>
        <v>453.54344897485515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5.6</v>
      </c>
      <c r="N101" s="14">
        <f>IF('Données projet'!$A$36&gt;35,N100+M101-V100,IF(A101&lt;'Données projet'!$A$36,$K$205^A101,IF(A101='Données projet'!$A$36,'Données projet'!$B$36,N100+M101-V100)))</f>
        <v>321.79999999999995</v>
      </c>
      <c r="O101" s="14">
        <f>N101*VLOOKUP('Données projet'!$B$9,Paramètres!$A$1:$I$89,3,0)*VLOOKUP('Données projet'!$B$9,Paramètres!$A$1:$I$89,5,0)</f>
        <v>291.16463999999991</v>
      </c>
      <c r="P101" s="14">
        <f t="shared" si="87"/>
        <v>69.321022467464644</v>
      </c>
      <c r="Q101" s="22">
        <f t="shared" si="107"/>
        <v>627.84586213083401</v>
      </c>
      <c r="R101" s="62">
        <f t="shared" si="55"/>
        <v>921.17919546416738</v>
      </c>
      <c r="S101" s="62">
        <f ca="1">AVERAGE(OFFSET($R$3,0,0,'Données projet'!$E$9+1,1))-AVERAGE(OFFSET($H$3,0,0,'Données projet'!$E$9+1,1))</f>
        <v>312.57314929661908</v>
      </c>
      <c r="T101" s="62">
        <f t="shared" si="88"/>
        <v>190.92100876773804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65.031796339907032</v>
      </c>
      <c r="AA101" s="23">
        <f>EXP(-LN(2)/25)*AA100+(1-EXP(-LN(2)/25))/(LN(2)/25)*Calculateur!V101*Calculateur!X101*VLOOKUP('Données projet'!$B$9,Paramètres!$A$1:$I$89,3,0)*0.475*44/12</f>
        <v>3.0279238961963508</v>
      </c>
      <c r="AB101" s="23">
        <f>EXP(-LN(2)/2)*AB100+(1-EXP(-LN(2)/2))/(LN(2)/2)*V101*Y101*VLOOKUP('Données projet'!$B$9,Paramètres!$A$1:$I$89,3,0)*0.475*44/12</f>
        <v>0.61596143068587617</v>
      </c>
      <c r="AC101" s="24">
        <f t="shared" si="57"/>
        <v>68.675681666789259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5.6</v>
      </c>
      <c r="AI101" s="14">
        <f>IF('Données projet'!$A$62&gt;35,AI100+AH101-AQ100,IF(A101&lt;'Données projet'!$A$62,$AF$205^A101,IF(A101='Données projet'!$A$62,'Données projet'!$B$62,AI100+AH101-AQ100)))</f>
        <v>321.79999999999995</v>
      </c>
      <c r="AJ101" s="14">
        <f>AI101*VLOOKUP('Données projet'!$B$10,Paramètres!$A$1:$I$89,3,0)*VLOOKUP('Données projet'!$B$10,Paramètres!$A$1:$I$89,5,0)</f>
        <v>326.30520000000001</v>
      </c>
      <c r="AK101" s="14">
        <f t="shared" si="89"/>
        <v>76.663779608302349</v>
      </c>
      <c r="AL101" s="22">
        <f t="shared" si="58"/>
        <v>701.83763948445983</v>
      </c>
      <c r="AM101" s="62">
        <f t="shared" si="59"/>
        <v>995.1709728177932</v>
      </c>
      <c r="AN101" s="62">
        <f ca="1">AVERAGE(OFFSET($AM$3,0,0,'Données projet'!$E$10+1,1))-AVERAGE(OFFSET($H$3,0,0,'Données projet'!$E$10+1,1))</f>
        <v>360.56293184044779</v>
      </c>
      <c r="AO101" s="62">
        <f t="shared" si="90"/>
        <v>219.32252911220542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72.880461415413052</v>
      </c>
      <c r="AV101" s="23">
        <f>EXP(-LN(2)/25)*AV100+(1-EXP(-LN(2)/25))/(LN(2)/25)*Calculateur!AQ101*Calculateur!AS101*VLOOKUP('Données projet'!$B$10,Paramètres!$A$1:$I$89,3,0)*0.475*44/12</f>
        <v>3.3933629871166016</v>
      </c>
      <c r="AW101" s="23">
        <f>EXP(-LN(2)/2)*AW100+(1-EXP(-LN(2)/2))/(LN(2)/2)*AQ101*AT101*VLOOKUP('Données projet'!$B$10,Paramètres!$A$1:$I$89,3,0)*0.475*44/12</f>
        <v>0.69030160335486135</v>
      </c>
      <c r="AX101" s="23">
        <f t="shared" si="60"/>
        <v>76.964126005884523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1.1368683772161603E-13</v>
      </c>
      <c r="BE101" s="14">
        <f>BD101*VLOOKUP('Données projet'!$B$11,Paramètres!$A$1:$I$89,3,0)*VLOOKUP('Données projet'!$B$11,Paramètres!$A$1:$I$89,5,0)</f>
        <v>8.3355189417488869E-14</v>
      </c>
      <c r="BF101" s="14">
        <f t="shared" si="91"/>
        <v>1.2790518435140618E-12</v>
      </c>
      <c r="BG101" s="22">
        <f t="shared" si="61"/>
        <v>2.3728589156891171E-12</v>
      </c>
      <c r="BH101" s="62">
        <f t="shared" si="62"/>
        <v>293.3333333333357</v>
      </c>
      <c r="BI101" s="62">
        <f ca="1">AVERAGE(OFFSET($BH$3,0,0,'Données projet'!$E$11+1,1))-AVERAGE(OFFSET($H$3,0,0,'Données projet'!$E$11+1,1))</f>
        <v>182.06733089745194</v>
      </c>
      <c r="BJ101" s="62">
        <f t="shared" si="92"/>
        <v>320.36755413886021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15.540626586019721</v>
      </c>
      <c r="BQ101" s="23">
        <f>EXP(-LN(2)/25)*BQ100+(1-EXP(-LN(2)/25))/(LN(2)/25)*Calculateur!BL101*Calculateur!BN101*VLOOKUP('Données projet'!$B$11,Paramètres!$A$1:$I$89,3,0)*0.475*44/12</f>
        <v>1.928589200185614</v>
      </c>
      <c r="BR101" s="23">
        <f>EXP(-LN(2)/2)*BR100+(1-EXP(-LN(2)/2))/(LN(2)/2)*BL101*BO101*VLOOKUP('Données projet'!$B$11,Paramètres!$A$1:$I$89,3,0)*0.475*44/12</f>
        <v>4.3096029904561549E-8</v>
      </c>
      <c r="BS101" s="24">
        <f t="shared" si="63"/>
        <v>17.469215829301366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319.99999999999972</v>
      </c>
      <c r="BZ101" s="14">
        <f>BY101*VLOOKUP('Données projet'!$B$12,Paramètres!$A$1:$I$89,3,0)*VLOOKUP('Données projet'!$B$12,Paramètres!$A$1:$I$89,5,0)</f>
        <v>279.55199999999979</v>
      </c>
      <c r="CA101" s="14">
        <f t="shared" si="93"/>
        <v>66.872324781216591</v>
      </c>
      <c r="CB101" s="22">
        <f t="shared" si="64"/>
        <v>603.35569899395182</v>
      </c>
      <c r="CC101" s="62">
        <f t="shared" si="65"/>
        <v>896.68903232728508</v>
      </c>
      <c r="CD101" s="62">
        <f ca="1">AVERAGE(OFFSET($CC$3,0,0,'Données projet'!$E$12+1,1))-AVERAGE(OFFSET($H$3,0,0,'Données projet'!$E$12+1,1))</f>
        <v>248.60758320902863</v>
      </c>
      <c r="CE101" s="62">
        <f t="shared" si="94"/>
        <v>222.23585883330111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37.887111827106203</v>
      </c>
      <c r="CL101" s="23">
        <f>EXP(-LN(2)/25)*CL100+(1-EXP(-LN(2)/25))/(LN(2)/25)*Calculateur!CG101*Calculateur!CI101*VLOOKUP('Données projet'!$B$12,Paramètres!$A$1:$I$89,3,0)*0.475*44/12</f>
        <v>4.3704823974887939</v>
      </c>
      <c r="CM101" s="23">
        <f>EXP(-LN(2)/2)*CM100+(1-EXP(-LN(2)/2))/(LN(2)/2)*CG101*CJ101*VLOOKUP('Données projet'!$B$12,Paramètres!$A$1:$I$89,3,0)*0.475*44/12</f>
        <v>3.6676035047165409E-3</v>
      </c>
      <c r="CN101" s="24">
        <f t="shared" si="66"/>
        <v>42.261261828099713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193.99999999999994</v>
      </c>
      <c r="CU101" s="18">
        <f>CT101*VLOOKUP('Données projet'!$B$13,Paramètres!$A$1:$I$89,3,0)*VLOOKUP('Données projet'!$B$13,Paramètres!$A$1:$I$89,5,0)</f>
        <v>105.92399999999998</v>
      </c>
      <c r="CV101" s="14">
        <f t="shared" si="95"/>
        <v>28.36854701055546</v>
      </c>
      <c r="CW101" s="22">
        <f t="shared" si="67"/>
        <v>233.89285271005073</v>
      </c>
      <c r="CX101" s="62">
        <f t="shared" si="68"/>
        <v>527.22618604338402</v>
      </c>
      <c r="CY101" s="62">
        <f ca="1">AVERAGE(OFFSET($CX$3,0,0,'Données projet'!$E$13+1,1))-AVERAGE(OFFSET($H$3,0,0,'Données projet'!$E$13+1,1))</f>
        <v>135.44138026609272</v>
      </c>
      <c r="CZ101" s="62">
        <f t="shared" si="96"/>
        <v>254.77247578425659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17.187101019789807</v>
      </c>
      <c r="DG101" s="23">
        <f>EXP(-LN(2)/25)*DG100+(1-EXP(-LN(2)/25))/(LN(2)/25)*Calculateur!DB101*Calculateur!DD101*VLOOKUP('Données projet'!$B$13,Paramètres!$A$1:$I$89,3,0)*0.475*44/12</f>
        <v>6.8657838396909714</v>
      </c>
      <c r="DH101" s="23">
        <f>EXP(-LN(2)/2)*DH100+(1-EXP(-LN(2)/2))/(LN(2)/2)*DB101*DE101*VLOOKUP('Données projet'!$B$13,Paramètres!$A$1:$I$89,3,0)*0.475*44/12</f>
        <v>4.9506563892095642E-9</v>
      </c>
      <c r="DI101" s="24">
        <f t="shared" si="69"/>
        <v>24.052884864431434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273.00000000000023</v>
      </c>
      <c r="DP101" s="18">
        <f>DO101*VLOOKUP('Données projet'!$B$14,Paramètres!$A$1:$I$89,3,0)*VLOOKUP('Données projet'!$B$14,Paramètres!$A$1:$I$89,5,0)</f>
        <v>264.04560000000021</v>
      </c>
      <c r="DQ101" s="14">
        <f t="shared" si="97"/>
        <v>63.583959929973794</v>
      </c>
      <c r="DR101" s="22">
        <f t="shared" si="70"/>
        <v>570.6214835447048</v>
      </c>
      <c r="DS101" s="62">
        <f t="shared" si="71"/>
        <v>863.95481687803817</v>
      </c>
      <c r="DT101" s="62">
        <f ca="1">AVERAGE(OFFSET($DS$3,0,0,'Données projet'!$E$14+1,1))-AVERAGE(OFFSET($H$3,0,0,'Données projet'!$E$14+1,1))</f>
        <v>271.09447278906288</v>
      </c>
      <c r="DU101" s="62">
        <f t="shared" si="98"/>
        <v>325.1094067861851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19.069859185298469</v>
      </c>
      <c r="EB101" s="23">
        <f>EXP(-LN(2)/25)*EB100+(1-EXP(-LN(2)/25))/(LN(2)/25)*Calculateur!DW101*Calculateur!DY101*VLOOKUP('Données projet'!$B$14,Paramètres!$A$1:$I$89,3,0)*0.475*44/12</f>
        <v>2.5650490112006721</v>
      </c>
      <c r="EC101" s="23">
        <f>EXP(-LN(2)/2)*EC100+(1-EXP(-LN(2)/2))/(LN(2)/2)*DW101*DZ101*VLOOKUP('Données projet'!$B$14,Paramètres!$A$1:$I$89,3,0)*0.475*44/12</f>
        <v>1.1622927611605141E-5</v>
      </c>
      <c r="ED101" s="24">
        <f t="shared" si="72"/>
        <v>21.634919819426752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273.00000000000023</v>
      </c>
      <c r="EK101" s="18">
        <f>EJ101*VLOOKUP('Données projet'!$B$15,Paramètres!$A$1:$I$89,3,0)*VLOOKUP('Données projet'!$B$15,Paramètres!$A$1:$I$89,5,0)</f>
        <v>293.85720000000026</v>
      </c>
      <c r="EL101" s="14">
        <f t="shared" si="99"/>
        <v>69.887150190339895</v>
      </c>
      <c r="EM101" s="22">
        <f t="shared" si="73"/>
        <v>633.52140991484237</v>
      </c>
      <c r="EN101" s="62">
        <f t="shared" si="74"/>
        <v>926.85474324817574</v>
      </c>
      <c r="EO101" s="62">
        <f ca="1">AVERAGE(OFFSET($EN$3,0,0,'Données projet'!$E$15+1,1))-AVERAGE(OFFSET($H$3,0,0,'Données projet'!$E$15+1,1))</f>
        <v>306.50593475734655</v>
      </c>
      <c r="EP101" s="62">
        <f t="shared" si="100"/>
        <v>366.48643801375079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21.222907802993468</v>
      </c>
      <c r="EW101" s="23">
        <f>EXP(-LN(2)/25)*EW100+(1-EXP(-LN(2)/25))/(LN(2)/25)*Calculateur!ER101*Calculateur!ET101*VLOOKUP('Données projet'!$B$15,Paramètres!$A$1:$I$89,3,0)*0.475*44/12</f>
        <v>2.8546513189168765</v>
      </c>
      <c r="EX101" s="23">
        <f>EXP(-LN(2)/2)*EX100+(1-EXP(-LN(2)/2))/(LN(2)/2)*ER101*EU101*VLOOKUP('Données projet'!$B$15,Paramètres!$A$1:$I$89,3,0)*0.475*44/12</f>
        <v>1.2935193632270231E-5</v>
      </c>
      <c r="EY101" s="24">
        <f t="shared" si="75"/>
        <v>24.077572057103975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72.586799999999812</v>
      </c>
      <c r="D102" s="12">
        <f t="shared" si="86"/>
        <v>20.314488197199012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717.13275099592067</v>
      </c>
      <c r="H102" s="70">
        <f t="shared" si="56"/>
        <v>455.13641027678796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5.6</v>
      </c>
      <c r="N102" s="14">
        <f>IF('Données projet'!$A$36&gt;35,N101+M102-V101,IF(A102&lt;'Données projet'!$A$36,$K$205^A102,IF(A102='Données projet'!$A$36,'Données projet'!$B$36,N101+M102-V101)))</f>
        <v>327.39999999999998</v>
      </c>
      <c r="O102" s="14">
        <f>N102*VLOOKUP('Données projet'!$B$9,Paramètres!$A$1:$I$89,3,0)*VLOOKUP('Données projet'!$B$9,Paramètres!$A$1:$I$89,5,0)</f>
        <v>296.23151999999993</v>
      </c>
      <c r="P102" s="14">
        <f t="shared" si="87"/>
        <v>70.385865030263986</v>
      </c>
      <c r="Q102" s="22">
        <f t="shared" si="107"/>
        <v>638.52527892770956</v>
      </c>
      <c r="R102" s="62">
        <f t="shared" si="55"/>
        <v>931.85861226104294</v>
      </c>
      <c r="S102" s="62">
        <f ca="1">AVERAGE(OFFSET($R$3,0,0,'Données projet'!$E$9+1,1))-AVERAGE(OFFSET($H$3,0,0,'Données projet'!$E$9+1,1))</f>
        <v>312.57314929661908</v>
      </c>
      <c r="T102" s="62">
        <f t="shared" si="88"/>
        <v>190.92100876773804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63.756562479160579</v>
      </c>
      <c r="AA102" s="23">
        <f>EXP(-LN(2)/25)*AA101+(1-EXP(-LN(2)/25))/(LN(2)/25)*Calculateur!V102*Calculateur!X102*VLOOKUP('Données projet'!$B$9,Paramètres!$A$1:$I$89,3,0)*0.475*44/12</f>
        <v>2.9451251580232642</v>
      </c>
      <c r="AB102" s="23">
        <f>EXP(-LN(2)/2)*AB101+(1-EXP(-LN(2)/2))/(LN(2)/2)*V102*Y102*VLOOKUP('Données projet'!$B$9,Paramètres!$A$1:$I$89,3,0)*0.475*44/12</f>
        <v>0.43555050458735062</v>
      </c>
      <c r="AC102" s="24">
        <f t="shared" si="57"/>
        <v>67.137238141771192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5.6</v>
      </c>
      <c r="AI102" s="14">
        <f>IF('Données projet'!$A$62&gt;35,AI101+AH102-AQ101,IF(A102&lt;'Données projet'!$A$62,$AF$205^A102,IF(A102='Données projet'!$A$62,'Données projet'!$B$62,AI101+AH102-AQ101)))</f>
        <v>327.39999999999998</v>
      </c>
      <c r="AJ102" s="14">
        <f>AI102*VLOOKUP('Données projet'!$B$10,Paramètres!$A$1:$I$89,3,0)*VLOOKUP('Données projet'!$B$10,Paramètres!$A$1:$I$89,5,0)</f>
        <v>331.98360000000002</v>
      </c>
      <c r="AK102" s="14">
        <f t="shared" si="89"/>
        <v>77.841414511052207</v>
      </c>
      <c r="AL102" s="22">
        <f t="shared" si="58"/>
        <v>713.77856694008267</v>
      </c>
      <c r="AM102" s="62">
        <f t="shared" si="59"/>
        <v>1007.111900273416</v>
      </c>
      <c r="AN102" s="62">
        <f ca="1">AVERAGE(OFFSET($AM$3,0,0,'Données projet'!$E$10+1,1))-AVERAGE(OFFSET($H$3,0,0,'Données projet'!$E$10+1,1))</f>
        <v>360.56293184044779</v>
      </c>
      <c r="AO102" s="62">
        <f t="shared" si="90"/>
        <v>219.32252911220542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71.45132001974892</v>
      </c>
      <c r="AV102" s="23">
        <f>EXP(-LN(2)/25)*AV101+(1-EXP(-LN(2)/25))/(LN(2)/25)*Calculateur!AQ102*Calculateur!AS102*VLOOKUP('Données projet'!$B$10,Paramètres!$A$1:$I$89,3,0)*0.475*44/12</f>
        <v>3.3005712977846944</v>
      </c>
      <c r="AW102" s="23">
        <f>EXP(-LN(2)/2)*AW101+(1-EXP(-LN(2)/2))/(LN(2)/2)*AQ102*AT102*VLOOKUP('Données projet'!$B$10,Paramètres!$A$1:$I$89,3,0)*0.475*44/12</f>
        <v>0.48811694479616891</v>
      </c>
      <c r="AX102" s="23">
        <f t="shared" si="60"/>
        <v>75.240008262329795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1.1368683772161603E-13</v>
      </c>
      <c r="BE102" s="14">
        <f>BD102*VLOOKUP('Données projet'!$B$11,Paramètres!$A$1:$I$89,3,0)*VLOOKUP('Données projet'!$B$11,Paramètres!$A$1:$I$89,5,0)</f>
        <v>8.3355189417488869E-14</v>
      </c>
      <c r="BF102" s="14">
        <f t="shared" si="91"/>
        <v>1.2790518435140618E-12</v>
      </c>
      <c r="BG102" s="22">
        <f t="shared" si="61"/>
        <v>2.3728589156891171E-12</v>
      </c>
      <c r="BH102" s="62">
        <f t="shared" si="62"/>
        <v>293.3333333333357</v>
      </c>
      <c r="BI102" s="62">
        <f ca="1">AVERAGE(OFFSET($BH$3,0,0,'Données projet'!$E$11+1,1))-AVERAGE(OFFSET($H$3,0,0,'Données projet'!$E$11+1,1))</f>
        <v>182.06733089745194</v>
      </c>
      <c r="BJ102" s="62">
        <f t="shared" si="92"/>
        <v>320.36755413886021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15.235884377514134</v>
      </c>
      <c r="BQ102" s="23">
        <f>EXP(-LN(2)/25)*BQ101+(1-EXP(-LN(2)/25))/(LN(2)/25)*Calculateur!BL102*Calculateur!BN102*VLOOKUP('Données projet'!$B$11,Paramètres!$A$1:$I$89,3,0)*0.475*44/12</f>
        <v>1.8758518270864402</v>
      </c>
      <c r="BR102" s="23">
        <f>EXP(-LN(2)/2)*BR101+(1-EXP(-LN(2)/2))/(LN(2)/2)*BL102*BO102*VLOOKUP('Données projet'!$B$11,Paramètres!$A$1:$I$89,3,0)*0.475*44/12</f>
        <v>3.0473494987733712E-8</v>
      </c>
      <c r="BS102" s="24">
        <f t="shared" si="63"/>
        <v>17.111736235074069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319.99999999999972</v>
      </c>
      <c r="BZ102" s="14">
        <f>BY102*VLOOKUP('Données projet'!$B$12,Paramètres!$A$1:$I$89,3,0)*VLOOKUP('Données projet'!$B$12,Paramètres!$A$1:$I$89,5,0)</f>
        <v>279.55199999999979</v>
      </c>
      <c r="CA102" s="14">
        <f t="shared" si="93"/>
        <v>66.872324781216591</v>
      </c>
      <c r="CB102" s="22">
        <f t="shared" si="64"/>
        <v>603.35569899395182</v>
      </c>
      <c r="CC102" s="62">
        <f t="shared" si="65"/>
        <v>896.68903232728508</v>
      </c>
      <c r="CD102" s="62">
        <f ca="1">AVERAGE(OFFSET($CC$3,0,0,'Données projet'!$E$12+1,1))-AVERAGE(OFFSET($H$3,0,0,'Données projet'!$E$12+1,1))</f>
        <v>248.60758320902863</v>
      </c>
      <c r="CE102" s="62">
        <f t="shared" si="94"/>
        <v>222.23585883330111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37.144168673033057</v>
      </c>
      <c r="CL102" s="23">
        <f>EXP(-LN(2)/25)*CL101+(1-EXP(-LN(2)/25))/(LN(2)/25)*Calculateur!CG102*Calculateur!CI102*VLOOKUP('Données projet'!$B$12,Paramètres!$A$1:$I$89,3,0)*0.475*44/12</f>
        <v>4.2509713264957822</v>
      </c>
      <c r="CM102" s="23">
        <f>EXP(-LN(2)/2)*CM101+(1-EXP(-LN(2)/2))/(LN(2)/2)*CG102*CJ102*VLOOKUP('Données projet'!$B$12,Paramètres!$A$1:$I$89,3,0)*0.475*44/12</f>
        <v>2.5933873088886139E-3</v>
      </c>
      <c r="CN102" s="24">
        <f t="shared" si="66"/>
        <v>41.397733386837729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193.99999999999994</v>
      </c>
      <c r="CU102" s="18">
        <f>CT102*VLOOKUP('Données projet'!$B$13,Paramètres!$A$1:$I$89,3,0)*VLOOKUP('Données projet'!$B$13,Paramètres!$A$1:$I$89,5,0)</f>
        <v>105.92399999999998</v>
      </c>
      <c r="CV102" s="14">
        <f t="shared" si="95"/>
        <v>28.36854701055546</v>
      </c>
      <c r="CW102" s="22">
        <f t="shared" si="67"/>
        <v>233.89285271005073</v>
      </c>
      <c r="CX102" s="62">
        <f t="shared" si="68"/>
        <v>527.22618604338402</v>
      </c>
      <c r="CY102" s="62">
        <f ca="1">AVERAGE(OFFSET($CX$3,0,0,'Données projet'!$E$13+1,1))-AVERAGE(OFFSET($H$3,0,0,'Données projet'!$E$13+1,1))</f>
        <v>135.44138026609272</v>
      </c>
      <c r="CZ102" s="62">
        <f t="shared" si="96"/>
        <v>254.77247578425659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16.850072451888231</v>
      </c>
      <c r="DG102" s="23">
        <f>EXP(-LN(2)/25)*DG101+(1-EXP(-LN(2)/25))/(LN(2)/25)*Calculateur!DB102*Calculateur!DD102*VLOOKUP('Données projet'!$B$13,Paramètres!$A$1:$I$89,3,0)*0.475*44/12</f>
        <v>6.678038619538742</v>
      </c>
      <c r="DH102" s="23">
        <f>EXP(-LN(2)/2)*DH101+(1-EXP(-LN(2)/2))/(LN(2)/2)*DB102*DE102*VLOOKUP('Données projet'!$B$13,Paramètres!$A$1:$I$89,3,0)*0.475*44/12</f>
        <v>3.5006427041345908E-9</v>
      </c>
      <c r="DI102" s="24">
        <f t="shared" si="69"/>
        <v>23.528111074927615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273.00000000000023</v>
      </c>
      <c r="DP102" s="18">
        <f>DO102*VLOOKUP('Données projet'!$B$14,Paramètres!$A$1:$I$89,3,0)*VLOOKUP('Données projet'!$B$14,Paramètres!$A$1:$I$89,5,0)</f>
        <v>264.04560000000021</v>
      </c>
      <c r="DQ102" s="14">
        <f t="shared" si="97"/>
        <v>63.583959929973794</v>
      </c>
      <c r="DR102" s="22">
        <f t="shared" si="70"/>
        <v>570.6214835447048</v>
      </c>
      <c r="DS102" s="62">
        <f t="shared" si="71"/>
        <v>863.95481687803817</v>
      </c>
      <c r="DT102" s="62">
        <f ca="1">AVERAGE(OFFSET($DS$3,0,0,'Données projet'!$E$14+1,1))-AVERAGE(OFFSET($H$3,0,0,'Données projet'!$E$14+1,1))</f>
        <v>271.09447278906288</v>
      </c>
      <c r="DU102" s="62">
        <f t="shared" si="98"/>
        <v>325.1094067861851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18.695910878140356</v>
      </c>
      <c r="EB102" s="23">
        <f>EXP(-LN(2)/25)*EB101+(1-EXP(-LN(2)/25))/(LN(2)/25)*Calculateur!DW102*Calculateur!DY102*VLOOKUP('Données projet'!$B$14,Paramètres!$A$1:$I$89,3,0)*0.475*44/12</f>
        <v>2.4949076110993249</v>
      </c>
      <c r="EC102" s="23">
        <f>EXP(-LN(2)/2)*EC101+(1-EXP(-LN(2)/2))/(LN(2)/2)*DW102*DZ102*VLOOKUP('Données projet'!$B$14,Paramètres!$A$1:$I$89,3,0)*0.475*44/12</f>
        <v>8.2186509314063579E-6</v>
      </c>
      <c r="ED102" s="24">
        <f t="shared" si="72"/>
        <v>21.190826707890615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273.00000000000023</v>
      </c>
      <c r="EK102" s="18">
        <f>EJ102*VLOOKUP('Données projet'!$B$15,Paramètres!$A$1:$I$89,3,0)*VLOOKUP('Données projet'!$B$15,Paramètres!$A$1:$I$89,5,0)</f>
        <v>293.85720000000026</v>
      </c>
      <c r="EL102" s="14">
        <f t="shared" si="99"/>
        <v>69.887150190339895</v>
      </c>
      <c r="EM102" s="22">
        <f t="shared" si="73"/>
        <v>633.52140991484237</v>
      </c>
      <c r="EN102" s="62">
        <f t="shared" si="74"/>
        <v>926.85474324817574</v>
      </c>
      <c r="EO102" s="62">
        <f ca="1">AVERAGE(OFFSET($EN$3,0,0,'Données projet'!$E$15+1,1))-AVERAGE(OFFSET($H$3,0,0,'Données projet'!$E$15+1,1))</f>
        <v>306.50593475734655</v>
      </c>
      <c r="EP102" s="62">
        <f t="shared" si="100"/>
        <v>366.48643801375079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20.806739525672345</v>
      </c>
      <c r="EW102" s="23">
        <f>EXP(-LN(2)/25)*EW101+(1-EXP(-LN(2)/25))/(LN(2)/25)*Calculateur!ER102*Calculateur!ET102*VLOOKUP('Données projet'!$B$15,Paramètres!$A$1:$I$89,3,0)*0.475*44/12</f>
        <v>2.7765907284815059</v>
      </c>
      <c r="EX102" s="23">
        <f>EXP(-LN(2)/2)*EX101+(1-EXP(-LN(2)/2))/(LN(2)/2)*ER102*EU102*VLOOKUP('Données projet'!$B$15,Paramètres!$A$1:$I$89,3,0)*0.475*44/12</f>
        <v>9.1465631333393288E-6</v>
      </c>
      <c r="EY102" s="24">
        <f t="shared" si="75"/>
        <v>23.583339400716984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73.319999999999808</v>
      </c>
      <c r="D103" s="12">
        <f t="shared" si="86"/>
        <v>20.495693943372022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724.19132166813336</v>
      </c>
      <c r="H103" s="70">
        <f t="shared" si="56"/>
        <v>456.72900028470588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>
        <f>VLOOKUP(A103,'Données projet'!$A$35:$I$55,2,0)</f>
        <v>333</v>
      </c>
      <c r="L103" s="13">
        <f>VLOOKUP(A103,'Données projet'!$A$35:$I$55,9,0)</f>
        <v>5.6</v>
      </c>
      <c r="M103" s="13">
        <f t="array" ref="M103">INDEX(L:L,MIN(IF(ISNUMBER(L103:L299),ROW(L103:L299),"")))</f>
        <v>5.6</v>
      </c>
      <c r="N103" s="14">
        <f>IF('Données projet'!$A$36&gt;35,N102+M103-V102,IF(A103&lt;'Données projet'!$A$36,$K$205^A103,IF(A103='Données projet'!$A$36,'Données projet'!$B$36,N102+M103-V102)))</f>
        <v>333</v>
      </c>
      <c r="O103" s="14">
        <f>N103*VLOOKUP('Données projet'!$B$9,Paramètres!$A$1:$I$89,3,0)*VLOOKUP('Données projet'!$B$9,Paramètres!$A$1:$I$89,5,0)</f>
        <v>301.29840000000002</v>
      </c>
      <c r="P103" s="14">
        <f t="shared" si="87"/>
        <v>71.448589534990518</v>
      </c>
      <c r="Q103" s="22">
        <f t="shared" si="107"/>
        <v>649.2010067734418</v>
      </c>
      <c r="R103" s="62">
        <f t="shared" si="55"/>
        <v>942.53434010677506</v>
      </c>
      <c r="S103" s="62">
        <f ca="1">AVERAGE(OFFSET($R$3,0,0,'Données projet'!$E$9+1,1))-AVERAGE(OFFSET($H$3,0,0,'Données projet'!$E$9+1,1))</f>
        <v>312.57314929661908</v>
      </c>
      <c r="T103" s="62">
        <f t="shared" si="88"/>
        <v>190.92100876773804</v>
      </c>
      <c r="U103" s="16">
        <f>IF(ISNA(VLOOKUP(A103,'Données projet'!$A$35:$I$55,3,0)),0,VLOOKUP(A103,'Données projet'!$A$35:$I$55,3,0))</f>
        <v>17</v>
      </c>
      <c r="V103" s="16">
        <f>IF(ISNA(VLOOKUP(A103,'Données projet'!$A$35:$I$55,4,0)),0,VLOOKUP(A103,'Données projet'!$A$35:$I$55,4,0))</f>
        <v>27</v>
      </c>
      <c r="W103" s="17">
        <f>IF(ISNA(VLOOKUP(A103,'Données projet'!$A$35:$I$55,5,0)),0%,VLOOKUP(A103,'Données projet'!$A$35:$I$55,5,0)*VLOOKUP('Données projet'!$B$9,Paramètres!$A$1:$I$89,7,0))</f>
        <v>0.34400000000000003</v>
      </c>
      <c r="X103" s="17">
        <f>IF(ISNA(VLOOKUP(A103,'Données projet'!$A$35:$I$55,6,0)),0%,VLOOKUP(A103,'Données projet'!$A$35:$I$55,6,0)*VLOOKUP('Données projet'!$B$9,Paramètres!$A$1:$I$89,7,0))</f>
        <v>1.72E-2</v>
      </c>
      <c r="Y103" s="17">
        <f>IF(ISNA(VLOOKUP(A103,'Données projet'!$A$35:$I$55,7,0)),0%,VLOOKUP(A103,'Données projet'!$A$35:$I$55,7,0))</f>
        <v>0.06</v>
      </c>
      <c r="Z103" s="23">
        <f>EXP(-LN(2)/35)*Z102+(1-EXP(-LN(2)/35))/(LN(2)/35)*V103*W103*VLOOKUP('Données projet'!$B$9,Paramètres!$A$1:$I$89,3,0)*0.475*44/12</f>
        <v>71.796467695847838</v>
      </c>
      <c r="AA103" s="23">
        <f>EXP(-LN(2)/25)*AA102+(1-EXP(-LN(2)/25))/(LN(2)/25)*Calculateur!V103*Calculateur!X103*VLOOKUP('Données projet'!$B$9,Paramètres!$A$1:$I$89,3,0)*0.475*44/12</f>
        <v>3.3272682420844206</v>
      </c>
      <c r="AB103" s="23">
        <f>EXP(-LN(2)/2)*AB102+(1-EXP(-LN(2)/2))/(LN(2)/2)*V103*Y103*VLOOKUP('Données projet'!$B$9,Paramètres!$A$1:$I$89,3,0)*0.475*44/12</f>
        <v>1.6909798221255659</v>
      </c>
      <c r="AC103" s="24">
        <f t="shared" si="57"/>
        <v>76.814715760057823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333</v>
      </c>
      <c r="AG103" s="13">
        <f>VLOOKUP(A103,'Données projet'!$A$61:$I$81,9,0)</f>
        <v>5.6</v>
      </c>
      <c r="AH103" s="13">
        <f t="array" ref="AH103">INDEX(AG:AG,MIN(IF(ISNUMBER(AG103:AG299),ROW(AG103:AG299),"")))</f>
        <v>5.6</v>
      </c>
      <c r="AI103" s="14">
        <f>IF('Données projet'!$A$62&gt;35,AI102+AH103-AQ102,IF(A103&lt;'Données projet'!$A$62,$AF$205^A103,IF(A103='Données projet'!$A$62,'Données projet'!$B$62,AI102+AH103-AQ102)))</f>
        <v>333</v>
      </c>
      <c r="AJ103" s="14">
        <f>AI103*VLOOKUP('Données projet'!$B$10,Paramètres!$A$1:$I$89,3,0)*VLOOKUP('Données projet'!$B$10,Paramètres!$A$1:$I$89,5,0)</f>
        <v>337.66200000000003</v>
      </c>
      <c r="AK103" s="14">
        <f t="shared" si="89"/>
        <v>79.016707002632685</v>
      </c>
      <c r="AL103" s="22">
        <f t="shared" si="58"/>
        <v>725.71541469625208</v>
      </c>
      <c r="AM103" s="62">
        <f t="shared" si="59"/>
        <v>1019.0487480295853</v>
      </c>
      <c r="AN103" s="62">
        <f ca="1">AVERAGE(OFFSET($AM$3,0,0,'Données projet'!$E$10+1,1))-AVERAGE(OFFSET($H$3,0,0,'Données projet'!$E$10+1,1))</f>
        <v>360.56293184044779</v>
      </c>
      <c r="AO103" s="62">
        <f t="shared" si="90"/>
        <v>219.32252911220542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27</v>
      </c>
      <c r="AR103" s="17">
        <f>IF(ISNA(VLOOKUP(A103,'Données projet'!$A$61:$I$81,5,0)),0%,VLOOKUP(A103,'Données projet'!$A$61:$I$81,5,0)*VLOOKUP('Données projet'!$B$10,Paramètres!$A$1:$I$89,7,0))</f>
        <v>0.34400000000000003</v>
      </c>
      <c r="AS103" s="17">
        <f>IF(ISNA(VLOOKUP(A103,'Données projet'!$A$61:$I$81,6,0)),0%,VLOOKUP(A103,'Données projet'!$A$61:$I$81,6,0)*VLOOKUP('Données projet'!$B$10,Paramètres!$A$1:$I$89,7,0))</f>
        <v>1.72E-2</v>
      </c>
      <c r="AT103" s="17">
        <f>IF(ISNA(VLOOKUP(A103,'Données projet'!$A$61:$I$81,7,0)),0%,VLOOKUP(A103,'Données projet'!$A$61:$I$81,7,0))</f>
        <v>0.06</v>
      </c>
      <c r="AU103" s="23">
        <f>EXP(-LN(2)/35)*AU102+(1-EXP(-LN(2)/35))/(LN(2)/35)*AQ103*AR103*VLOOKUP('Données projet'!$B$10,Paramètres!$A$1:$I$89,3,0)*0.475*44/12</f>
        <v>80.461558624657059</v>
      </c>
      <c r="AV103" s="23">
        <f>EXP(-LN(2)/25)*AV102+(1-EXP(-LN(2)/25))/(LN(2)/25)*Calculateur!AQ103*Calculateur!AS103*VLOOKUP('Données projet'!$B$10,Paramètres!$A$1:$I$89,3,0)*0.475*44/12</f>
        <v>3.7288350988877146</v>
      </c>
      <c r="AW103" s="23">
        <f>EXP(-LN(2)/2)*AW102+(1-EXP(-LN(2)/2))/(LN(2)/2)*AQ103*AT103*VLOOKUP('Données projet'!$B$10,Paramètres!$A$1:$I$89,3,0)*0.475*44/12</f>
        <v>1.8950635937614098</v>
      </c>
      <c r="AX103" s="23">
        <f t="shared" si="60"/>
        <v>86.085457317306179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1.1368683772161603E-13</v>
      </c>
      <c r="BE103" s="14">
        <f>BD103*VLOOKUP('Données projet'!$B$11,Paramètres!$A$1:$I$89,3,0)*VLOOKUP('Données projet'!$B$11,Paramètres!$A$1:$I$89,5,0)</f>
        <v>8.3355189417488869E-14</v>
      </c>
      <c r="BF103" s="14">
        <f t="shared" si="91"/>
        <v>1.2790518435140618E-12</v>
      </c>
      <c r="BG103" s="22">
        <f t="shared" si="61"/>
        <v>2.3728589156891171E-12</v>
      </c>
      <c r="BH103" s="62">
        <f t="shared" si="62"/>
        <v>293.3333333333357</v>
      </c>
      <c r="BI103" s="62">
        <f ca="1">AVERAGE(OFFSET($BH$3,0,0,'Données projet'!$E$11+1,1))-AVERAGE(OFFSET($H$3,0,0,'Données projet'!$E$11+1,1))</f>
        <v>182.06733089745194</v>
      </c>
      <c r="BJ103" s="62">
        <f t="shared" si="92"/>
        <v>320.36755413886021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14.937117977842947</v>
      </c>
      <c r="BQ103" s="23">
        <f>EXP(-LN(2)/25)*BQ102+(1-EXP(-LN(2)/25))/(LN(2)/25)*Calculateur!BL103*Calculateur!BN103*VLOOKUP('Données projet'!$B$11,Paramètres!$A$1:$I$89,3,0)*0.475*44/12</f>
        <v>1.8245565602280012</v>
      </c>
      <c r="BR103" s="23">
        <f>EXP(-LN(2)/2)*BR102+(1-EXP(-LN(2)/2))/(LN(2)/2)*BL103*BO103*VLOOKUP('Données projet'!$B$11,Paramètres!$A$1:$I$89,3,0)*0.475*44/12</f>
        <v>2.1548014952280775E-8</v>
      </c>
      <c r="BS103" s="24">
        <f t="shared" si="63"/>
        <v>16.761674559618964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319.99999999999972</v>
      </c>
      <c r="BZ103" s="14">
        <f>BY103*VLOOKUP('Données projet'!$B$12,Paramètres!$A$1:$I$89,3,0)*VLOOKUP('Données projet'!$B$12,Paramètres!$A$1:$I$89,5,0)</f>
        <v>279.55199999999979</v>
      </c>
      <c r="CA103" s="14">
        <f t="shared" si="93"/>
        <v>66.872324781216591</v>
      </c>
      <c r="CB103" s="22">
        <f t="shared" si="64"/>
        <v>603.35569899395182</v>
      </c>
      <c r="CC103" s="62">
        <f t="shared" si="65"/>
        <v>896.68903232728508</v>
      </c>
      <c r="CD103" s="62">
        <f ca="1">AVERAGE(OFFSET($CC$3,0,0,'Données projet'!$E$12+1,1))-AVERAGE(OFFSET($H$3,0,0,'Données projet'!$E$12+1,1))</f>
        <v>248.60758320902863</v>
      </c>
      <c r="CE103" s="62">
        <f t="shared" si="94"/>
        <v>222.23585883330111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36.415794181060704</v>
      </c>
      <c r="CL103" s="23">
        <f>EXP(-LN(2)/25)*CL102+(1-EXP(-LN(2)/25))/(LN(2)/25)*Calculateur!CG103*Calculateur!CI103*VLOOKUP('Données projet'!$B$12,Paramètres!$A$1:$I$89,3,0)*0.475*44/12</f>
        <v>4.1347282920238886</v>
      </c>
      <c r="CM103" s="23">
        <f>EXP(-LN(2)/2)*CM102+(1-EXP(-LN(2)/2))/(LN(2)/2)*CG103*CJ103*VLOOKUP('Données projet'!$B$12,Paramètres!$A$1:$I$89,3,0)*0.475*44/12</f>
        <v>1.8338017523582704E-3</v>
      </c>
      <c r="CN103" s="24">
        <f t="shared" si="66"/>
        <v>40.552356274836953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193.99999999999994</v>
      </c>
      <c r="CU103" s="18">
        <f>CT103*VLOOKUP('Données projet'!$B$13,Paramètres!$A$1:$I$89,3,0)*VLOOKUP('Données projet'!$B$13,Paramètres!$A$1:$I$89,5,0)</f>
        <v>105.92399999999998</v>
      </c>
      <c r="CV103" s="14">
        <f t="shared" si="95"/>
        <v>28.36854701055546</v>
      </c>
      <c r="CW103" s="22">
        <f t="shared" si="67"/>
        <v>233.89285271005073</v>
      </c>
      <c r="CX103" s="62">
        <f t="shared" si="68"/>
        <v>527.22618604338402</v>
      </c>
      <c r="CY103" s="62">
        <f ca="1">AVERAGE(OFFSET($CX$3,0,0,'Données projet'!$E$13+1,1))-AVERAGE(OFFSET($H$3,0,0,'Données projet'!$E$13+1,1))</f>
        <v>135.44138026609272</v>
      </c>
      <c r="CZ103" s="62">
        <f t="shared" si="96"/>
        <v>254.77247578425659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16.519652808636078</v>
      </c>
      <c r="DG103" s="23">
        <f>EXP(-LN(2)/25)*DG102+(1-EXP(-LN(2)/25))/(LN(2)/25)*Calculateur!DB103*Calculateur!DD103*VLOOKUP('Données projet'!$B$13,Paramètres!$A$1:$I$89,3,0)*0.475*44/12</f>
        <v>6.4954273023046669</v>
      </c>
      <c r="DH103" s="23">
        <f>EXP(-LN(2)/2)*DH102+(1-EXP(-LN(2)/2))/(LN(2)/2)*DB103*DE103*VLOOKUP('Données projet'!$B$13,Paramètres!$A$1:$I$89,3,0)*0.475*44/12</f>
        <v>2.4753281946047821E-9</v>
      </c>
      <c r="DI103" s="24">
        <f t="shared" si="69"/>
        <v>23.015080113416072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273.00000000000023</v>
      </c>
      <c r="DP103" s="18">
        <f>DO103*VLOOKUP('Données projet'!$B$14,Paramètres!$A$1:$I$89,3,0)*VLOOKUP('Données projet'!$B$14,Paramètres!$A$1:$I$89,5,0)</f>
        <v>264.04560000000021</v>
      </c>
      <c r="DQ103" s="14">
        <f t="shared" si="97"/>
        <v>63.583959929973794</v>
      </c>
      <c r="DR103" s="22">
        <f t="shared" si="70"/>
        <v>570.6214835447048</v>
      </c>
      <c r="DS103" s="62">
        <f t="shared" si="71"/>
        <v>863.95481687803817</v>
      </c>
      <c r="DT103" s="62">
        <f ca="1">AVERAGE(OFFSET($DS$3,0,0,'Données projet'!$E$14+1,1))-AVERAGE(OFFSET($H$3,0,0,'Données projet'!$E$14+1,1))</f>
        <v>271.09447278906288</v>
      </c>
      <c r="DU103" s="62">
        <f t="shared" si="98"/>
        <v>325.1094067861851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18.329295469199671</v>
      </c>
      <c r="EB103" s="23">
        <f>EXP(-LN(2)/25)*EB102+(1-EXP(-LN(2)/25))/(LN(2)/25)*Calculateur!DW103*Calculateur!DY103*VLOOKUP('Données projet'!$B$14,Paramètres!$A$1:$I$89,3,0)*0.475*44/12</f>
        <v>2.4266842312723247</v>
      </c>
      <c r="EC103" s="23">
        <f>EXP(-LN(2)/2)*EC102+(1-EXP(-LN(2)/2))/(LN(2)/2)*DW103*DZ103*VLOOKUP('Données projet'!$B$14,Paramètres!$A$1:$I$89,3,0)*0.475*44/12</f>
        <v>5.8114638058025706E-6</v>
      </c>
      <c r="ED103" s="24">
        <f t="shared" si="72"/>
        <v>20.755985511935801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273.00000000000023</v>
      </c>
      <c r="EK103" s="18">
        <f>EJ103*VLOOKUP('Données projet'!$B$15,Paramètres!$A$1:$I$89,3,0)*VLOOKUP('Données projet'!$B$15,Paramètres!$A$1:$I$89,5,0)</f>
        <v>293.85720000000026</v>
      </c>
      <c r="EL103" s="14">
        <f t="shared" si="99"/>
        <v>69.887150190339895</v>
      </c>
      <c r="EM103" s="22">
        <f t="shared" si="73"/>
        <v>633.52140991484237</v>
      </c>
      <c r="EN103" s="62">
        <f t="shared" si="74"/>
        <v>926.85474324817574</v>
      </c>
      <c r="EO103" s="62">
        <f ca="1">AVERAGE(OFFSET($EN$3,0,0,'Données projet'!$E$15+1,1))-AVERAGE(OFFSET($H$3,0,0,'Données projet'!$E$15+1,1))</f>
        <v>306.50593475734655</v>
      </c>
      <c r="EP103" s="62">
        <f t="shared" si="100"/>
        <v>366.48643801375079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20.398732054431903</v>
      </c>
      <c r="EW103" s="23">
        <f>EXP(-LN(2)/25)*EW102+(1-EXP(-LN(2)/25))/(LN(2)/25)*Calculateur!ER103*Calculateur!ET103*VLOOKUP('Données projet'!$B$15,Paramètres!$A$1:$I$89,3,0)*0.475*44/12</f>
        <v>2.7006647089966185</v>
      </c>
      <c r="EX103" s="23">
        <f>EXP(-LN(2)/2)*EX102+(1-EXP(-LN(2)/2))/(LN(2)/2)*ER103*EU103*VLOOKUP('Données projet'!$B$15,Paramètres!$A$1:$I$89,3,0)*0.475*44/12</f>
        <v>6.4675968161351153E-6</v>
      </c>
      <c r="EY103" s="24">
        <f t="shared" si="75"/>
        <v>23.099403231025338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74.053199999999805</v>
      </c>
      <c r="D104" s="12">
        <f t="shared" si="86"/>
        <v>20.676688885050506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731.24826507758144</v>
      </c>
      <c r="H104" s="70">
        <f t="shared" si="56"/>
        <v>458.32122314146261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5.4</v>
      </c>
      <c r="N104" s="14">
        <f>IF('Données projet'!$A$36&gt;35,N103+M104-V103,IF(A104&lt;'Données projet'!$A$36,$K$205^A104,IF(A104='Données projet'!$A$36,'Données projet'!$B$36,N103+M104-V103)))</f>
        <v>311.39999999999998</v>
      </c>
      <c r="O104" s="14">
        <f>N104*VLOOKUP('Données projet'!$B$9,Paramètres!$A$1:$I$89,3,0)*VLOOKUP('Données projet'!$B$9,Paramètres!$A$1:$I$89,5,0)</f>
        <v>281.75471999999996</v>
      </c>
      <c r="P104" s="14">
        <f t="shared" si="87"/>
        <v>67.337696723120317</v>
      </c>
      <c r="Q104" s="22">
        <f t="shared" si="107"/>
        <v>608.00262579276773</v>
      </c>
      <c r="R104" s="62">
        <f t="shared" si="55"/>
        <v>901.33595912610099</v>
      </c>
      <c r="S104" s="62">
        <f ca="1">AVERAGE(OFFSET($R$3,0,0,'Données projet'!$E$9+1,1))-AVERAGE(OFFSET($H$3,0,0,'Données projet'!$E$9+1,1))</f>
        <v>312.57314929661908</v>
      </c>
      <c r="T104" s="62">
        <f t="shared" si="88"/>
        <v>190.92100876773804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70.388582755853506</v>
      </c>
      <c r="AA104" s="23">
        <f>EXP(-LN(2)/25)*AA103+(1-EXP(-LN(2)/25))/(LN(2)/25)*Calculateur!V104*Calculateur!X104*VLOOKUP('Données projet'!$B$9,Paramètres!$A$1:$I$89,3,0)*0.475*44/12</f>
        <v>3.2362839170311899</v>
      </c>
      <c r="AB104" s="23">
        <f>EXP(-LN(2)/2)*AB103+(1-EXP(-LN(2)/2))/(LN(2)/2)*V104*Y104*VLOOKUP('Données projet'!$B$9,Paramètres!$A$1:$I$89,3,0)*0.475*44/12</f>
        <v>1.1957032990746097</v>
      </c>
      <c r="AC104" s="24">
        <f t="shared" si="57"/>
        <v>74.820569971959301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5.4</v>
      </c>
      <c r="AI104" s="14">
        <f>IF('Données projet'!$A$62&gt;35,AI103+AH104-AQ103,IF(A104&lt;'Données projet'!$A$62,$AF$205^A104,IF(A104='Données projet'!$A$62,'Données projet'!$B$62,AI103+AH104-AQ103)))</f>
        <v>311.39999999999998</v>
      </c>
      <c r="AJ104" s="14">
        <f>AI104*VLOOKUP('Données projet'!$B$10,Paramètres!$A$1:$I$89,3,0)*VLOOKUP('Données projet'!$B$10,Paramètres!$A$1:$I$89,5,0)</f>
        <v>315.75959999999998</v>
      </c>
      <c r="AK104" s="14">
        <f t="shared" si="89"/>
        <v>74.470372149154613</v>
      </c>
      <c r="AL104" s="22">
        <f t="shared" si="58"/>
        <v>679.6505348264443</v>
      </c>
      <c r="AM104" s="62">
        <f t="shared" si="59"/>
        <v>972.98386815977756</v>
      </c>
      <c r="AN104" s="62">
        <f ca="1">AVERAGE(OFFSET($AM$3,0,0,'Données projet'!$E$10+1,1))-AVERAGE(OFFSET($H$3,0,0,'Données projet'!$E$10+1,1))</f>
        <v>360.56293184044779</v>
      </c>
      <c r="AO104" s="62">
        <f t="shared" si="90"/>
        <v>219.32252911220542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78.883756536732378</v>
      </c>
      <c r="AV104" s="23">
        <f>EXP(-LN(2)/25)*AV103+(1-EXP(-LN(2)/25))/(LN(2)/25)*Calculateur!AQ104*Calculateur!AS104*VLOOKUP('Données projet'!$B$10,Paramètres!$A$1:$I$89,3,0)*0.475*44/12</f>
        <v>3.6268699070177144</v>
      </c>
      <c r="AW104" s="23">
        <f>EXP(-LN(2)/2)*AW103+(1-EXP(-LN(2)/2))/(LN(2)/2)*AQ104*AT104*VLOOKUP('Données projet'!$B$10,Paramètres!$A$1:$I$89,3,0)*0.475*44/12</f>
        <v>1.3400123179284416</v>
      </c>
      <c r="AX104" s="23">
        <f t="shared" si="60"/>
        <v>83.850638761678539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1.1368683772161603E-13</v>
      </c>
      <c r="BE104" s="14">
        <f>BD104*VLOOKUP('Données projet'!$B$11,Paramètres!$A$1:$I$89,3,0)*VLOOKUP('Données projet'!$B$11,Paramètres!$A$1:$I$89,5,0)</f>
        <v>8.3355189417488869E-14</v>
      </c>
      <c r="BF104" s="14">
        <f t="shared" si="91"/>
        <v>1.2790518435140618E-12</v>
      </c>
      <c r="BG104" s="22">
        <f t="shared" si="61"/>
        <v>2.3728589156891171E-12</v>
      </c>
      <c r="BH104" s="62">
        <f t="shared" si="62"/>
        <v>293.3333333333357</v>
      </c>
      <c r="BI104" s="62">
        <f ca="1">AVERAGE(OFFSET($BH$3,0,0,'Données projet'!$E$11+1,1))-AVERAGE(OFFSET($H$3,0,0,'Données projet'!$E$11+1,1))</f>
        <v>182.06733089745194</v>
      </c>
      <c r="BJ104" s="62">
        <f t="shared" si="92"/>
        <v>320.36755413886021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14.644210205039801</v>
      </c>
      <c r="BQ104" s="23">
        <f>EXP(-LN(2)/25)*BQ103+(1-EXP(-LN(2)/25))/(LN(2)/25)*Calculateur!BL104*Calculateur!BN104*VLOOKUP('Données projet'!$B$11,Paramètres!$A$1:$I$89,3,0)*0.475*44/12</f>
        <v>1.774663965139307</v>
      </c>
      <c r="BR104" s="23">
        <f>EXP(-LN(2)/2)*BR103+(1-EXP(-LN(2)/2))/(LN(2)/2)*BL104*BO104*VLOOKUP('Données projet'!$B$11,Paramètres!$A$1:$I$89,3,0)*0.475*44/12</f>
        <v>1.5236747493866856E-8</v>
      </c>
      <c r="BS104" s="24">
        <f t="shared" si="63"/>
        <v>16.418874185415856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319.99999999999972</v>
      </c>
      <c r="BZ104" s="14">
        <f>BY104*VLOOKUP('Données projet'!$B$12,Paramètres!$A$1:$I$89,3,0)*VLOOKUP('Données projet'!$B$12,Paramètres!$A$1:$I$89,5,0)</f>
        <v>279.55199999999979</v>
      </c>
      <c r="CA104" s="14">
        <f t="shared" si="93"/>
        <v>66.872324781216591</v>
      </c>
      <c r="CB104" s="22">
        <f t="shared" si="64"/>
        <v>603.35569899395182</v>
      </c>
      <c r="CC104" s="62">
        <f t="shared" si="65"/>
        <v>896.68903232728508</v>
      </c>
      <c r="CD104" s="62">
        <f ca="1">AVERAGE(OFFSET($CC$3,0,0,'Données projet'!$E$12+1,1))-AVERAGE(OFFSET($H$3,0,0,'Données projet'!$E$12+1,1))</f>
        <v>248.60758320902863</v>
      </c>
      <c r="CE104" s="62">
        <f t="shared" si="94"/>
        <v>222.23585883330111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35.701702668611354</v>
      </c>
      <c r="CL104" s="23">
        <f>EXP(-LN(2)/25)*CL103+(1-EXP(-LN(2)/25))/(LN(2)/25)*Calculateur!CG104*Calculateur!CI104*VLOOKUP('Données projet'!$B$12,Paramètres!$A$1:$I$89,3,0)*0.475*44/12</f>
        <v>4.0216639294425844</v>
      </c>
      <c r="CM104" s="23">
        <f>EXP(-LN(2)/2)*CM103+(1-EXP(-LN(2)/2))/(LN(2)/2)*CG104*CJ104*VLOOKUP('Données projet'!$B$12,Paramètres!$A$1:$I$89,3,0)*0.475*44/12</f>
        <v>1.2966936544443069E-3</v>
      </c>
      <c r="CN104" s="24">
        <f t="shared" si="66"/>
        <v>39.724663291708382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193.99999999999994</v>
      </c>
      <c r="CU104" s="18">
        <f>CT104*VLOOKUP('Données projet'!$B$13,Paramètres!$A$1:$I$89,3,0)*VLOOKUP('Données projet'!$B$13,Paramètres!$A$1:$I$89,5,0)</f>
        <v>105.92399999999998</v>
      </c>
      <c r="CV104" s="14">
        <f t="shared" si="95"/>
        <v>28.36854701055546</v>
      </c>
      <c r="CW104" s="22">
        <f t="shared" si="67"/>
        <v>233.89285271005073</v>
      </c>
      <c r="CX104" s="62">
        <f t="shared" si="68"/>
        <v>527.22618604338402</v>
      </c>
      <c r="CY104" s="62">
        <f ca="1">AVERAGE(OFFSET($CX$3,0,0,'Données projet'!$E$13+1,1))-AVERAGE(OFFSET($H$3,0,0,'Données projet'!$E$13+1,1))</f>
        <v>135.44138026609272</v>
      </c>
      <c r="CZ104" s="62">
        <f t="shared" si="96"/>
        <v>254.77247578425659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16.195712493052017</v>
      </c>
      <c r="DG104" s="23">
        <f>EXP(-LN(2)/25)*DG103+(1-EXP(-LN(2)/25))/(LN(2)/25)*Calculateur!DB104*Calculateur!DD104*VLOOKUP('Données projet'!$B$13,Paramètres!$A$1:$I$89,3,0)*0.475*44/12</f>
        <v>6.3178095011434694</v>
      </c>
      <c r="DH104" s="23">
        <f>EXP(-LN(2)/2)*DH103+(1-EXP(-LN(2)/2))/(LN(2)/2)*DB104*DE104*VLOOKUP('Données projet'!$B$13,Paramètres!$A$1:$I$89,3,0)*0.475*44/12</f>
        <v>1.7503213520672954E-9</v>
      </c>
      <c r="DI104" s="24">
        <f t="shared" si="69"/>
        <v>22.513521995945808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273.00000000000023</v>
      </c>
      <c r="DP104" s="18">
        <f>DO104*VLOOKUP('Données projet'!$B$14,Paramètres!$A$1:$I$89,3,0)*VLOOKUP('Données projet'!$B$14,Paramètres!$A$1:$I$89,5,0)</f>
        <v>264.04560000000021</v>
      </c>
      <c r="DQ104" s="14">
        <f t="shared" si="97"/>
        <v>63.583959929973794</v>
      </c>
      <c r="DR104" s="22">
        <f t="shared" si="70"/>
        <v>570.6214835447048</v>
      </c>
      <c r="DS104" s="62">
        <f t="shared" si="71"/>
        <v>863.95481687803817</v>
      </c>
      <c r="DT104" s="62">
        <f ca="1">AVERAGE(OFFSET($DS$3,0,0,'Données projet'!$E$14+1,1))-AVERAGE(OFFSET($H$3,0,0,'Données projet'!$E$14+1,1))</f>
        <v>271.09447278906288</v>
      </c>
      <c r="DU104" s="62">
        <f t="shared" si="98"/>
        <v>325.1094067861851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17.969869164814991</v>
      </c>
      <c r="EB104" s="23">
        <f>EXP(-LN(2)/25)*EB103+(1-EXP(-LN(2)/25))/(LN(2)/25)*Calculateur!DW104*Calculateur!DY104*VLOOKUP('Données projet'!$B$14,Paramètres!$A$1:$I$89,3,0)*0.475*44/12</f>
        <v>2.3603264233544055</v>
      </c>
      <c r="EC104" s="23">
        <f>EXP(-LN(2)/2)*EC103+(1-EXP(-LN(2)/2))/(LN(2)/2)*DW104*DZ104*VLOOKUP('Données projet'!$B$14,Paramètres!$A$1:$I$89,3,0)*0.475*44/12</f>
        <v>4.1093254657031789E-6</v>
      </c>
      <c r="ED104" s="24">
        <f t="shared" si="72"/>
        <v>20.330199697494862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273.00000000000023</v>
      </c>
      <c r="EK104" s="18">
        <f>EJ104*VLOOKUP('Données projet'!$B$15,Paramètres!$A$1:$I$89,3,0)*VLOOKUP('Données projet'!$B$15,Paramètres!$A$1:$I$89,5,0)</f>
        <v>293.85720000000026</v>
      </c>
      <c r="EL104" s="14">
        <f t="shared" si="99"/>
        <v>69.887150190339895</v>
      </c>
      <c r="EM104" s="22">
        <f t="shared" si="73"/>
        <v>633.52140991484237</v>
      </c>
      <c r="EN104" s="62">
        <f t="shared" si="74"/>
        <v>926.85474324817574</v>
      </c>
      <c r="EO104" s="62">
        <f ca="1">AVERAGE(OFFSET($EN$3,0,0,'Données projet'!$E$15+1,1))-AVERAGE(OFFSET($H$3,0,0,'Données projet'!$E$15+1,1))</f>
        <v>306.50593475734655</v>
      </c>
      <c r="EP104" s="62">
        <f t="shared" si="100"/>
        <v>366.48643801375079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19.998725360842503</v>
      </c>
      <c r="EW104" s="23">
        <f>EXP(-LN(2)/25)*EW103+(1-EXP(-LN(2)/25))/(LN(2)/25)*Calculateur!ER104*Calculateur!ET104*VLOOKUP('Données projet'!$B$15,Paramètres!$A$1:$I$89,3,0)*0.475*44/12</f>
        <v>2.6268148905073212</v>
      </c>
      <c r="EX104" s="23">
        <f>EXP(-LN(2)/2)*EX103+(1-EXP(-LN(2)/2))/(LN(2)/2)*ER104*EU104*VLOOKUP('Données projet'!$B$15,Paramètres!$A$1:$I$89,3,0)*0.475*44/12</f>
        <v>4.5732815666696644E-6</v>
      </c>
      <c r="EY104" s="24">
        <f t="shared" si="75"/>
        <v>22.62554482463139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74.786399999999801</v>
      </c>
      <c r="D105" s="12">
        <f t="shared" si="86"/>
        <v>20.857475351088922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738.30359920138665</v>
      </c>
      <c r="H105" s="70">
        <f t="shared" si="56"/>
        <v>459.91308290314612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5.4</v>
      </c>
      <c r="N105" s="14">
        <f>IF('Données projet'!$A$36&gt;35,N104+M105-V104,IF(A105&lt;'Données projet'!$A$36,$K$205^A105,IF(A105='Données projet'!$A$36,'Données projet'!$B$36,N104+M105-V104)))</f>
        <v>316.79999999999995</v>
      </c>
      <c r="O105" s="14">
        <f>N105*VLOOKUP('Données projet'!$B$9,Paramètres!$A$1:$I$89,3,0)*VLOOKUP('Données projet'!$B$9,Paramètres!$A$1:$I$89,5,0)</f>
        <v>286.64063999999996</v>
      </c>
      <c r="P105" s="14">
        <f t="shared" si="87"/>
        <v>68.368446832003599</v>
      </c>
      <c r="Q105" s="22">
        <f t="shared" si="107"/>
        <v>618.30749289907283</v>
      </c>
      <c r="R105" s="62">
        <f t="shared" si="55"/>
        <v>911.6408262324062</v>
      </c>
      <c r="S105" s="62">
        <f ca="1">AVERAGE(OFFSET($R$3,0,0,'Données projet'!$E$9+1,1))-AVERAGE(OFFSET($H$3,0,0,'Données projet'!$E$9+1,1))</f>
        <v>312.57314929661908</v>
      </c>
      <c r="T105" s="62">
        <f t="shared" si="88"/>
        <v>190.92100876773804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69.008305580807445</v>
      </c>
      <c r="AA105" s="23">
        <f>EXP(-LN(2)/25)*AA104+(1-EXP(-LN(2)/25))/(LN(2)/25)*Calculateur!V105*Calculateur!X105*VLOOKUP('Données projet'!$B$9,Paramètres!$A$1:$I$89,3,0)*0.475*44/12</f>
        <v>3.1477875631311973</v>
      </c>
      <c r="AB105" s="23">
        <f>EXP(-LN(2)/2)*AB104+(1-EXP(-LN(2)/2))/(LN(2)/2)*V105*Y105*VLOOKUP('Données projet'!$B$9,Paramètres!$A$1:$I$89,3,0)*0.475*44/12</f>
        <v>0.84548991106278315</v>
      </c>
      <c r="AC105" s="24">
        <f t="shared" si="57"/>
        <v>73.001583055001433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5.4</v>
      </c>
      <c r="AI105" s="14">
        <f>IF('Données projet'!$A$62&gt;35,AI104+AH105-AQ104,IF(A105&lt;'Données projet'!$A$62,$AF$205^A105,IF(A105='Données projet'!$A$62,'Données projet'!$B$62,AI104+AH105-AQ104)))</f>
        <v>316.79999999999995</v>
      </c>
      <c r="AJ105" s="14">
        <f>AI105*VLOOKUP('Données projet'!$B$10,Paramètres!$A$1:$I$89,3,0)*VLOOKUP('Données projet'!$B$10,Paramètres!$A$1:$I$89,5,0)</f>
        <v>321.23519999999996</v>
      </c>
      <c r="AK105" s="14">
        <f t="shared" si="89"/>
        <v>75.610303390297929</v>
      </c>
      <c r="AL105" s="22">
        <f t="shared" si="58"/>
        <v>691.17258507143549</v>
      </c>
      <c r="AM105" s="62">
        <f t="shared" si="59"/>
        <v>984.50591840476886</v>
      </c>
      <c r="AN105" s="62">
        <f ca="1">AVERAGE(OFFSET($AM$3,0,0,'Données projet'!$E$10+1,1))-AVERAGE(OFFSET($H$3,0,0,'Données projet'!$E$10+1,1))</f>
        <v>360.56293184044779</v>
      </c>
      <c r="AO105" s="62">
        <f t="shared" si="90"/>
        <v>219.32252911220542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77.336894185387649</v>
      </c>
      <c r="AV105" s="23">
        <f>EXP(-LN(2)/25)*AV104+(1-EXP(-LN(2)/25))/(LN(2)/25)*Calculateur!AQ105*Calculateur!AS105*VLOOKUP('Données projet'!$B$10,Paramètres!$A$1:$I$89,3,0)*0.475*44/12</f>
        <v>3.527692958681516</v>
      </c>
      <c r="AW105" s="23">
        <f>EXP(-LN(2)/2)*AW104+(1-EXP(-LN(2)/2))/(LN(2)/2)*AQ105*AT105*VLOOKUP('Données projet'!$B$10,Paramètres!$A$1:$I$89,3,0)*0.475*44/12</f>
        <v>0.94753179688070499</v>
      </c>
      <c r="AX105" s="23">
        <f t="shared" si="60"/>
        <v>81.812118940949873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1.1368683772161603E-13</v>
      </c>
      <c r="BE105" s="14">
        <f>BD105*VLOOKUP('Données projet'!$B$11,Paramètres!$A$1:$I$89,3,0)*VLOOKUP('Données projet'!$B$11,Paramètres!$A$1:$I$89,5,0)</f>
        <v>8.3355189417488869E-14</v>
      </c>
      <c r="BF105" s="14">
        <f t="shared" si="91"/>
        <v>1.2790518435140618E-12</v>
      </c>
      <c r="BG105" s="22">
        <f t="shared" si="61"/>
        <v>2.3728589156891171E-12</v>
      </c>
      <c r="BH105" s="62">
        <f t="shared" si="62"/>
        <v>293.3333333333357</v>
      </c>
      <c r="BI105" s="62">
        <f ca="1">AVERAGE(OFFSET($BH$3,0,0,'Données projet'!$E$11+1,1))-AVERAGE(OFFSET($H$3,0,0,'Données projet'!$E$11+1,1))</f>
        <v>182.06733089745194</v>
      </c>
      <c r="BJ105" s="62">
        <f t="shared" si="92"/>
        <v>320.36755413886021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14.357046175005225</v>
      </c>
      <c r="BQ105" s="23">
        <f>EXP(-LN(2)/25)*BQ104+(1-EXP(-LN(2)/25))/(LN(2)/25)*Calculateur!BL105*Calculateur!BN105*VLOOKUP('Données projet'!$B$11,Paramètres!$A$1:$I$89,3,0)*0.475*44/12</f>
        <v>1.7261356856870509</v>
      </c>
      <c r="BR105" s="23">
        <f>EXP(-LN(2)/2)*BR104+(1-EXP(-LN(2)/2))/(LN(2)/2)*BL105*BO105*VLOOKUP('Données projet'!$B$11,Paramètres!$A$1:$I$89,3,0)*0.475*44/12</f>
        <v>1.0774007476140387E-8</v>
      </c>
      <c r="BS105" s="24">
        <f t="shared" si="63"/>
        <v>16.083181871466284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319.99999999999972</v>
      </c>
      <c r="BZ105" s="14">
        <f>BY105*VLOOKUP('Données projet'!$B$12,Paramètres!$A$1:$I$89,3,0)*VLOOKUP('Données projet'!$B$12,Paramètres!$A$1:$I$89,5,0)</f>
        <v>279.55199999999979</v>
      </c>
      <c r="CA105" s="14">
        <f t="shared" si="93"/>
        <v>66.872324781216591</v>
      </c>
      <c r="CB105" s="22">
        <f t="shared" si="64"/>
        <v>603.35569899395182</v>
      </c>
      <c r="CC105" s="62">
        <f t="shared" si="65"/>
        <v>896.68903232728508</v>
      </c>
      <c r="CD105" s="62">
        <f ca="1">AVERAGE(OFFSET($CC$3,0,0,'Données projet'!$E$12+1,1))-AVERAGE(OFFSET($H$3,0,0,'Données projet'!$E$12+1,1))</f>
        <v>248.60758320902863</v>
      </c>
      <c r="CE105" s="62">
        <f t="shared" si="94"/>
        <v>222.23585883330111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35.001614055168325</v>
      </c>
      <c r="CL105" s="23">
        <f>EXP(-LN(2)/25)*CL104+(1-EXP(-LN(2)/25))/(LN(2)/25)*Calculateur!CG105*Calculateur!CI105*VLOOKUP('Données projet'!$B$12,Paramètres!$A$1:$I$89,3,0)*0.475*44/12</f>
        <v>3.9116913178018624</v>
      </c>
      <c r="CM105" s="23">
        <f>EXP(-LN(2)/2)*CM104+(1-EXP(-LN(2)/2))/(LN(2)/2)*CG105*CJ105*VLOOKUP('Données projet'!$B$12,Paramètres!$A$1:$I$89,3,0)*0.475*44/12</f>
        <v>9.1690087617913522E-4</v>
      </c>
      <c r="CN105" s="24">
        <f t="shared" si="66"/>
        <v>38.914222273846363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193.99999999999994</v>
      </c>
      <c r="CU105" s="18">
        <f>CT105*VLOOKUP('Données projet'!$B$13,Paramètres!$A$1:$I$89,3,0)*VLOOKUP('Données projet'!$B$13,Paramètres!$A$1:$I$89,5,0)</f>
        <v>105.92399999999998</v>
      </c>
      <c r="CV105" s="14">
        <f t="shared" si="95"/>
        <v>28.36854701055546</v>
      </c>
      <c r="CW105" s="22">
        <f t="shared" si="67"/>
        <v>233.89285271005073</v>
      </c>
      <c r="CX105" s="62">
        <f t="shared" si="68"/>
        <v>527.22618604338402</v>
      </c>
      <c r="CY105" s="62">
        <f ca="1">AVERAGE(OFFSET($CX$3,0,0,'Données projet'!$E$13+1,1))-AVERAGE(OFFSET($H$3,0,0,'Données projet'!$E$13+1,1))</f>
        <v>135.44138026609272</v>
      </c>
      <c r="CZ105" s="62">
        <f t="shared" si="96"/>
        <v>254.77247578425659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15.878124449472477</v>
      </c>
      <c r="DG105" s="23">
        <f>EXP(-LN(2)/25)*DG104+(1-EXP(-LN(2)/25))/(LN(2)/25)*Calculateur!DB105*Calculateur!DD105*VLOOKUP('Données projet'!$B$13,Paramètres!$A$1:$I$89,3,0)*0.475*44/12</f>
        <v>6.145048668095539</v>
      </c>
      <c r="DH105" s="23">
        <f>EXP(-LN(2)/2)*DH104+(1-EXP(-LN(2)/2))/(LN(2)/2)*DB105*DE105*VLOOKUP('Données projet'!$B$13,Paramètres!$A$1:$I$89,3,0)*0.475*44/12</f>
        <v>1.237664097302391E-9</v>
      </c>
      <c r="DI105" s="24">
        <f t="shared" si="69"/>
        <v>22.023173118805676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273.00000000000023</v>
      </c>
      <c r="DP105" s="18">
        <f>DO105*VLOOKUP('Données projet'!$B$14,Paramètres!$A$1:$I$89,3,0)*VLOOKUP('Données projet'!$B$14,Paramètres!$A$1:$I$89,5,0)</f>
        <v>264.04560000000021</v>
      </c>
      <c r="DQ105" s="14">
        <f t="shared" si="97"/>
        <v>63.583959929973794</v>
      </c>
      <c r="DR105" s="22">
        <f t="shared" si="70"/>
        <v>570.6214835447048</v>
      </c>
      <c r="DS105" s="62">
        <f t="shared" si="71"/>
        <v>863.95481687803817</v>
      </c>
      <c r="DT105" s="62">
        <f ca="1">AVERAGE(OFFSET($DS$3,0,0,'Données projet'!$E$14+1,1))-AVERAGE(OFFSET($H$3,0,0,'Données projet'!$E$14+1,1))</f>
        <v>271.09447278906288</v>
      </c>
      <c r="DU105" s="62">
        <f t="shared" si="98"/>
        <v>325.1094067861851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17.617490991030895</v>
      </c>
      <c r="EB105" s="23">
        <f>EXP(-LN(2)/25)*EB104+(1-EXP(-LN(2)/25))/(LN(2)/25)*Calculateur!DW105*Calculateur!DY105*VLOOKUP('Données projet'!$B$14,Paramètres!$A$1:$I$89,3,0)*0.475*44/12</f>
        <v>2.2957831731836071</v>
      </c>
      <c r="EC105" s="23">
        <f>EXP(-LN(2)/2)*EC104+(1-EXP(-LN(2)/2))/(LN(2)/2)*DW105*DZ105*VLOOKUP('Données projet'!$B$14,Paramètres!$A$1:$I$89,3,0)*0.475*44/12</f>
        <v>2.9057319029012853E-6</v>
      </c>
      <c r="ED105" s="24">
        <f t="shared" si="72"/>
        <v>19.913277069946407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273.00000000000023</v>
      </c>
      <c r="EK105" s="18">
        <f>EJ105*VLOOKUP('Données projet'!$B$15,Paramètres!$A$1:$I$89,3,0)*VLOOKUP('Données projet'!$B$15,Paramètres!$A$1:$I$89,5,0)</f>
        <v>293.85720000000026</v>
      </c>
      <c r="EL105" s="14">
        <f t="shared" si="99"/>
        <v>69.887150190339895</v>
      </c>
      <c r="EM105" s="22">
        <f t="shared" si="73"/>
        <v>633.52140991484237</v>
      </c>
      <c r="EN105" s="62">
        <f t="shared" si="74"/>
        <v>926.85474324817574</v>
      </c>
      <c r="EO105" s="62">
        <f ca="1">AVERAGE(OFFSET($EN$3,0,0,'Données projet'!$E$15+1,1))-AVERAGE(OFFSET($H$3,0,0,'Données projet'!$E$15+1,1))</f>
        <v>306.50593475734655</v>
      </c>
      <c r="EP105" s="62">
        <f t="shared" si="100"/>
        <v>366.48643801375079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19.606562554534396</v>
      </c>
      <c r="EW105" s="23">
        <f>EXP(-LN(2)/25)*EW104+(1-EXP(-LN(2)/25))/(LN(2)/25)*Calculateur!ER105*Calculateur!ET105*VLOOKUP('Données projet'!$B$15,Paramètres!$A$1:$I$89,3,0)*0.475*44/12</f>
        <v>2.5549844991882069</v>
      </c>
      <c r="EX105" s="23">
        <f>EXP(-LN(2)/2)*EX104+(1-EXP(-LN(2)/2))/(LN(2)/2)*ER105*EU105*VLOOKUP('Données projet'!$B$15,Paramètres!$A$1:$I$89,3,0)*0.475*44/12</f>
        <v>3.2337984080675577E-6</v>
      </c>
      <c r="EY105" s="24">
        <f t="shared" si="75"/>
        <v>22.161550287521013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75.519599999999798</v>
      </c>
      <c r="D106" s="12">
        <f t="shared" si="86"/>
        <v>21.038055622045484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745.35734164385815</v>
      </c>
      <c r="H106" s="70">
        <f t="shared" si="56"/>
        <v>461.50458354172883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5.4</v>
      </c>
      <c r="N106" s="14">
        <f>IF('Données projet'!$A$36&gt;35,N105+M106-V105,IF(A106&lt;'Données projet'!$A$36,$K$205^A106,IF(A106='Données projet'!$A$36,'Données projet'!$B$36,N105+M106-V105)))</f>
        <v>322.19999999999993</v>
      </c>
      <c r="O106" s="14">
        <f>N106*VLOOKUP('Données projet'!$B$9,Paramètres!$A$1:$I$89,3,0)*VLOOKUP('Données projet'!$B$9,Paramètres!$A$1:$I$89,5,0)</f>
        <v>291.5265599999999</v>
      </c>
      <c r="P106" s="14">
        <f t="shared" si="87"/>
        <v>69.397153761857183</v>
      </c>
      <c r="Q106" s="22">
        <f t="shared" si="107"/>
        <v>628.60880146856778</v>
      </c>
      <c r="R106" s="62">
        <f t="shared" si="55"/>
        <v>921.94213480190115</v>
      </c>
      <c r="S106" s="62">
        <f ca="1">AVERAGE(OFFSET($R$3,0,0,'Données projet'!$E$9+1,1))-AVERAGE(OFFSET($H$3,0,0,'Données projet'!$E$9+1,1))</f>
        <v>312.57314929661908</v>
      </c>
      <c r="T106" s="62">
        <f t="shared" si="88"/>
        <v>190.92100876773804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67.655094799278089</v>
      </c>
      <c r="AA106" s="23">
        <f>EXP(-LN(2)/25)*AA105+(1-EXP(-LN(2)/25))/(LN(2)/25)*Calculateur!V106*Calculateur!X106*VLOOKUP('Données projet'!$B$9,Paramètres!$A$1:$I$89,3,0)*0.475*44/12</f>
        <v>3.0617111466824212</v>
      </c>
      <c r="AB106" s="23">
        <f>EXP(-LN(2)/2)*AB105+(1-EXP(-LN(2)/2))/(LN(2)/2)*V106*Y106*VLOOKUP('Données projet'!$B$9,Paramètres!$A$1:$I$89,3,0)*0.475*44/12</f>
        <v>0.59785164953730496</v>
      </c>
      <c r="AC106" s="24">
        <f t="shared" si="57"/>
        <v>71.31465759549782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5.4</v>
      </c>
      <c r="AI106" s="14">
        <f>IF('Données projet'!$A$62&gt;35,AI105+AH106-AQ105,IF(A106&lt;'Données projet'!$A$62,$AF$205^A106,IF(A106='Données projet'!$A$62,'Données projet'!$B$62,AI105+AH106-AQ105)))</f>
        <v>322.19999999999993</v>
      </c>
      <c r="AJ106" s="14">
        <f>AI106*VLOOKUP('Données projet'!$B$10,Paramètres!$A$1:$I$89,3,0)*VLOOKUP('Données projet'!$B$10,Paramètres!$A$1:$I$89,5,0)</f>
        <v>326.71079999999995</v>
      </c>
      <c r="AK106" s="14">
        <f t="shared" si="89"/>
        <v>76.747975030799893</v>
      </c>
      <c r="AL106" s="22">
        <f t="shared" si="58"/>
        <v>702.69069984530972</v>
      </c>
      <c r="AM106" s="62">
        <f t="shared" si="59"/>
        <v>996.02403317864309</v>
      </c>
      <c r="AN106" s="62">
        <f ca="1">AVERAGE(OFFSET($AM$3,0,0,'Données projet'!$E$10+1,1))-AVERAGE(OFFSET($H$3,0,0,'Données projet'!$E$10+1,1))</f>
        <v>360.56293184044779</v>
      </c>
      <c r="AO106" s="62">
        <f t="shared" si="90"/>
        <v>219.32252911220542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75.820364861259918</v>
      </c>
      <c r="AV106" s="23">
        <f>EXP(-LN(2)/25)*AV105+(1-EXP(-LN(2)/25))/(LN(2)/25)*Calculateur!AQ106*Calculateur!AS106*VLOOKUP('Données projet'!$B$10,Paramètres!$A$1:$I$89,3,0)*0.475*44/12</f>
        <v>3.43122800921306</v>
      </c>
      <c r="AW106" s="23">
        <f>EXP(-LN(2)/2)*AW105+(1-EXP(-LN(2)/2))/(LN(2)/2)*AQ106*AT106*VLOOKUP('Données projet'!$B$10,Paramètres!$A$1:$I$89,3,0)*0.475*44/12</f>
        <v>0.67000615896422089</v>
      </c>
      <c r="AX106" s="23">
        <f t="shared" si="60"/>
        <v>79.921599029437203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1.1368683772161603E-13</v>
      </c>
      <c r="BE106" s="14">
        <f>BD106*VLOOKUP('Données projet'!$B$11,Paramètres!$A$1:$I$89,3,0)*VLOOKUP('Données projet'!$B$11,Paramètres!$A$1:$I$89,5,0)</f>
        <v>8.3355189417488869E-14</v>
      </c>
      <c r="BF106" s="14">
        <f t="shared" si="91"/>
        <v>1.2790518435140618E-12</v>
      </c>
      <c r="BG106" s="22">
        <f t="shared" si="61"/>
        <v>2.3728589156891171E-12</v>
      </c>
      <c r="BH106" s="62">
        <f t="shared" si="62"/>
        <v>293.3333333333357</v>
      </c>
      <c r="BI106" s="62">
        <f ca="1">AVERAGE(OFFSET($BH$3,0,0,'Données projet'!$E$11+1,1))-AVERAGE(OFFSET($H$3,0,0,'Données projet'!$E$11+1,1))</f>
        <v>182.06733089745194</v>
      </c>
      <c r="BJ106" s="62">
        <f t="shared" si="92"/>
        <v>320.36755413886021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14.075513256446865</v>
      </c>
      <c r="BQ106" s="23">
        <f>EXP(-LN(2)/25)*BQ105+(1-EXP(-LN(2)/25))/(LN(2)/25)*Calculateur!BL106*Calculateur!BN106*VLOOKUP('Données projet'!$B$11,Paramètres!$A$1:$I$89,3,0)*0.475*44/12</f>
        <v>1.678934414588408</v>
      </c>
      <c r="BR106" s="23">
        <f>EXP(-LN(2)/2)*BR105+(1-EXP(-LN(2)/2))/(LN(2)/2)*BL106*BO106*VLOOKUP('Données projet'!$B$11,Paramètres!$A$1:$I$89,3,0)*0.475*44/12</f>
        <v>7.618373746933428E-9</v>
      </c>
      <c r="BS106" s="24">
        <f t="shared" si="63"/>
        <v>15.754447678653646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319.99999999999972</v>
      </c>
      <c r="BZ106" s="14">
        <f>BY106*VLOOKUP('Données projet'!$B$12,Paramètres!$A$1:$I$89,3,0)*VLOOKUP('Données projet'!$B$12,Paramètres!$A$1:$I$89,5,0)</f>
        <v>279.55199999999979</v>
      </c>
      <c r="CA106" s="14">
        <f t="shared" si="93"/>
        <v>66.872324781216591</v>
      </c>
      <c r="CB106" s="22">
        <f t="shared" si="64"/>
        <v>603.35569899395182</v>
      </c>
      <c r="CC106" s="62">
        <f t="shared" si="65"/>
        <v>896.68903232728508</v>
      </c>
      <c r="CD106" s="62">
        <f ca="1">AVERAGE(OFFSET($CC$3,0,0,'Données projet'!$E$12+1,1))-AVERAGE(OFFSET($H$3,0,0,'Données projet'!$E$12+1,1))</f>
        <v>248.60758320902863</v>
      </c>
      <c r="CE106" s="62">
        <f t="shared" si="94"/>
        <v>222.23585883330111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34.315253752423018</v>
      </c>
      <c r="CL106" s="23">
        <f>EXP(-LN(2)/25)*CL105+(1-EXP(-LN(2)/25))/(LN(2)/25)*Calculateur!CG106*Calculateur!CI106*VLOOKUP('Données projet'!$B$12,Paramètres!$A$1:$I$89,3,0)*0.475*44/12</f>
        <v>3.8047259130096642</v>
      </c>
      <c r="CM106" s="23">
        <f>EXP(-LN(2)/2)*CM105+(1-EXP(-LN(2)/2))/(LN(2)/2)*CG106*CJ106*VLOOKUP('Données projet'!$B$12,Paramètres!$A$1:$I$89,3,0)*0.475*44/12</f>
        <v>6.4834682722215346E-4</v>
      </c>
      <c r="CN106" s="24">
        <f t="shared" si="66"/>
        <v>38.1206280122599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193.99999999999994</v>
      </c>
      <c r="CU106" s="18">
        <f>CT106*VLOOKUP('Données projet'!$B$13,Paramètres!$A$1:$I$89,3,0)*VLOOKUP('Données projet'!$B$13,Paramètres!$A$1:$I$89,5,0)</f>
        <v>105.92399999999998</v>
      </c>
      <c r="CV106" s="14">
        <f t="shared" si="95"/>
        <v>28.36854701055546</v>
      </c>
      <c r="CW106" s="22">
        <f t="shared" si="67"/>
        <v>233.89285271005073</v>
      </c>
      <c r="CX106" s="62">
        <f t="shared" si="68"/>
        <v>527.22618604338402</v>
      </c>
      <c r="CY106" s="62">
        <f ca="1">AVERAGE(OFFSET($CX$3,0,0,'Données projet'!$E$13+1,1))-AVERAGE(OFFSET($H$3,0,0,'Données projet'!$E$13+1,1))</f>
        <v>135.44138026609272</v>
      </c>
      <c r="CZ106" s="62">
        <f t="shared" si="96"/>
        <v>254.77247578425659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15.566764113717952</v>
      </c>
      <c r="DG106" s="23">
        <f>EXP(-LN(2)/25)*DG105+(1-EXP(-LN(2)/25))/(LN(2)/25)*Calculateur!DB106*Calculateur!DD106*VLOOKUP('Données projet'!$B$13,Paramètres!$A$1:$I$89,3,0)*0.475*44/12</f>
        <v>5.9770119891124018</v>
      </c>
      <c r="DH106" s="23">
        <f>EXP(-LN(2)/2)*DH105+(1-EXP(-LN(2)/2))/(LN(2)/2)*DB106*DE106*VLOOKUP('Données projet'!$B$13,Paramètres!$A$1:$I$89,3,0)*0.475*44/12</f>
        <v>8.751606760336477E-10</v>
      </c>
      <c r="DI106" s="24">
        <f t="shared" si="69"/>
        <v>21.543776103705515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273.00000000000023</v>
      </c>
      <c r="DP106" s="18">
        <f>DO106*VLOOKUP('Données projet'!$B$14,Paramètres!$A$1:$I$89,3,0)*VLOOKUP('Données projet'!$B$14,Paramètres!$A$1:$I$89,5,0)</f>
        <v>264.04560000000021</v>
      </c>
      <c r="DQ106" s="14">
        <f t="shared" si="97"/>
        <v>63.583959929973794</v>
      </c>
      <c r="DR106" s="22">
        <f t="shared" si="70"/>
        <v>570.6214835447048</v>
      </c>
      <c r="DS106" s="62">
        <f t="shared" si="71"/>
        <v>863.95481687803817</v>
      </c>
      <c r="DT106" s="62">
        <f ca="1">AVERAGE(OFFSET($DS$3,0,0,'Données projet'!$E$14+1,1))-AVERAGE(OFFSET($H$3,0,0,'Données projet'!$E$14+1,1))</f>
        <v>271.09447278906288</v>
      </c>
      <c r="DU106" s="62">
        <f t="shared" si="98"/>
        <v>325.1094067861851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17.272022738305242</v>
      </c>
      <c r="EB106" s="23">
        <f>EXP(-LN(2)/25)*EB105+(1-EXP(-LN(2)/25))/(LN(2)/25)*Calculateur!DW106*Calculateur!DY106*VLOOKUP('Données projet'!$B$14,Paramètres!$A$1:$I$89,3,0)*0.475*44/12</f>
        <v>2.2330048615829114</v>
      </c>
      <c r="EC106" s="23">
        <f>EXP(-LN(2)/2)*EC105+(1-EXP(-LN(2)/2))/(LN(2)/2)*DW106*DZ106*VLOOKUP('Données projet'!$B$14,Paramètres!$A$1:$I$89,3,0)*0.475*44/12</f>
        <v>2.0546627328515895E-6</v>
      </c>
      <c r="ED106" s="24">
        <f t="shared" si="72"/>
        <v>19.505029654550889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273.00000000000023</v>
      </c>
      <c r="EK106" s="18">
        <f>EJ106*VLOOKUP('Données projet'!$B$15,Paramètres!$A$1:$I$89,3,0)*VLOOKUP('Données projet'!$B$15,Paramètres!$A$1:$I$89,5,0)</f>
        <v>293.85720000000026</v>
      </c>
      <c r="EL106" s="14">
        <f t="shared" si="99"/>
        <v>69.887150190339895</v>
      </c>
      <c r="EM106" s="22">
        <f t="shared" si="73"/>
        <v>633.52140991484237</v>
      </c>
      <c r="EN106" s="62">
        <f t="shared" si="74"/>
        <v>926.85474324817574</v>
      </c>
      <c r="EO106" s="62">
        <f ca="1">AVERAGE(OFFSET($EN$3,0,0,'Données projet'!$E$15+1,1))-AVERAGE(OFFSET($H$3,0,0,'Données projet'!$E$15+1,1))</f>
        <v>306.50593475734655</v>
      </c>
      <c r="EP106" s="62">
        <f t="shared" si="100"/>
        <v>366.48643801375079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19.222089821662298</v>
      </c>
      <c r="EW106" s="23">
        <f>EXP(-LN(2)/25)*EW105+(1-EXP(-LN(2)/25))/(LN(2)/25)*Calculateur!ER106*Calculateur!ET106*VLOOKUP('Données projet'!$B$15,Paramètres!$A$1:$I$89,3,0)*0.475*44/12</f>
        <v>2.48511831369711</v>
      </c>
      <c r="EX106" s="23">
        <f>EXP(-LN(2)/2)*EX105+(1-EXP(-LN(2)/2))/(LN(2)/2)*ER106*EU106*VLOOKUP('Données projet'!$B$15,Paramètres!$A$1:$I$89,3,0)*0.475*44/12</f>
        <v>2.2866407833348322E-6</v>
      </c>
      <c r="EY106" s="24">
        <f t="shared" si="75"/>
        <v>21.707210422000191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76.252799999999795</v>
      </c>
      <c r="D107" s="12">
        <f t="shared" si="86"/>
        <v>21.21843193164279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752.40950964776732</v>
      </c>
      <c r="H107" s="70">
        <f t="shared" si="56"/>
        <v>463.09572894761084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5.4</v>
      </c>
      <c r="N107" s="14">
        <f>IF('Données projet'!$A$36&gt;35,N106+M107-V106,IF(A107&lt;'Données projet'!$A$36,$K$205^A107,IF(A107='Données projet'!$A$36,'Données projet'!$B$36,N106+M107-V106)))</f>
        <v>327.59999999999991</v>
      </c>
      <c r="O107" s="14">
        <f>N107*VLOOKUP('Données projet'!$B$9,Paramètres!$A$1:$I$89,3,0)*VLOOKUP('Données projet'!$B$9,Paramètres!$A$1:$I$89,5,0)</f>
        <v>296.4124799999999</v>
      </c>
      <c r="P107" s="14">
        <f t="shared" si="87"/>
        <v>70.423855708154704</v>
      </c>
      <c r="Q107" s="22">
        <f t="shared" si="107"/>
        <v>638.90661802503598</v>
      </c>
      <c r="R107" s="62">
        <f t="shared" si="55"/>
        <v>932.23995135836935</v>
      </c>
      <c r="S107" s="62">
        <f ca="1">AVERAGE(OFFSET($R$3,0,0,'Données projet'!$E$9+1,1))-AVERAGE(OFFSET($H$3,0,0,'Données projet'!$E$9+1,1))</f>
        <v>312.57314929661908</v>
      </c>
      <c r="T107" s="62">
        <f t="shared" si="88"/>
        <v>190.92100876773804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66.328419655797447</v>
      </c>
      <c r="AA107" s="23">
        <f>EXP(-LN(2)/25)*AA106+(1-EXP(-LN(2)/25))/(LN(2)/25)*Calculateur!V107*Calculateur!X107*VLOOKUP('Données projet'!$B$9,Paramètres!$A$1:$I$89,3,0)*0.475*44/12</f>
        <v>2.9779884943679988</v>
      </c>
      <c r="AB107" s="23">
        <f>EXP(-LN(2)/2)*AB106+(1-EXP(-LN(2)/2))/(LN(2)/2)*V107*Y107*VLOOKUP('Données projet'!$B$9,Paramètres!$A$1:$I$89,3,0)*0.475*44/12</f>
        <v>0.42274495553139163</v>
      </c>
      <c r="AC107" s="24">
        <f t="shared" si="57"/>
        <v>69.729153105696838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5.4</v>
      </c>
      <c r="AI107" s="14">
        <f>IF('Données projet'!$A$62&gt;35,AI106+AH107-AQ106,IF(A107&lt;'Données projet'!$A$62,$AF$205^A107,IF(A107='Données projet'!$A$62,'Données projet'!$B$62,AI106+AH107-AQ106)))</f>
        <v>327.59999999999991</v>
      </c>
      <c r="AJ107" s="14">
        <f>AI107*VLOOKUP('Données projet'!$B$10,Paramètres!$A$1:$I$89,3,0)*VLOOKUP('Données projet'!$B$10,Paramètres!$A$1:$I$89,5,0)</f>
        <v>332.18639999999994</v>
      </c>
      <c r="AK107" s="14">
        <f t="shared" si="89"/>
        <v>77.88342931194974</v>
      </c>
      <c r="AL107" s="22">
        <f t="shared" si="58"/>
        <v>714.20495271831226</v>
      </c>
      <c r="AM107" s="62">
        <f t="shared" si="59"/>
        <v>1007.5382860516456</v>
      </c>
      <c r="AN107" s="62">
        <f ca="1">AVERAGE(OFFSET($AM$3,0,0,'Données projet'!$E$10+1,1))-AVERAGE(OFFSET($H$3,0,0,'Données projet'!$E$10+1,1))</f>
        <v>360.56293184044779</v>
      </c>
      <c r="AO107" s="62">
        <f t="shared" si="90"/>
        <v>219.32252911220542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74.33357375218678</v>
      </c>
      <c r="AV107" s="23">
        <f>EXP(-LN(2)/25)*AV106+(1-EXP(-LN(2)/25))/(LN(2)/25)*Calculateur!AQ107*Calculateur!AS107*VLOOKUP('Données projet'!$B$10,Paramètres!$A$1:$I$89,3,0)*0.475*44/12</f>
        <v>3.33740089886069</v>
      </c>
      <c r="AW107" s="23">
        <f>EXP(-LN(2)/2)*AW106+(1-EXP(-LN(2)/2))/(LN(2)/2)*AQ107*AT107*VLOOKUP('Données projet'!$B$10,Paramètres!$A$1:$I$89,3,0)*0.475*44/12</f>
        <v>0.47376589844035255</v>
      </c>
      <c r="AX107" s="23">
        <f t="shared" si="60"/>
        <v>78.144740549487821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1.1368683772161603E-13</v>
      </c>
      <c r="BE107" s="14">
        <f>BD107*VLOOKUP('Données projet'!$B$11,Paramètres!$A$1:$I$89,3,0)*VLOOKUP('Données projet'!$B$11,Paramètres!$A$1:$I$89,5,0)</f>
        <v>8.3355189417488869E-14</v>
      </c>
      <c r="BF107" s="14">
        <f t="shared" si="91"/>
        <v>1.2790518435140618E-12</v>
      </c>
      <c r="BG107" s="22">
        <f t="shared" si="61"/>
        <v>2.3728589156891171E-12</v>
      </c>
      <c r="BH107" s="62">
        <f t="shared" si="62"/>
        <v>293.3333333333357</v>
      </c>
      <c r="BI107" s="62">
        <f ca="1">AVERAGE(OFFSET($BH$3,0,0,'Données projet'!$E$11+1,1))-AVERAGE(OFFSET($H$3,0,0,'Données projet'!$E$11+1,1))</f>
        <v>182.06733089745194</v>
      </c>
      <c r="BJ107" s="62">
        <f t="shared" si="92"/>
        <v>320.36755413886021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13.799501026703309</v>
      </c>
      <c r="BQ107" s="23">
        <f>EXP(-LN(2)/25)*BQ106+(1-EXP(-LN(2)/25))/(LN(2)/25)*Calculateur!BL107*Calculateur!BN107*VLOOKUP('Données projet'!$B$11,Paramètres!$A$1:$I$89,3,0)*0.475*44/12</f>
        <v>1.6330238647301643</v>
      </c>
      <c r="BR107" s="23">
        <f>EXP(-LN(2)/2)*BR106+(1-EXP(-LN(2)/2))/(LN(2)/2)*BL107*BO107*VLOOKUP('Données projet'!$B$11,Paramètres!$A$1:$I$89,3,0)*0.475*44/12</f>
        <v>5.3870037380701937E-9</v>
      </c>
      <c r="BS107" s="24">
        <f t="shared" si="63"/>
        <v>15.432524896820478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319.99999999999972</v>
      </c>
      <c r="BZ107" s="14">
        <f>BY107*VLOOKUP('Données projet'!$B$12,Paramètres!$A$1:$I$89,3,0)*VLOOKUP('Données projet'!$B$12,Paramètres!$A$1:$I$89,5,0)</f>
        <v>279.55199999999979</v>
      </c>
      <c r="CA107" s="14">
        <f t="shared" si="93"/>
        <v>66.872324781216591</v>
      </c>
      <c r="CB107" s="22">
        <f t="shared" si="64"/>
        <v>603.35569899395182</v>
      </c>
      <c r="CC107" s="62">
        <f t="shared" si="65"/>
        <v>896.68903232728508</v>
      </c>
      <c r="CD107" s="62">
        <f ca="1">AVERAGE(OFFSET($CC$3,0,0,'Données projet'!$E$12+1,1))-AVERAGE(OFFSET($H$3,0,0,'Données projet'!$E$12+1,1))</f>
        <v>248.60758320902863</v>
      </c>
      <c r="CE107" s="62">
        <f t="shared" si="94"/>
        <v>222.23585883330111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33.6423525565761</v>
      </c>
      <c r="CL107" s="23">
        <f>EXP(-LN(2)/25)*CL106+(1-EXP(-LN(2)/25))/(LN(2)/25)*Calculateur!CG107*Calculateur!CI107*VLOOKUP('Données projet'!$B$12,Paramètres!$A$1:$I$89,3,0)*0.475*44/12</f>
        <v>3.7006854828365752</v>
      </c>
      <c r="CM107" s="23">
        <f>EXP(-LN(2)/2)*CM106+(1-EXP(-LN(2)/2))/(LN(2)/2)*CG107*CJ107*VLOOKUP('Données projet'!$B$12,Paramètres!$A$1:$I$89,3,0)*0.475*44/12</f>
        <v>4.5845043808956761E-4</v>
      </c>
      <c r="CN107" s="24">
        <f t="shared" si="66"/>
        <v>37.343496489850764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193.99999999999994</v>
      </c>
      <c r="CU107" s="18">
        <f>CT107*VLOOKUP('Données projet'!$B$13,Paramètres!$A$1:$I$89,3,0)*VLOOKUP('Données projet'!$B$13,Paramètres!$A$1:$I$89,5,0)</f>
        <v>105.92399999999998</v>
      </c>
      <c r="CV107" s="14">
        <f t="shared" si="95"/>
        <v>28.36854701055546</v>
      </c>
      <c r="CW107" s="22">
        <f t="shared" si="67"/>
        <v>233.89285271005073</v>
      </c>
      <c r="CX107" s="62">
        <f t="shared" si="68"/>
        <v>527.22618604338402</v>
      </c>
      <c r="CY107" s="62">
        <f ca="1">AVERAGE(OFFSET($CX$3,0,0,'Données projet'!$E$13+1,1))-AVERAGE(OFFSET($H$3,0,0,'Données projet'!$E$13+1,1))</f>
        <v>135.44138026609272</v>
      </c>
      <c r="CZ107" s="62">
        <f t="shared" si="96"/>
        <v>254.77247578425659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15.26150936423652</v>
      </c>
      <c r="DG107" s="23">
        <f>EXP(-LN(2)/25)*DG106+(1-EXP(-LN(2)/25))/(LN(2)/25)*Calculateur!DB107*Calculateur!DD107*VLOOKUP('Données projet'!$B$13,Paramètres!$A$1:$I$89,3,0)*0.475*44/12</f>
        <v>5.8135702819527237</v>
      </c>
      <c r="DH107" s="23">
        <f>EXP(-LN(2)/2)*DH106+(1-EXP(-LN(2)/2))/(LN(2)/2)*DB107*DE107*VLOOKUP('Données projet'!$B$13,Paramètres!$A$1:$I$89,3,0)*0.475*44/12</f>
        <v>6.1883204865119552E-10</v>
      </c>
      <c r="DI107" s="24">
        <f t="shared" si="69"/>
        <v>21.075079646808078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273.00000000000023</v>
      </c>
      <c r="DP107" s="18">
        <f>DO107*VLOOKUP('Données projet'!$B$14,Paramètres!$A$1:$I$89,3,0)*VLOOKUP('Données projet'!$B$14,Paramètres!$A$1:$I$89,5,0)</f>
        <v>264.04560000000021</v>
      </c>
      <c r="DQ107" s="14">
        <f t="shared" si="97"/>
        <v>63.583959929973794</v>
      </c>
      <c r="DR107" s="22">
        <f t="shared" si="70"/>
        <v>570.6214835447048</v>
      </c>
      <c r="DS107" s="62">
        <f t="shared" si="71"/>
        <v>863.95481687803817</v>
      </c>
      <c r="DT107" s="62">
        <f ca="1">AVERAGE(OFFSET($DS$3,0,0,'Données projet'!$E$14+1,1))-AVERAGE(OFFSET($H$3,0,0,'Données projet'!$E$14+1,1))</f>
        <v>271.09447278906288</v>
      </c>
      <c r="DU107" s="62">
        <f t="shared" si="98"/>
        <v>325.1094067861851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16.933328907300712</v>
      </c>
      <c r="EB107" s="23">
        <f>EXP(-LN(2)/25)*EB106+(1-EXP(-LN(2)/25))/(LN(2)/25)*Calculateur!DW107*Calculateur!DY107*VLOOKUP('Données projet'!$B$14,Paramètres!$A$1:$I$89,3,0)*0.475*44/12</f>
        <v>2.1719432262143048</v>
      </c>
      <c r="EC107" s="23">
        <f>EXP(-LN(2)/2)*EC106+(1-EXP(-LN(2)/2))/(LN(2)/2)*DW107*DZ107*VLOOKUP('Données projet'!$B$14,Paramètres!$A$1:$I$89,3,0)*0.475*44/12</f>
        <v>1.4528659514506426E-6</v>
      </c>
      <c r="ED107" s="24">
        <f t="shared" si="72"/>
        <v>19.105273586380967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273.00000000000023</v>
      </c>
      <c r="EK107" s="18">
        <f>EJ107*VLOOKUP('Données projet'!$B$15,Paramètres!$A$1:$I$89,3,0)*VLOOKUP('Données projet'!$B$15,Paramètres!$A$1:$I$89,5,0)</f>
        <v>293.85720000000026</v>
      </c>
      <c r="EL107" s="14">
        <f t="shared" si="99"/>
        <v>69.887150190339895</v>
      </c>
      <c r="EM107" s="22">
        <f t="shared" si="73"/>
        <v>633.52140991484237</v>
      </c>
      <c r="EN107" s="62">
        <f t="shared" si="74"/>
        <v>926.85474324817574</v>
      </c>
      <c r="EO107" s="62">
        <f ca="1">AVERAGE(OFFSET($EN$3,0,0,'Données projet'!$E$15+1,1))-AVERAGE(OFFSET($H$3,0,0,'Données projet'!$E$15+1,1))</f>
        <v>306.50593475734655</v>
      </c>
      <c r="EP107" s="62">
        <f t="shared" si="100"/>
        <v>366.48643801375079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18.84515636457661</v>
      </c>
      <c r="EW107" s="23">
        <f>EXP(-LN(2)/25)*EW106+(1-EXP(-LN(2)/25))/(LN(2)/25)*Calculateur!ER107*Calculateur!ET107*VLOOKUP('Données projet'!$B$15,Paramètres!$A$1:$I$89,3,0)*0.475*44/12</f>
        <v>2.4171626227223704</v>
      </c>
      <c r="EX107" s="23">
        <f>EXP(-LN(2)/2)*EX106+(1-EXP(-LN(2)/2))/(LN(2)/2)*ER107*EU107*VLOOKUP('Données projet'!$B$15,Paramètres!$A$1:$I$89,3,0)*0.475*44/12</f>
        <v>1.6168992040337788E-6</v>
      </c>
      <c r="EY107" s="24">
        <f t="shared" si="75"/>
        <v>21.262320604198184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76.985999999999791</v>
      </c>
      <c r="D108" s="12">
        <f t="shared" si="86"/>
        <v>21.398606468170534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759.4601201051745</v>
      </c>
      <c r="H108" s="70">
        <f t="shared" si="56"/>
        <v>464.68652293206327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>
        <f>VLOOKUP(A108,'Données projet'!$A$35:$I$55,2,0)</f>
        <v>333</v>
      </c>
      <c r="L108" s="13">
        <f>VLOOKUP(A108,'Données projet'!$A$35:$I$55,9,0)</f>
        <v>5.4</v>
      </c>
      <c r="M108" s="13">
        <f t="array" ref="M108">INDEX(L:L,MIN(IF(ISNUMBER(L108:L304),ROW(L108:L304),"")))</f>
        <v>5.4</v>
      </c>
      <c r="N108" s="14">
        <f>IF('Données projet'!$A$36&gt;35,N107+M108-V107,IF(A108&lt;'Données projet'!$A$36,$K$205^A108,IF(A108='Données projet'!$A$36,'Données projet'!$B$36,N107+M108-V107)))</f>
        <v>332.99999999999989</v>
      </c>
      <c r="O108" s="14">
        <f>N108*VLOOKUP('Données projet'!$B$9,Paramètres!$A$1:$I$89,3,0)*VLOOKUP('Données projet'!$B$9,Paramètres!$A$1:$I$89,5,0)</f>
        <v>301.2983999999999</v>
      </c>
      <c r="P108" s="14">
        <f t="shared" si="87"/>
        <v>71.448589534990518</v>
      </c>
      <c r="Q108" s="22">
        <f t="shared" si="107"/>
        <v>649.20100677344158</v>
      </c>
      <c r="R108" s="62">
        <f t="shared" si="55"/>
        <v>942.53434010677483</v>
      </c>
      <c r="S108" s="62">
        <f ca="1">AVERAGE(OFFSET($R$3,0,0,'Données projet'!$E$9+1,1))-AVERAGE(OFFSET($H$3,0,0,'Données projet'!$E$9+1,1))</f>
        <v>312.57314929661908</v>
      </c>
      <c r="T108" s="62">
        <f t="shared" si="88"/>
        <v>190.92100876773804</v>
      </c>
      <c r="U108" s="16">
        <f>IF(ISNA(VLOOKUP(A108,'Données projet'!$A$35:$I$55,3,0)),0,VLOOKUP(A108,'Données projet'!$A$35:$I$55,3,0))</f>
        <v>18</v>
      </c>
      <c r="V108" s="16">
        <f>IF(ISNA(VLOOKUP(A108,'Données projet'!$A$35:$I$55,4,0)),0,VLOOKUP(A108,'Données projet'!$A$35:$I$55,4,0))</f>
        <v>26</v>
      </c>
      <c r="W108" s="17">
        <f>IF(ISNA(VLOOKUP(A108,'Données projet'!$A$35:$I$55,5,0)),0%,VLOOKUP(A108,'Données projet'!$A$35:$I$55,5,0)*VLOOKUP('Données projet'!$B$9,Paramètres!$A$1:$I$89,7,0))</f>
        <v>0.34400000000000003</v>
      </c>
      <c r="X108" s="17">
        <f>IF(ISNA(VLOOKUP(A108,'Données projet'!$A$35:$I$55,6,0)),0%,VLOOKUP(A108,'Données projet'!$A$35:$I$55,6,0)*VLOOKUP('Données projet'!$B$9,Paramètres!$A$1:$I$89,7,0))</f>
        <v>1.72E-2</v>
      </c>
      <c r="Y108" s="17">
        <f>IF(ISNA(VLOOKUP(A108,'Données projet'!$A$35:$I$55,7,0)),0%,VLOOKUP(A108,'Données projet'!$A$35:$I$55,7,0))</f>
        <v>0.06</v>
      </c>
      <c r="Z108" s="23">
        <f>EXP(-LN(2)/35)*Z107+(1-EXP(-LN(2)/35))/(LN(2)/35)*V108*W108*VLOOKUP('Données projet'!$B$9,Paramètres!$A$1:$I$89,3,0)*0.475*44/12</f>
        <v>73.973813339734761</v>
      </c>
      <c r="AA108" s="23">
        <f>EXP(-LN(2)/25)*AA107+(1-EXP(-LN(2)/25))/(LN(2)/25)*Calculateur!V108*Calculateur!X108*VLOOKUP('Données projet'!$B$9,Paramètres!$A$1:$I$89,3,0)*0.475*44/12</f>
        <v>3.34209671816176</v>
      </c>
      <c r="AB108" s="23">
        <f>EXP(-LN(2)/2)*AB107+(1-EXP(-LN(2)/2))/(LN(2)/2)*V108*Y108*VLOOKUP('Données projet'!$B$9,Paramètres!$A$1:$I$89,3,0)*0.475*44/12</f>
        <v>1.6307027424111826</v>
      </c>
      <c r="AC108" s="24">
        <f t="shared" si="57"/>
        <v>78.946612800307705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333</v>
      </c>
      <c r="AG108" s="13">
        <f>VLOOKUP(A108,'Données projet'!$A$61:$I$81,9,0)</f>
        <v>5.4</v>
      </c>
      <c r="AH108" s="13">
        <f t="array" ref="AH108">INDEX(AG:AG,MIN(IF(ISNUMBER(AG108:AG304),ROW(AG108:AG304),"")))</f>
        <v>5.4</v>
      </c>
      <c r="AI108" s="14">
        <f>IF('Données projet'!$A$62&gt;35,AI107+AH108-AQ107,IF(A108&lt;'Données projet'!$A$62,$AF$205^A108,IF(A108='Données projet'!$A$62,'Données projet'!$B$62,AI107+AH108-AQ107)))</f>
        <v>332.99999999999989</v>
      </c>
      <c r="AJ108" s="14">
        <f>AI108*VLOOKUP('Données projet'!$B$10,Paramètres!$A$1:$I$89,3,0)*VLOOKUP('Données projet'!$B$10,Paramètres!$A$1:$I$89,5,0)</f>
        <v>337.66199999999992</v>
      </c>
      <c r="AK108" s="14">
        <f t="shared" si="89"/>
        <v>79.016707002632685</v>
      </c>
      <c r="AL108" s="22">
        <f t="shared" si="58"/>
        <v>725.71541469625174</v>
      </c>
      <c r="AM108" s="62">
        <f t="shared" si="59"/>
        <v>1019.0487480295851</v>
      </c>
      <c r="AN108" s="62">
        <f ca="1">AVERAGE(OFFSET($AM$3,0,0,'Données projet'!$E$10+1,1))-AVERAGE(OFFSET($H$3,0,0,'Données projet'!$E$10+1,1))</f>
        <v>360.56293184044779</v>
      </c>
      <c r="AO108" s="62">
        <f t="shared" si="90"/>
        <v>219.32252911220542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26</v>
      </c>
      <c r="AR108" s="17">
        <f>IF(ISNA(VLOOKUP(A108,'Données projet'!$A$61:$I$81,5,0)),0%,VLOOKUP(A108,'Données projet'!$A$61:$I$81,5,0)*VLOOKUP('Données projet'!$B$10,Paramètres!$A$1:$I$89,7,0))</f>
        <v>0.34400000000000003</v>
      </c>
      <c r="AS108" s="17">
        <f>IF(ISNA(VLOOKUP(A108,'Données projet'!$A$61:$I$81,6,0)),0%,VLOOKUP(A108,'Données projet'!$A$61:$I$81,6,0)*VLOOKUP('Données projet'!$B$10,Paramètres!$A$1:$I$89,7,0))</f>
        <v>1.72E-2</v>
      </c>
      <c r="AT108" s="17">
        <f>IF(ISNA(VLOOKUP(A108,'Données projet'!$A$61:$I$81,7,0)),0%,VLOOKUP(A108,'Données projet'!$A$61:$I$81,7,0))</f>
        <v>0.06</v>
      </c>
      <c r="AU108" s="23">
        <f>EXP(-LN(2)/35)*AU107+(1-EXP(-LN(2)/35))/(LN(2)/35)*AQ108*AR108*VLOOKUP('Données projet'!$B$10,Paramètres!$A$1:$I$89,3,0)*0.475*44/12</f>
        <v>82.901687363495839</v>
      </c>
      <c r="AV108" s="23">
        <f>EXP(-LN(2)/25)*AV107+(1-EXP(-LN(2)/25))/(LN(2)/25)*Calculateur!AQ108*Calculateur!AS108*VLOOKUP('Données projet'!$B$10,Paramètres!$A$1:$I$89,3,0)*0.475*44/12</f>
        <v>3.7454532186295606</v>
      </c>
      <c r="AW108" s="23">
        <f>EXP(-LN(2)/2)*AW107+(1-EXP(-LN(2)/2))/(LN(2)/2)*AQ108*AT108*VLOOKUP('Données projet'!$B$10,Paramètres!$A$1:$I$89,3,0)*0.475*44/12</f>
        <v>1.8275116940814975</v>
      </c>
      <c r="AX108" s="23">
        <f t="shared" si="60"/>
        <v>88.474652276206896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1.1368683772161603E-13</v>
      </c>
      <c r="BE108" s="14">
        <f>BD108*VLOOKUP('Données projet'!$B$11,Paramètres!$A$1:$I$89,3,0)*VLOOKUP('Données projet'!$B$11,Paramètres!$A$1:$I$89,5,0)</f>
        <v>8.3355189417488869E-14</v>
      </c>
      <c r="BF108" s="14">
        <f t="shared" si="91"/>
        <v>1.2790518435140618E-12</v>
      </c>
      <c r="BG108" s="22">
        <f t="shared" si="61"/>
        <v>2.3728589156891171E-12</v>
      </c>
      <c r="BH108" s="62">
        <f t="shared" si="62"/>
        <v>293.3333333333357</v>
      </c>
      <c r="BI108" s="62">
        <f ca="1">AVERAGE(OFFSET($BH$3,0,0,'Données projet'!$E$11+1,1))-AVERAGE(OFFSET($H$3,0,0,'Données projet'!$E$11+1,1))</f>
        <v>182.06733089745194</v>
      </c>
      <c r="BJ108" s="62">
        <f t="shared" si="92"/>
        <v>320.36755413886021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13.528901228434187</v>
      </c>
      <c r="BQ108" s="23">
        <f>EXP(-LN(2)/25)*BQ107+(1-EXP(-LN(2)/25))/(LN(2)/25)*Calculateur!BL108*Calculateur!BN108*VLOOKUP('Données projet'!$B$11,Paramètres!$A$1:$I$89,3,0)*0.475*44/12</f>
        <v>1.5883687412721252</v>
      </c>
      <c r="BR108" s="23">
        <f>EXP(-LN(2)/2)*BR107+(1-EXP(-LN(2)/2))/(LN(2)/2)*BL108*BO108*VLOOKUP('Données projet'!$B$11,Paramètres!$A$1:$I$89,3,0)*0.475*44/12</f>
        <v>3.809186873466714E-9</v>
      </c>
      <c r="BS108" s="24">
        <f t="shared" si="63"/>
        <v>15.1172699735155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319.99999999999972</v>
      </c>
      <c r="BZ108" s="14">
        <f>BY108*VLOOKUP('Données projet'!$B$12,Paramètres!$A$1:$I$89,3,0)*VLOOKUP('Données projet'!$B$12,Paramètres!$A$1:$I$89,5,0)</f>
        <v>279.55199999999979</v>
      </c>
      <c r="CA108" s="14">
        <f t="shared" si="93"/>
        <v>66.872324781216591</v>
      </c>
      <c r="CB108" s="22">
        <f t="shared" si="64"/>
        <v>603.35569899395182</v>
      </c>
      <c r="CC108" s="62">
        <f t="shared" si="65"/>
        <v>896.68903232728508</v>
      </c>
      <c r="CD108" s="62">
        <f ca="1">AVERAGE(OFFSET($CC$3,0,0,'Données projet'!$E$12+1,1))-AVERAGE(OFFSET($H$3,0,0,'Données projet'!$E$12+1,1))</f>
        <v>248.60758320902863</v>
      </c>
      <c r="CE108" s="62">
        <f t="shared" si="94"/>
        <v>222.23585883330111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32.982646542750537</v>
      </c>
      <c r="CL108" s="23">
        <f>EXP(-LN(2)/25)*CL107+(1-EXP(-LN(2)/25))/(LN(2)/25)*Calculateur!CG108*Calculateur!CI108*VLOOKUP('Données projet'!$B$12,Paramètres!$A$1:$I$89,3,0)*0.475*44/12</f>
        <v>3.5994900436978177</v>
      </c>
      <c r="CM108" s="23">
        <f>EXP(-LN(2)/2)*CM107+(1-EXP(-LN(2)/2))/(LN(2)/2)*CG108*CJ108*VLOOKUP('Données projet'!$B$12,Paramètres!$A$1:$I$89,3,0)*0.475*44/12</f>
        <v>3.2417341361107673E-4</v>
      </c>
      <c r="CN108" s="24">
        <f t="shared" si="66"/>
        <v>36.582460759861966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193.99999999999994</v>
      </c>
      <c r="CU108" s="18">
        <f>CT108*VLOOKUP('Données projet'!$B$13,Paramètres!$A$1:$I$89,3,0)*VLOOKUP('Données projet'!$B$13,Paramètres!$A$1:$I$89,5,0)</f>
        <v>105.92399999999998</v>
      </c>
      <c r="CV108" s="14">
        <f t="shared" si="95"/>
        <v>28.36854701055546</v>
      </c>
      <c r="CW108" s="22">
        <f t="shared" si="67"/>
        <v>233.89285271005073</v>
      </c>
      <c r="CX108" s="62">
        <f t="shared" si="68"/>
        <v>527.22618604338402</v>
      </c>
      <c r="CY108" s="62">
        <f ca="1">AVERAGE(OFFSET($CX$3,0,0,'Données projet'!$E$13+1,1))-AVERAGE(OFFSET($H$3,0,0,'Données projet'!$E$13+1,1))</f>
        <v>135.44138026609272</v>
      </c>
      <c r="CZ108" s="62">
        <f t="shared" si="96"/>
        <v>254.77247578425659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14.962240474205407</v>
      </c>
      <c r="DG108" s="23">
        <f>EXP(-LN(2)/25)*DG107+(1-EXP(-LN(2)/25))/(LN(2)/25)*Calculateur!DB108*Calculateur!DD108*VLOOKUP('Données projet'!$B$13,Paramètres!$A$1:$I$89,3,0)*0.475*44/12</f>
        <v>5.6545978968703521</v>
      </c>
      <c r="DH108" s="23">
        <f>EXP(-LN(2)/2)*DH107+(1-EXP(-LN(2)/2))/(LN(2)/2)*DB108*DE108*VLOOKUP('Données projet'!$B$13,Paramètres!$A$1:$I$89,3,0)*0.475*44/12</f>
        <v>4.3758033801682385E-10</v>
      </c>
      <c r="DI108" s="24">
        <f t="shared" si="69"/>
        <v>20.616838371513339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273.00000000000023</v>
      </c>
      <c r="DP108" s="18">
        <f>DO108*VLOOKUP('Données projet'!$B$14,Paramètres!$A$1:$I$89,3,0)*VLOOKUP('Données projet'!$B$14,Paramètres!$A$1:$I$89,5,0)</f>
        <v>264.04560000000021</v>
      </c>
      <c r="DQ108" s="14">
        <f t="shared" si="97"/>
        <v>63.583959929973794</v>
      </c>
      <c r="DR108" s="22">
        <f t="shared" si="70"/>
        <v>570.6214835447048</v>
      </c>
      <c r="DS108" s="62">
        <f t="shared" si="71"/>
        <v>863.95481687803817</v>
      </c>
      <c r="DT108" s="62">
        <f ca="1">AVERAGE(OFFSET($DS$3,0,0,'Données projet'!$E$14+1,1))-AVERAGE(OFFSET($H$3,0,0,'Données projet'!$E$14+1,1))</f>
        <v>271.09447278906288</v>
      </c>
      <c r="DU108" s="62">
        <f t="shared" si="98"/>
        <v>325.1094067861851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16.601276655739344</v>
      </c>
      <c r="EB108" s="23">
        <f>EXP(-LN(2)/25)*EB107+(1-EXP(-LN(2)/25))/(LN(2)/25)*Calculateur!DW108*Calculateur!DY108*VLOOKUP('Données projet'!$B$14,Paramètres!$A$1:$I$89,3,0)*0.475*44/12</f>
        <v>2.1125513244759446</v>
      </c>
      <c r="EC108" s="23">
        <f>EXP(-LN(2)/2)*EC107+(1-EXP(-LN(2)/2))/(LN(2)/2)*DW108*DZ108*VLOOKUP('Données projet'!$B$14,Paramètres!$A$1:$I$89,3,0)*0.475*44/12</f>
        <v>1.0273313664257947E-6</v>
      </c>
      <c r="ED108" s="24">
        <f t="shared" si="72"/>
        <v>18.713829007546654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273.00000000000023</v>
      </c>
      <c r="EK108" s="18">
        <f>EJ108*VLOOKUP('Données projet'!$B$15,Paramètres!$A$1:$I$89,3,0)*VLOOKUP('Données projet'!$B$15,Paramètres!$A$1:$I$89,5,0)</f>
        <v>293.85720000000026</v>
      </c>
      <c r="EL108" s="14">
        <f t="shared" si="99"/>
        <v>69.887150190339895</v>
      </c>
      <c r="EM108" s="22">
        <f t="shared" si="73"/>
        <v>633.52140991484237</v>
      </c>
      <c r="EN108" s="62">
        <f t="shared" si="74"/>
        <v>926.85474324817574</v>
      </c>
      <c r="EO108" s="62">
        <f ca="1">AVERAGE(OFFSET($EN$3,0,0,'Données projet'!$E$15+1,1))-AVERAGE(OFFSET($H$3,0,0,'Données projet'!$E$15+1,1))</f>
        <v>306.50593475734655</v>
      </c>
      <c r="EP108" s="62">
        <f t="shared" si="100"/>
        <v>366.48643801375079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18.475614342677666</v>
      </c>
      <c r="EW108" s="23">
        <f>EXP(-LN(2)/25)*EW107+(1-EXP(-LN(2)/25))/(LN(2)/25)*Calculateur!ER108*Calculateur!ET108*VLOOKUP('Données projet'!$B$15,Paramètres!$A$1:$I$89,3,0)*0.475*44/12</f>
        <v>2.3510651836909693</v>
      </c>
      <c r="EX108" s="23">
        <f>EXP(-LN(2)/2)*EX107+(1-EXP(-LN(2)/2))/(LN(2)/2)*ER108*EU108*VLOOKUP('Données projet'!$B$15,Paramètres!$A$1:$I$89,3,0)*0.475*44/12</f>
        <v>1.1433203916674161E-6</v>
      </c>
      <c r="EY108" s="24">
        <f t="shared" si="75"/>
        <v>20.826680669689029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77.719199999999788</v>
      </c>
      <c r="D109" s="12">
        <f t="shared" si="86"/>
        <v>21.578581375833281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766.50918956783426</v>
      </c>
      <c r="H109" s="70">
        <f t="shared" si="56"/>
        <v>466.27696922957591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</v>
      </c>
      <c r="N109" s="14">
        <f>IF('Données projet'!$A$36&gt;35,N108+M109-V108,IF(A109&lt;'Données projet'!$A$36,$K$205^A109,IF(A109='Données projet'!$A$36,'Données projet'!$B$36,N108+M109-V108)))</f>
        <v>311.99999999999989</v>
      </c>
      <c r="O109" s="14">
        <f>N109*VLOOKUP('Données projet'!$B$9,Paramètres!$A$1:$I$89,3,0)*VLOOKUP('Données projet'!$B$9,Paramètres!$A$1:$I$89,5,0)</f>
        <v>282.29759999999987</v>
      </c>
      <c r="P109" s="14">
        <f t="shared" si="87"/>
        <v>67.452326629470178</v>
      </c>
      <c r="Q109" s="22">
        <f t="shared" si="107"/>
        <v>609.14778887966042</v>
      </c>
      <c r="R109" s="62">
        <f t="shared" si="55"/>
        <v>902.4811222129938</v>
      </c>
      <c r="S109" s="62">
        <f ca="1">AVERAGE(OFFSET($R$3,0,0,'Données projet'!$E$9+1,1))-AVERAGE(OFFSET($H$3,0,0,'Données projet'!$E$9+1,1))</f>
        <v>312.57314929661908</v>
      </c>
      <c r="T109" s="62">
        <f t="shared" si="88"/>
        <v>190.92100876773804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72.523231979713515</v>
      </c>
      <c r="AA109" s="23">
        <f>EXP(-LN(2)/25)*AA108+(1-EXP(-LN(2)/25))/(LN(2)/25)*Calculateur!V109*Calculateur!X109*VLOOKUP('Données projet'!$B$9,Paramètres!$A$1:$I$89,3,0)*0.475*44/12</f>
        <v>3.2507069076503989</v>
      </c>
      <c r="AB109" s="23">
        <f>EXP(-LN(2)/2)*AB108+(1-EXP(-LN(2)/2))/(LN(2)/2)*V109*Y109*VLOOKUP('Données projet'!$B$9,Paramètres!$A$1:$I$89,3,0)*0.475*44/12</f>
        <v>1.1530809672584472</v>
      </c>
      <c r="AC109" s="24">
        <f t="shared" si="57"/>
        <v>76.927019854622358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5</v>
      </c>
      <c r="AI109" s="14">
        <f>IF('Données projet'!$A$62&gt;35,AI108+AH109-AQ108,IF(A109&lt;'Données projet'!$A$62,$AF$205^A109,IF(A109='Données projet'!$A$62,'Données projet'!$B$62,AI108+AH109-AQ108)))</f>
        <v>311.99999999999989</v>
      </c>
      <c r="AJ109" s="14">
        <f>AI109*VLOOKUP('Données projet'!$B$10,Paramètres!$A$1:$I$89,3,0)*VLOOKUP('Données projet'!$B$10,Paramètres!$A$1:$I$89,5,0)</f>
        <v>316.36799999999988</v>
      </c>
      <c r="AK109" s="14">
        <f t="shared" si="89"/>
        <v>74.597144109003438</v>
      </c>
      <c r="AL109" s="22">
        <f t="shared" si="58"/>
        <v>680.93095932318067</v>
      </c>
      <c r="AM109" s="62">
        <f t="shared" si="59"/>
        <v>974.26429265651404</v>
      </c>
      <c r="AN109" s="62">
        <f ca="1">AVERAGE(OFFSET($AM$3,0,0,'Données projet'!$E$10+1,1))-AVERAGE(OFFSET($H$3,0,0,'Données projet'!$E$10+1,1))</f>
        <v>360.56293184044779</v>
      </c>
      <c r="AO109" s="62">
        <f t="shared" si="90"/>
        <v>219.32252911220542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81.276035839334099</v>
      </c>
      <c r="AV109" s="23">
        <f>EXP(-LN(2)/25)*AV108+(1-EXP(-LN(2)/25))/(LN(2)/25)*Calculateur!AQ109*Calculateur!AS109*VLOOKUP('Données projet'!$B$10,Paramètres!$A$1:$I$89,3,0)*0.475*44/12</f>
        <v>3.6430336034013107</v>
      </c>
      <c r="AW109" s="23">
        <f>EXP(-LN(2)/2)*AW108+(1-EXP(-LN(2)/2))/(LN(2)/2)*AQ109*AT109*VLOOKUP('Données projet'!$B$10,Paramètres!$A$1:$I$89,3,0)*0.475*44/12</f>
        <v>1.2922459115827423</v>
      </c>
      <c r="AX109" s="23">
        <f t="shared" si="60"/>
        <v>86.211315354318145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1.1368683772161603E-13</v>
      </c>
      <c r="BE109" s="14">
        <f>BD109*VLOOKUP('Données projet'!$B$11,Paramètres!$A$1:$I$89,3,0)*VLOOKUP('Données projet'!$B$11,Paramètres!$A$1:$I$89,5,0)</f>
        <v>8.3355189417488869E-14</v>
      </c>
      <c r="BF109" s="14">
        <f t="shared" si="91"/>
        <v>1.2790518435140618E-12</v>
      </c>
      <c r="BG109" s="22">
        <f t="shared" si="61"/>
        <v>2.3728589156891171E-12</v>
      </c>
      <c r="BH109" s="62">
        <f t="shared" si="62"/>
        <v>293.3333333333357</v>
      </c>
      <c r="BI109" s="62">
        <f ca="1">AVERAGE(OFFSET($BH$3,0,0,'Données projet'!$E$11+1,1))-AVERAGE(OFFSET($H$3,0,0,'Données projet'!$E$11+1,1))</f>
        <v>182.06733089745194</v>
      </c>
      <c r="BJ109" s="62">
        <f t="shared" si="92"/>
        <v>320.36755413886021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13.263607727159542</v>
      </c>
      <c r="BQ109" s="23">
        <f>EXP(-LN(2)/25)*BQ108+(1-EXP(-LN(2)/25))/(LN(2)/25)*Calculateur!BL109*Calculateur!BN109*VLOOKUP('Données projet'!$B$11,Paramètres!$A$1:$I$89,3,0)*0.475*44/12</f>
        <v>1.5449347145133572</v>
      </c>
      <c r="BR109" s="23">
        <f>EXP(-LN(2)/2)*BR108+(1-EXP(-LN(2)/2))/(LN(2)/2)*BL109*BO109*VLOOKUP('Données projet'!$B$11,Paramètres!$A$1:$I$89,3,0)*0.475*44/12</f>
        <v>2.6935018690350968E-9</v>
      </c>
      <c r="BS109" s="24">
        <f t="shared" si="63"/>
        <v>14.808542444366401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319.99999999999972</v>
      </c>
      <c r="BZ109" s="14">
        <f>BY109*VLOOKUP('Données projet'!$B$12,Paramètres!$A$1:$I$89,3,0)*VLOOKUP('Données projet'!$B$12,Paramètres!$A$1:$I$89,5,0)</f>
        <v>279.55199999999979</v>
      </c>
      <c r="CA109" s="14">
        <f t="shared" si="93"/>
        <v>66.872324781216591</v>
      </c>
      <c r="CB109" s="22">
        <f t="shared" si="64"/>
        <v>603.35569899395182</v>
      </c>
      <c r="CC109" s="62">
        <f t="shared" si="65"/>
        <v>896.68903232728508</v>
      </c>
      <c r="CD109" s="62">
        <f ca="1">AVERAGE(OFFSET($CC$3,0,0,'Données projet'!$E$12+1,1))-AVERAGE(OFFSET($H$3,0,0,'Données projet'!$E$12+1,1))</f>
        <v>248.60758320902863</v>
      </c>
      <c r="CE109" s="62">
        <f t="shared" si="94"/>
        <v>222.23585883330111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32.335876961475158</v>
      </c>
      <c r="CL109" s="23">
        <f>EXP(-LN(2)/25)*CL108+(1-EXP(-LN(2)/25))/(LN(2)/25)*Calculateur!CG109*Calculateur!CI109*VLOOKUP('Données projet'!$B$12,Paramètres!$A$1:$I$89,3,0)*0.475*44/12</f>
        <v>3.5010617991639461</v>
      </c>
      <c r="CM109" s="23">
        <f>EXP(-LN(2)/2)*CM108+(1-EXP(-LN(2)/2))/(LN(2)/2)*CG109*CJ109*VLOOKUP('Données projet'!$B$12,Paramètres!$A$1:$I$89,3,0)*0.475*44/12</f>
        <v>2.292252190447838E-4</v>
      </c>
      <c r="CN109" s="24">
        <f t="shared" si="66"/>
        <v>35.837167985858152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193.99999999999994</v>
      </c>
      <c r="CU109" s="18">
        <f>CT109*VLOOKUP('Données projet'!$B$13,Paramètres!$A$1:$I$89,3,0)*VLOOKUP('Données projet'!$B$13,Paramètres!$A$1:$I$89,5,0)</f>
        <v>105.92399999999998</v>
      </c>
      <c r="CV109" s="14">
        <f t="shared" si="95"/>
        <v>28.36854701055546</v>
      </c>
      <c r="CW109" s="22">
        <f t="shared" si="67"/>
        <v>233.89285271005073</v>
      </c>
      <c r="CX109" s="62">
        <f t="shared" si="68"/>
        <v>527.22618604338402</v>
      </c>
      <c r="CY109" s="62">
        <f ca="1">AVERAGE(OFFSET($CX$3,0,0,'Données projet'!$E$13+1,1))-AVERAGE(OFFSET($H$3,0,0,'Données projet'!$E$13+1,1))</f>
        <v>135.44138026609272</v>
      </c>
      <c r="CZ109" s="62">
        <f t="shared" si="96"/>
        <v>254.77247578425659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14.668840064571803</v>
      </c>
      <c r="DG109" s="23">
        <f>EXP(-LN(2)/25)*DG108+(1-EXP(-LN(2)/25))/(LN(2)/25)*Calculateur!DB109*Calculateur!DD109*VLOOKUP('Données projet'!$B$13,Paramètres!$A$1:$I$89,3,0)*0.475*44/12</f>
        <v>5.4999726200180525</v>
      </c>
      <c r="DH109" s="23">
        <f>EXP(-LN(2)/2)*DH108+(1-EXP(-LN(2)/2))/(LN(2)/2)*DB109*DE109*VLOOKUP('Données projet'!$B$13,Paramètres!$A$1:$I$89,3,0)*0.475*44/12</f>
        <v>3.0941602432559776E-10</v>
      </c>
      <c r="DI109" s="24">
        <f t="shared" si="69"/>
        <v>20.168812684899272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273.00000000000023</v>
      </c>
      <c r="DP109" s="18">
        <f>DO109*VLOOKUP('Données projet'!$B$14,Paramètres!$A$1:$I$89,3,0)*VLOOKUP('Données projet'!$B$14,Paramètres!$A$1:$I$89,5,0)</f>
        <v>264.04560000000021</v>
      </c>
      <c r="DQ109" s="14">
        <f t="shared" si="97"/>
        <v>63.583959929973794</v>
      </c>
      <c r="DR109" s="22">
        <f t="shared" si="70"/>
        <v>570.6214835447048</v>
      </c>
      <c r="DS109" s="62">
        <f t="shared" si="71"/>
        <v>863.95481687803817</v>
      </c>
      <c r="DT109" s="62">
        <f ca="1">AVERAGE(OFFSET($DS$3,0,0,'Données projet'!$E$14+1,1))-AVERAGE(OFFSET($H$3,0,0,'Données projet'!$E$14+1,1))</f>
        <v>271.09447278906288</v>
      </c>
      <c r="DU109" s="62">
        <f t="shared" si="98"/>
        <v>325.1094067861851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16.275735746299219</v>
      </c>
      <c r="EB109" s="23">
        <f>EXP(-LN(2)/25)*EB108+(1-EXP(-LN(2)/25))/(LN(2)/25)*Calculateur!DW109*Calculateur!DY109*VLOOKUP('Données projet'!$B$14,Paramètres!$A$1:$I$89,3,0)*0.475*44/12</f>
        <v>2.0547834974139039</v>
      </c>
      <c r="EC109" s="23">
        <f>EXP(-LN(2)/2)*EC108+(1-EXP(-LN(2)/2))/(LN(2)/2)*DW109*DZ109*VLOOKUP('Données projet'!$B$14,Paramètres!$A$1:$I$89,3,0)*0.475*44/12</f>
        <v>7.2643297572532132E-7</v>
      </c>
      <c r="ED109" s="24">
        <f t="shared" si="72"/>
        <v>18.330519970146099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273.00000000000023</v>
      </c>
      <c r="EK109" s="18">
        <f>EJ109*VLOOKUP('Données projet'!$B$15,Paramètres!$A$1:$I$89,3,0)*VLOOKUP('Données projet'!$B$15,Paramètres!$A$1:$I$89,5,0)</f>
        <v>293.85720000000026</v>
      </c>
      <c r="EL109" s="14">
        <f t="shared" si="99"/>
        <v>69.887150190339895</v>
      </c>
      <c r="EM109" s="22">
        <f t="shared" si="73"/>
        <v>633.52140991484237</v>
      </c>
      <c r="EN109" s="62">
        <f t="shared" si="74"/>
        <v>926.85474324817574</v>
      </c>
      <c r="EO109" s="62">
        <f ca="1">AVERAGE(OFFSET($EN$3,0,0,'Données projet'!$E$15+1,1))-AVERAGE(OFFSET($H$3,0,0,'Données projet'!$E$15+1,1))</f>
        <v>306.50593475734655</v>
      </c>
      <c r="EP109" s="62">
        <f t="shared" si="100"/>
        <v>366.48643801375079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18.113318814429782</v>
      </c>
      <c r="EW109" s="23">
        <f>EXP(-LN(2)/25)*EW108+(1-EXP(-LN(2)/25))/(LN(2)/25)*Calculateur!ER109*Calculateur!ET109*VLOOKUP('Données projet'!$B$15,Paramètres!$A$1:$I$89,3,0)*0.475*44/12</f>
        <v>2.2867751826057949</v>
      </c>
      <c r="EX109" s="23">
        <f>EXP(-LN(2)/2)*EX108+(1-EXP(-LN(2)/2))/(LN(2)/2)*ER109*EU109*VLOOKUP('Données projet'!$B$15,Paramètres!$A$1:$I$89,3,0)*0.475*44/12</f>
        <v>8.0844960201688942E-7</v>
      </c>
      <c r="EY109" s="24">
        <f t="shared" si="75"/>
        <v>20.400094805485178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78.452399999999784</v>
      </c>
      <c r="D110" s="12">
        <f t="shared" si="86"/>
        <v>21.758358756045919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773.55673425719488</v>
      </c>
      <c r="H110" s="70">
        <f t="shared" si="56"/>
        <v>467.86707150011296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</v>
      </c>
      <c r="N110" s="14">
        <f>IF('Données projet'!$A$36&gt;35,N109+M110-V109,IF(A110&lt;'Données projet'!$A$36,$K$205^A110,IF(A110='Données projet'!$A$36,'Données projet'!$B$36,N109+M110-V109)))</f>
        <v>316.99999999999989</v>
      </c>
      <c r="O110" s="14">
        <f>N110*VLOOKUP('Données projet'!$B$9,Paramètres!$A$1:$I$89,3,0)*VLOOKUP('Données projet'!$B$9,Paramètres!$A$1:$I$89,5,0)</f>
        <v>286.82159999999988</v>
      </c>
      <c r="P110" s="14">
        <f t="shared" si="87"/>
        <v>68.406583284351413</v>
      </c>
      <c r="Q110" s="22">
        <f t="shared" si="107"/>
        <v>618.68908588691181</v>
      </c>
      <c r="R110" s="62">
        <f t="shared" si="55"/>
        <v>912.02241922024518</v>
      </c>
      <c r="S110" s="62">
        <f ca="1">AVERAGE(OFFSET($R$3,0,0,'Données projet'!$E$9+1,1))-AVERAGE(OFFSET($H$3,0,0,'Données projet'!$E$9+1,1))</f>
        <v>312.57314929661908</v>
      </c>
      <c r="T110" s="62">
        <f t="shared" si="88"/>
        <v>190.92100876773804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71.101095635395012</v>
      </c>
      <c r="AA110" s="23">
        <f>EXP(-LN(2)/25)*AA109+(1-EXP(-LN(2)/25))/(LN(2)/25)*Calculateur!V110*Calculateur!X110*VLOOKUP('Données projet'!$B$9,Paramètres!$A$1:$I$89,3,0)*0.475*44/12</f>
        <v>3.1618161563134519</v>
      </c>
      <c r="AB110" s="23">
        <f>EXP(-LN(2)/2)*AB109+(1-EXP(-LN(2)/2))/(LN(2)/2)*V110*Y110*VLOOKUP('Données projet'!$B$9,Paramètres!$A$1:$I$89,3,0)*0.475*44/12</f>
        <v>0.81535137120559142</v>
      </c>
      <c r="AC110" s="24">
        <f t="shared" si="57"/>
        <v>75.078263162914055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5</v>
      </c>
      <c r="AI110" s="14">
        <f>IF('Données projet'!$A$62&gt;35,AI109+AH110-AQ109,IF(A110&lt;'Données projet'!$A$62,$AF$205^A110,IF(A110='Données projet'!$A$62,'Données projet'!$B$62,AI109+AH110-AQ109)))</f>
        <v>316.99999999999989</v>
      </c>
      <c r="AJ110" s="14">
        <f>AI110*VLOOKUP('Données projet'!$B$10,Paramètres!$A$1:$I$89,3,0)*VLOOKUP('Données projet'!$B$10,Paramètres!$A$1:$I$89,5,0)</f>
        <v>321.43799999999987</v>
      </c>
      <c r="AK110" s="14">
        <f t="shared" si="89"/>
        <v>75.652479406660177</v>
      </c>
      <c r="AL110" s="22">
        <f t="shared" si="58"/>
        <v>691.59925163326625</v>
      </c>
      <c r="AM110" s="62">
        <f t="shared" si="59"/>
        <v>984.93258496659951</v>
      </c>
      <c r="AN110" s="62">
        <f ca="1">AVERAGE(OFFSET($AM$3,0,0,'Données projet'!$E$10+1,1))-AVERAGE(OFFSET($H$3,0,0,'Données projet'!$E$10+1,1))</f>
        <v>360.56293184044779</v>
      </c>
      <c r="AO110" s="62">
        <f t="shared" si="90"/>
        <v>219.32252911220542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79.682262350011641</v>
      </c>
      <c r="AV110" s="23">
        <f>EXP(-LN(2)/25)*AV109+(1-EXP(-LN(2)/25))/(LN(2)/25)*Calculateur!AQ110*Calculateur!AS110*VLOOKUP('Données projet'!$B$10,Paramètres!$A$1:$I$89,3,0)*0.475*44/12</f>
        <v>3.543414657937491</v>
      </c>
      <c r="AW110" s="23">
        <f>EXP(-LN(2)/2)*AW109+(1-EXP(-LN(2)/2))/(LN(2)/2)*AQ110*AT110*VLOOKUP('Données projet'!$B$10,Paramètres!$A$1:$I$89,3,0)*0.475*44/12</f>
        <v>0.91375584704074886</v>
      </c>
      <c r="AX110" s="23">
        <f t="shared" si="60"/>
        <v>84.139432854989877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1.1368683772161603E-13</v>
      </c>
      <c r="BE110" s="14">
        <f>BD110*VLOOKUP('Données projet'!$B$11,Paramètres!$A$1:$I$89,3,0)*VLOOKUP('Données projet'!$B$11,Paramètres!$A$1:$I$89,5,0)</f>
        <v>8.3355189417488869E-14</v>
      </c>
      <c r="BF110" s="14">
        <f t="shared" si="91"/>
        <v>1.2790518435140618E-12</v>
      </c>
      <c r="BG110" s="22">
        <f t="shared" si="61"/>
        <v>2.3728589156891171E-12</v>
      </c>
      <c r="BH110" s="62">
        <f t="shared" si="62"/>
        <v>293.3333333333357</v>
      </c>
      <c r="BI110" s="62">
        <f ca="1">AVERAGE(OFFSET($BH$3,0,0,'Données projet'!$E$11+1,1))-AVERAGE(OFFSET($H$3,0,0,'Données projet'!$E$11+1,1))</f>
        <v>182.06733089745194</v>
      </c>
      <c r="BJ110" s="62">
        <f t="shared" si="92"/>
        <v>320.36755413886021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13.003516469631835</v>
      </c>
      <c r="BQ110" s="23">
        <f>EXP(-LN(2)/25)*BQ109+(1-EXP(-LN(2)/25))/(LN(2)/25)*Calculateur!BL110*Calculateur!BN110*VLOOKUP('Données projet'!$B$11,Paramètres!$A$1:$I$89,3,0)*0.475*44/12</f>
        <v>1.5026883935004038</v>
      </c>
      <c r="BR110" s="23">
        <f>EXP(-LN(2)/2)*BR109+(1-EXP(-LN(2)/2))/(LN(2)/2)*BL110*BO110*VLOOKUP('Données projet'!$B$11,Paramètres!$A$1:$I$89,3,0)*0.475*44/12</f>
        <v>1.904593436733357E-9</v>
      </c>
      <c r="BS110" s="24">
        <f t="shared" si="63"/>
        <v>14.506204865036834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319.99999999999972</v>
      </c>
      <c r="BZ110" s="14">
        <f>BY110*VLOOKUP('Données projet'!$B$12,Paramètres!$A$1:$I$89,3,0)*VLOOKUP('Données projet'!$B$12,Paramètres!$A$1:$I$89,5,0)</f>
        <v>279.55199999999979</v>
      </c>
      <c r="CA110" s="14">
        <f t="shared" si="93"/>
        <v>66.872324781216591</v>
      </c>
      <c r="CB110" s="22">
        <f t="shared" si="64"/>
        <v>603.35569899395182</v>
      </c>
      <c r="CC110" s="62">
        <f t="shared" si="65"/>
        <v>896.68903232728508</v>
      </c>
      <c r="CD110" s="62">
        <f ca="1">AVERAGE(OFFSET($CC$3,0,0,'Données projet'!$E$12+1,1))-AVERAGE(OFFSET($H$3,0,0,'Données projet'!$E$12+1,1))</f>
        <v>248.60758320902863</v>
      </c>
      <c r="CE110" s="62">
        <f t="shared" si="94"/>
        <v>222.23585883330111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31.701790137198099</v>
      </c>
      <c r="CL110" s="23">
        <f>EXP(-LN(2)/25)*CL109+(1-EXP(-LN(2)/25))/(LN(2)/25)*Calculateur!CG110*Calculateur!CI110*VLOOKUP('Données projet'!$B$12,Paramètres!$A$1:$I$89,3,0)*0.475*44/12</f>
        <v>3.40532508015297</v>
      </c>
      <c r="CM110" s="23">
        <f>EXP(-LN(2)/2)*CM109+(1-EXP(-LN(2)/2))/(LN(2)/2)*CG110*CJ110*VLOOKUP('Données projet'!$B$12,Paramètres!$A$1:$I$89,3,0)*0.475*44/12</f>
        <v>1.6208670680553837E-4</v>
      </c>
      <c r="CN110" s="24">
        <f t="shared" si="66"/>
        <v>35.107277304057874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193.99999999999994</v>
      </c>
      <c r="CU110" s="18">
        <f>CT110*VLOOKUP('Données projet'!$B$13,Paramètres!$A$1:$I$89,3,0)*VLOOKUP('Données projet'!$B$13,Paramètres!$A$1:$I$89,5,0)</f>
        <v>105.92399999999998</v>
      </c>
      <c r="CV110" s="14">
        <f t="shared" si="95"/>
        <v>28.36854701055546</v>
      </c>
      <c r="CW110" s="22">
        <f t="shared" si="67"/>
        <v>233.89285271005073</v>
      </c>
      <c r="CX110" s="62">
        <f t="shared" si="68"/>
        <v>527.22618604338402</v>
      </c>
      <c r="CY110" s="62">
        <f ca="1">AVERAGE(OFFSET($CX$3,0,0,'Données projet'!$E$13+1,1))-AVERAGE(OFFSET($H$3,0,0,'Données projet'!$E$13+1,1))</f>
        <v>135.44138026609272</v>
      </c>
      <c r="CZ110" s="62">
        <f t="shared" si="96"/>
        <v>254.77247578425659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14.381193058014537</v>
      </c>
      <c r="DG110" s="23">
        <f>EXP(-LN(2)/25)*DG109+(1-EXP(-LN(2)/25))/(LN(2)/25)*Calculateur!DB110*Calculateur!DD110*VLOOKUP('Données projet'!$B$13,Paramètres!$A$1:$I$89,3,0)*0.475*44/12</f>
        <v>5.3495755794926696</v>
      </c>
      <c r="DH110" s="23">
        <f>EXP(-LN(2)/2)*DH109+(1-EXP(-LN(2)/2))/(LN(2)/2)*DB110*DE110*VLOOKUP('Données projet'!$B$13,Paramètres!$A$1:$I$89,3,0)*0.475*44/12</f>
        <v>2.1879016900841192E-10</v>
      </c>
      <c r="DI110" s="24">
        <f t="shared" si="69"/>
        <v>19.730768637725998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273.00000000000023</v>
      </c>
      <c r="DP110" s="18">
        <f>DO110*VLOOKUP('Données projet'!$B$14,Paramètres!$A$1:$I$89,3,0)*VLOOKUP('Données projet'!$B$14,Paramètres!$A$1:$I$89,5,0)</f>
        <v>264.04560000000021</v>
      </c>
      <c r="DQ110" s="14">
        <f t="shared" si="97"/>
        <v>63.583959929973794</v>
      </c>
      <c r="DR110" s="22">
        <f t="shared" si="70"/>
        <v>570.6214835447048</v>
      </c>
      <c r="DS110" s="62">
        <f t="shared" si="71"/>
        <v>863.95481687803817</v>
      </c>
      <c r="DT110" s="62">
        <f ca="1">AVERAGE(OFFSET($DS$3,0,0,'Données projet'!$E$14+1,1))-AVERAGE(OFFSET($H$3,0,0,'Données projet'!$E$14+1,1))</f>
        <v>271.09447278906288</v>
      </c>
      <c r="DU110" s="62">
        <f t="shared" si="98"/>
        <v>325.1094067861851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15.956578495532865</v>
      </c>
      <c r="EB110" s="23">
        <f>EXP(-LN(2)/25)*EB109+(1-EXP(-LN(2)/25))/(LN(2)/25)*Calculateur!DW110*Calculateur!DY110*VLOOKUP('Données projet'!$B$14,Paramètres!$A$1:$I$89,3,0)*0.475*44/12</f>
        <v>1.9985953346207528</v>
      </c>
      <c r="EC110" s="23">
        <f>EXP(-LN(2)/2)*EC109+(1-EXP(-LN(2)/2))/(LN(2)/2)*DW110*DZ110*VLOOKUP('Données projet'!$B$14,Paramètres!$A$1:$I$89,3,0)*0.475*44/12</f>
        <v>5.1366568321289737E-7</v>
      </c>
      <c r="ED110" s="24">
        <f t="shared" si="72"/>
        <v>17.955174343819301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273.00000000000023</v>
      </c>
      <c r="EK110" s="18">
        <f>EJ110*VLOOKUP('Données projet'!$B$15,Paramètres!$A$1:$I$89,3,0)*VLOOKUP('Données projet'!$B$15,Paramètres!$A$1:$I$89,5,0)</f>
        <v>293.85720000000026</v>
      </c>
      <c r="EL110" s="14">
        <f t="shared" si="99"/>
        <v>69.887150190339895</v>
      </c>
      <c r="EM110" s="22">
        <f t="shared" si="73"/>
        <v>633.52140991484237</v>
      </c>
      <c r="EN110" s="62">
        <f t="shared" si="74"/>
        <v>926.85474324817574</v>
      </c>
      <c r="EO110" s="62">
        <f ca="1">AVERAGE(OFFSET($EN$3,0,0,'Données projet'!$E$15+1,1))-AVERAGE(OFFSET($H$3,0,0,'Données projet'!$E$15+1,1))</f>
        <v>306.50593475734655</v>
      </c>
      <c r="EP110" s="62">
        <f t="shared" si="100"/>
        <v>366.48643801375079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17.758127680512388</v>
      </c>
      <c r="EW110" s="23">
        <f>EXP(-LN(2)/25)*EW109+(1-EXP(-LN(2)/25))/(LN(2)/25)*Calculateur!ER110*Calculateur!ET110*VLOOKUP('Données projet'!$B$15,Paramètres!$A$1:$I$89,3,0)*0.475*44/12</f>
        <v>2.2242431949811592</v>
      </c>
      <c r="EX110" s="23">
        <f>EXP(-LN(2)/2)*EX109+(1-EXP(-LN(2)/2))/(LN(2)/2)*ER110*EU110*VLOOKUP('Données projet'!$B$15,Paramètres!$A$1:$I$89,3,0)*0.475*44/12</f>
        <v>5.7166019583370805E-7</v>
      </c>
      <c r="EY110" s="24">
        <f t="shared" si="75"/>
        <v>19.982371447153742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79.185599999999781</v>
      </c>
      <c r="D111" s="12">
        <f t="shared" si="86"/>
        <v>21.937940668679364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780.60277007401453</v>
      </c>
      <c r="H111" s="70">
        <f t="shared" si="56"/>
        <v>469.45683333128278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5</v>
      </c>
      <c r="N111" s="14">
        <f>IF('Données projet'!$A$36&gt;35,N110+M111-V110,IF(A111&lt;'Données projet'!$A$36,$K$205^A111,IF(A111='Données projet'!$A$36,'Données projet'!$B$36,N110+M111-V110)))</f>
        <v>321.99999999999989</v>
      </c>
      <c r="O111" s="14">
        <f>N111*VLOOKUP('Données projet'!$B$9,Paramètres!$A$1:$I$89,3,0)*VLOOKUP('Données projet'!$B$9,Paramètres!$A$1:$I$89,5,0)</f>
        <v>291.34559999999993</v>
      </c>
      <c r="P111" s="14">
        <f t="shared" si="87"/>
        <v>69.359089490698707</v>
      </c>
      <c r="Q111" s="22">
        <f t="shared" si="107"/>
        <v>628.22733419630015</v>
      </c>
      <c r="R111" s="62">
        <f t="shared" si="55"/>
        <v>921.56066752963352</v>
      </c>
      <c r="S111" s="62">
        <f ca="1">AVERAGE(OFFSET($R$3,0,0,'Données projet'!$E$9+1,1))-AVERAGE(OFFSET($H$3,0,0,'Données projet'!$E$9+1,1))</f>
        <v>312.57314929661908</v>
      </c>
      <c r="T111" s="62">
        <f t="shared" si="88"/>
        <v>190.92100876773804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69.706846517371076</v>
      </c>
      <c r="AA111" s="23">
        <f>EXP(-LN(2)/25)*AA110+(1-EXP(-LN(2)/25))/(LN(2)/25)*Calculateur!V111*Calculateur!X111*VLOOKUP('Données projet'!$B$9,Paramètres!$A$1:$I$89,3,0)*0.475*44/12</f>
        <v>3.0753561272463754</v>
      </c>
      <c r="AB111" s="23">
        <f>EXP(-LN(2)/2)*AB110+(1-EXP(-LN(2)/2))/(LN(2)/2)*V111*Y111*VLOOKUP('Données projet'!$B$9,Paramètres!$A$1:$I$89,3,0)*0.475*44/12</f>
        <v>0.57654048362922361</v>
      </c>
      <c r="AC111" s="24">
        <f t="shared" si="57"/>
        <v>73.358743128246687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5</v>
      </c>
      <c r="AI111" s="14">
        <f>IF('Données projet'!$A$62&gt;35,AI110+AH111-AQ110,IF(A111&lt;'Données projet'!$A$62,$AF$205^A111,IF(A111='Données projet'!$A$62,'Données projet'!$B$62,AI110+AH111-AQ110)))</f>
        <v>321.99999999999989</v>
      </c>
      <c r="AJ111" s="14">
        <f>AI111*VLOOKUP('Données projet'!$B$10,Paramètres!$A$1:$I$89,3,0)*VLOOKUP('Données projet'!$B$10,Paramètres!$A$1:$I$89,5,0)</f>
        <v>326.50799999999987</v>
      </c>
      <c r="AK111" s="14">
        <f t="shared" si="89"/>
        <v>76.705878841344258</v>
      </c>
      <c r="AL111" s="22">
        <f t="shared" si="58"/>
        <v>702.26417231534106</v>
      </c>
      <c r="AM111" s="62">
        <f t="shared" si="59"/>
        <v>995.59750564867431</v>
      </c>
      <c r="AN111" s="62">
        <f ca="1">AVERAGE(OFFSET($AM$3,0,0,'Données projet'!$E$10+1,1))-AVERAGE(OFFSET($H$3,0,0,'Données projet'!$E$10+1,1))</f>
        <v>360.56293184044779</v>
      </c>
      <c r="AO111" s="62">
        <f t="shared" si="90"/>
        <v>219.32252911220542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78.119741786708957</v>
      </c>
      <c r="AV111" s="23">
        <f>EXP(-LN(2)/25)*AV110+(1-EXP(-LN(2)/25))/(LN(2)/25)*Calculateur!AQ111*Calculateur!AS111*VLOOKUP('Données projet'!$B$10,Paramètres!$A$1:$I$89,3,0)*0.475*44/12</f>
        <v>3.4465197977761122</v>
      </c>
      <c r="AW111" s="23">
        <f>EXP(-LN(2)/2)*AW110+(1-EXP(-LN(2)/2))/(LN(2)/2)*AQ111*AT111*VLOOKUP('Données projet'!$B$10,Paramètres!$A$1:$I$89,3,0)*0.475*44/12</f>
        <v>0.64612295579137125</v>
      </c>
      <c r="AX111" s="23">
        <f t="shared" si="60"/>
        <v>82.212384540276432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1.1368683772161603E-13</v>
      </c>
      <c r="BE111" s="14">
        <f>BD111*VLOOKUP('Données projet'!$B$11,Paramètres!$A$1:$I$89,3,0)*VLOOKUP('Données projet'!$B$11,Paramètres!$A$1:$I$89,5,0)</f>
        <v>8.3355189417488869E-14</v>
      </c>
      <c r="BF111" s="14">
        <f t="shared" si="91"/>
        <v>1.2790518435140618E-12</v>
      </c>
      <c r="BG111" s="22">
        <f t="shared" si="61"/>
        <v>2.3728589156891171E-12</v>
      </c>
      <c r="BH111" s="62">
        <f t="shared" si="62"/>
        <v>293.3333333333357</v>
      </c>
      <c r="BI111" s="62">
        <f ca="1">AVERAGE(OFFSET($BH$3,0,0,'Données projet'!$E$11+1,1))-AVERAGE(OFFSET($H$3,0,0,'Données projet'!$E$11+1,1))</f>
        <v>182.06733089745194</v>
      </c>
      <c r="BJ111" s="62">
        <f t="shared" si="92"/>
        <v>320.36755413886021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12.748525443024244</v>
      </c>
      <c r="BQ111" s="23">
        <f>EXP(-LN(2)/25)*BQ110+(1-EXP(-LN(2)/25))/(LN(2)/25)*Calculateur!BL111*Calculateur!BN111*VLOOKUP('Données projet'!$B$11,Paramètres!$A$1:$I$89,3,0)*0.475*44/12</f>
        <v>1.4615973003571872</v>
      </c>
      <c r="BR111" s="23">
        <f>EXP(-LN(2)/2)*BR110+(1-EXP(-LN(2)/2))/(LN(2)/2)*BL111*BO111*VLOOKUP('Données projet'!$B$11,Paramètres!$A$1:$I$89,3,0)*0.475*44/12</f>
        <v>1.3467509345175484E-9</v>
      </c>
      <c r="BS111" s="24">
        <f t="shared" si="63"/>
        <v>14.210122744728181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319.99999999999972</v>
      </c>
      <c r="BZ111" s="14">
        <f>BY111*VLOOKUP('Données projet'!$B$12,Paramètres!$A$1:$I$89,3,0)*VLOOKUP('Données projet'!$B$12,Paramètres!$A$1:$I$89,5,0)</f>
        <v>279.55199999999979</v>
      </c>
      <c r="CA111" s="14">
        <f t="shared" si="93"/>
        <v>66.872324781216591</v>
      </c>
      <c r="CB111" s="22">
        <f t="shared" si="64"/>
        <v>603.35569899395182</v>
      </c>
      <c r="CC111" s="62">
        <f t="shared" si="65"/>
        <v>896.68903232728508</v>
      </c>
      <c r="CD111" s="62">
        <f ca="1">AVERAGE(OFFSET($CC$3,0,0,'Données projet'!$E$12+1,1))-AVERAGE(OFFSET($H$3,0,0,'Données projet'!$E$12+1,1))</f>
        <v>248.60758320902863</v>
      </c>
      <c r="CE111" s="62">
        <f t="shared" si="94"/>
        <v>222.23585883330111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31.080137368790339</v>
      </c>
      <c r="CL111" s="23">
        <f>EXP(-LN(2)/25)*CL110+(1-EXP(-LN(2)/25))/(LN(2)/25)*Calculateur!CG111*Calculateur!CI111*VLOOKUP('Données projet'!$B$12,Paramètres!$A$1:$I$89,3,0)*0.475*44/12</f>
        <v>3.3122062867579238</v>
      </c>
      <c r="CM111" s="23">
        <f>EXP(-LN(2)/2)*CM110+(1-EXP(-LN(2)/2))/(LN(2)/2)*CG111*CJ111*VLOOKUP('Données projet'!$B$12,Paramètres!$A$1:$I$89,3,0)*0.475*44/12</f>
        <v>1.146126095223919E-4</v>
      </c>
      <c r="CN111" s="24">
        <f t="shared" si="66"/>
        <v>34.392458268157782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193.99999999999994</v>
      </c>
      <c r="CU111" s="18">
        <f>CT111*VLOOKUP('Données projet'!$B$13,Paramètres!$A$1:$I$89,3,0)*VLOOKUP('Données projet'!$B$13,Paramètres!$A$1:$I$89,5,0)</f>
        <v>105.92399999999998</v>
      </c>
      <c r="CV111" s="14">
        <f t="shared" si="95"/>
        <v>28.36854701055546</v>
      </c>
      <c r="CW111" s="22">
        <f t="shared" si="67"/>
        <v>233.89285271005073</v>
      </c>
      <c r="CX111" s="62">
        <f t="shared" si="68"/>
        <v>527.22618604338402</v>
      </c>
      <c r="CY111" s="62">
        <f ca="1">AVERAGE(OFFSET($CX$3,0,0,'Données projet'!$E$13+1,1))-AVERAGE(OFFSET($H$3,0,0,'Données projet'!$E$13+1,1))</f>
        <v>135.44138026609272</v>
      </c>
      <c r="CZ111" s="62">
        <f t="shared" si="96"/>
        <v>254.77247578425659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14.099186633808507</v>
      </c>
      <c r="DG111" s="23">
        <f>EXP(-LN(2)/25)*DG110+(1-EXP(-LN(2)/25))/(LN(2)/25)*Calculateur!DB111*Calculateur!DD111*VLOOKUP('Données projet'!$B$13,Paramètres!$A$1:$I$89,3,0)*0.475*44/12</f>
        <v>5.2032911539494897</v>
      </c>
      <c r="DH111" s="23">
        <f>EXP(-LN(2)/2)*DH110+(1-EXP(-LN(2)/2))/(LN(2)/2)*DB111*DE111*VLOOKUP('Données projet'!$B$13,Paramètres!$A$1:$I$89,3,0)*0.475*44/12</f>
        <v>1.5470801216279888E-10</v>
      </c>
      <c r="DI111" s="24">
        <f t="shared" si="69"/>
        <v>19.302477787912704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273.00000000000023</v>
      </c>
      <c r="DP111" s="18">
        <f>DO111*VLOOKUP('Données projet'!$B$14,Paramètres!$A$1:$I$89,3,0)*VLOOKUP('Données projet'!$B$14,Paramètres!$A$1:$I$89,5,0)</f>
        <v>264.04560000000021</v>
      </c>
      <c r="DQ111" s="14">
        <f t="shared" si="97"/>
        <v>63.583959929973794</v>
      </c>
      <c r="DR111" s="22">
        <f t="shared" si="70"/>
        <v>570.6214835447048</v>
      </c>
      <c r="DS111" s="62">
        <f t="shared" si="71"/>
        <v>863.95481687803817</v>
      </c>
      <c r="DT111" s="62">
        <f ca="1">AVERAGE(OFFSET($DS$3,0,0,'Données projet'!$E$14+1,1))-AVERAGE(OFFSET($H$3,0,0,'Données projet'!$E$14+1,1))</f>
        <v>271.09447278906288</v>
      </c>
      <c r="DU111" s="62">
        <f t="shared" si="98"/>
        <v>325.1094067861851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15.643679723787338</v>
      </c>
      <c r="EB111" s="23">
        <f>EXP(-LN(2)/25)*EB110+(1-EXP(-LN(2)/25))/(LN(2)/25)*Calculateur!DW111*Calculateur!DY111*VLOOKUP('Données projet'!$B$14,Paramètres!$A$1:$I$89,3,0)*0.475*44/12</f>
        <v>1.9439436400939876</v>
      </c>
      <c r="EC111" s="23">
        <f>EXP(-LN(2)/2)*EC110+(1-EXP(-LN(2)/2))/(LN(2)/2)*DW111*DZ111*VLOOKUP('Données projet'!$B$14,Paramètres!$A$1:$I$89,3,0)*0.475*44/12</f>
        <v>3.6321648786266066E-7</v>
      </c>
      <c r="ED111" s="24">
        <f t="shared" si="72"/>
        <v>17.587623727097814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273.00000000000023</v>
      </c>
      <c r="EK111" s="18">
        <f>EJ111*VLOOKUP('Données projet'!$B$15,Paramètres!$A$1:$I$89,3,0)*VLOOKUP('Données projet'!$B$15,Paramètres!$A$1:$I$89,5,0)</f>
        <v>293.85720000000026</v>
      </c>
      <c r="EL111" s="14">
        <f t="shared" si="99"/>
        <v>69.887150190339895</v>
      </c>
      <c r="EM111" s="22">
        <f t="shared" si="73"/>
        <v>633.52140991484237</v>
      </c>
      <c r="EN111" s="62">
        <f t="shared" si="74"/>
        <v>926.85474324817574</v>
      </c>
      <c r="EO111" s="62">
        <f ca="1">AVERAGE(OFFSET($EN$3,0,0,'Données projet'!$E$15+1,1))-AVERAGE(OFFSET($H$3,0,0,'Données projet'!$E$15+1,1))</f>
        <v>306.50593475734655</v>
      </c>
      <c r="EP111" s="62">
        <f t="shared" si="100"/>
        <v>366.48643801375079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17.409901628085915</v>
      </c>
      <c r="EW111" s="23">
        <f>EXP(-LN(2)/25)*EW110+(1-EXP(-LN(2)/25))/(LN(2)/25)*Calculateur!ER111*Calculateur!ET111*VLOOKUP('Données projet'!$B$15,Paramètres!$A$1:$I$89,3,0)*0.475*44/12</f>
        <v>2.1634211478465333</v>
      </c>
      <c r="EX111" s="23">
        <f>EXP(-LN(2)/2)*EX110+(1-EXP(-LN(2)/2))/(LN(2)/2)*ER111*EU111*VLOOKUP('Données projet'!$B$15,Paramètres!$A$1:$I$89,3,0)*0.475*44/12</f>
        <v>4.0422480100844471E-7</v>
      </c>
      <c r="EY111" s="24">
        <f t="shared" si="75"/>
        <v>19.573323180157249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79.918799999999777</v>
      </c>
      <c r="D112" s="12">
        <f t="shared" si="86"/>
        <v>22.117329133258693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787.64731260760925</v>
      </c>
      <c r="H112" s="70">
        <f t="shared" si="56"/>
        <v>471.04625824042512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</v>
      </c>
      <c r="N112" s="14">
        <f>IF('Données projet'!$A$36&gt;35,N111+M112-V111,IF(A112&lt;'Données projet'!$A$36,$K$205^A112,IF(A112='Données projet'!$A$36,'Données projet'!$B$36,N111+M112-V111)))</f>
        <v>326.99999999999989</v>
      </c>
      <c r="O112" s="14">
        <f>N112*VLOOKUP('Données projet'!$B$9,Paramètres!$A$1:$I$89,3,0)*VLOOKUP('Données projet'!$B$9,Paramètres!$A$1:$I$89,5,0)</f>
        <v>295.86959999999988</v>
      </c>
      <c r="P112" s="14">
        <f t="shared" si="87"/>
        <v>70.309875568291218</v>
      </c>
      <c r="Q112" s="22">
        <f t="shared" si="107"/>
        <v>637.76258661477357</v>
      </c>
      <c r="R112" s="62">
        <f t="shared" si="55"/>
        <v>931.09591994810694</v>
      </c>
      <c r="S112" s="62">
        <f ca="1">AVERAGE(OFFSET($R$3,0,0,'Données projet'!$E$9+1,1))-AVERAGE(OFFSET($H$3,0,0,'Données projet'!$E$9+1,1))</f>
        <v>312.57314929661908</v>
      </c>
      <c r="T112" s="62">
        <f t="shared" si="88"/>
        <v>190.92100876773804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68.339937774143607</v>
      </c>
      <c r="AA112" s="23">
        <f>EXP(-LN(2)/25)*AA111+(1-EXP(-LN(2)/25))/(LN(2)/25)*Calculateur!V112*Calculateur!X112*VLOOKUP('Données projet'!$B$9,Paramètres!$A$1:$I$89,3,0)*0.475*44/12</f>
        <v>2.9912603522208734</v>
      </c>
      <c r="AB112" s="23">
        <f>EXP(-LN(2)/2)*AB111+(1-EXP(-LN(2)/2))/(LN(2)/2)*V112*Y112*VLOOKUP('Données projet'!$B$9,Paramètres!$A$1:$I$89,3,0)*0.475*44/12</f>
        <v>0.40767568560279571</v>
      </c>
      <c r="AC112" s="24">
        <f t="shared" si="57"/>
        <v>71.738873811967281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5</v>
      </c>
      <c r="AI112" s="14">
        <f>IF('Données projet'!$A$62&gt;35,AI111+AH112-AQ111,IF(A112&lt;'Données projet'!$A$62,$AF$205^A112,IF(A112='Données projet'!$A$62,'Données projet'!$B$62,AI111+AH112-AQ111)))</f>
        <v>326.99999999999989</v>
      </c>
      <c r="AJ112" s="14">
        <f>AI112*VLOOKUP('Données projet'!$B$10,Paramètres!$A$1:$I$89,3,0)*VLOOKUP('Données projet'!$B$10,Paramètres!$A$1:$I$89,5,0)</f>
        <v>331.57799999999992</v>
      </c>
      <c r="AK112" s="14">
        <f t="shared" si="89"/>
        <v>77.75737594442586</v>
      </c>
      <c r="AL112" s="22">
        <f t="shared" si="58"/>
        <v>712.92577976987479</v>
      </c>
      <c r="AM112" s="62">
        <f t="shared" si="59"/>
        <v>1006.2591131032082</v>
      </c>
      <c r="AN112" s="62">
        <f ca="1">AVERAGE(OFFSET($AM$3,0,0,'Données projet'!$E$10+1,1))-AVERAGE(OFFSET($H$3,0,0,'Données projet'!$E$10+1,1))</f>
        <v>360.56293184044779</v>
      </c>
      <c r="AO112" s="62">
        <f t="shared" si="90"/>
        <v>219.32252911220542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76.587861298609198</v>
      </c>
      <c r="AV112" s="23">
        <f>EXP(-LN(2)/25)*AV111+(1-EXP(-LN(2)/25))/(LN(2)/25)*Calculateur!AQ112*Calculateur!AS112*VLOOKUP('Données projet'!$B$10,Paramètres!$A$1:$I$89,3,0)*0.475*44/12</f>
        <v>3.3522745326613252</v>
      </c>
      <c r="AW112" s="23">
        <f>EXP(-LN(2)/2)*AW111+(1-EXP(-LN(2)/2))/(LN(2)/2)*AQ112*AT112*VLOOKUP('Données projet'!$B$10,Paramètres!$A$1:$I$89,3,0)*0.475*44/12</f>
        <v>0.45687792352037448</v>
      </c>
      <c r="AX112" s="23">
        <f t="shared" si="60"/>
        <v>80.397013754790905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1.1368683772161603E-13</v>
      </c>
      <c r="BE112" s="14">
        <f>BD112*VLOOKUP('Données projet'!$B$11,Paramètres!$A$1:$I$89,3,0)*VLOOKUP('Données projet'!$B$11,Paramètres!$A$1:$I$89,5,0)</f>
        <v>8.3355189417488869E-14</v>
      </c>
      <c r="BF112" s="14">
        <f t="shared" si="91"/>
        <v>1.2790518435140618E-12</v>
      </c>
      <c r="BG112" s="22">
        <f t="shared" si="61"/>
        <v>2.3728589156891171E-12</v>
      </c>
      <c r="BH112" s="62">
        <f t="shared" si="62"/>
        <v>293.3333333333357</v>
      </c>
      <c r="BI112" s="62">
        <f ca="1">AVERAGE(OFFSET($BH$3,0,0,'Données projet'!$E$11+1,1))-AVERAGE(OFFSET($H$3,0,0,'Données projet'!$E$11+1,1))</f>
        <v>182.06733089745194</v>
      </c>
      <c r="BJ112" s="62">
        <f t="shared" si="92"/>
        <v>320.36755413886021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12.49853463491926</v>
      </c>
      <c r="BQ112" s="23">
        <f>EXP(-LN(2)/25)*BQ111+(1-EXP(-LN(2)/25))/(LN(2)/25)*Calculateur!BL112*Calculateur!BN112*VLOOKUP('Données projet'!$B$11,Paramètres!$A$1:$I$89,3,0)*0.475*44/12</f>
        <v>1.4216298453168583</v>
      </c>
      <c r="BR112" s="23">
        <f>EXP(-LN(2)/2)*BR111+(1-EXP(-LN(2)/2))/(LN(2)/2)*BL112*BO112*VLOOKUP('Données projet'!$B$11,Paramètres!$A$1:$I$89,3,0)*0.475*44/12</f>
        <v>9.522967183666785E-10</v>
      </c>
      <c r="BS112" s="24">
        <f t="shared" si="63"/>
        <v>13.920164481188413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319.99999999999972</v>
      </c>
      <c r="BZ112" s="14">
        <f>BY112*VLOOKUP('Données projet'!$B$12,Paramètres!$A$1:$I$89,3,0)*VLOOKUP('Données projet'!$B$12,Paramètres!$A$1:$I$89,5,0)</f>
        <v>279.55199999999979</v>
      </c>
      <c r="CA112" s="14">
        <f t="shared" si="93"/>
        <v>66.872324781216591</v>
      </c>
      <c r="CB112" s="22">
        <f t="shared" si="64"/>
        <v>603.35569899395182</v>
      </c>
      <c r="CC112" s="62">
        <f t="shared" si="65"/>
        <v>896.68903232728508</v>
      </c>
      <c r="CD112" s="62">
        <f ca="1">AVERAGE(OFFSET($CC$3,0,0,'Données projet'!$E$12+1,1))-AVERAGE(OFFSET($H$3,0,0,'Données projet'!$E$12+1,1))</f>
        <v>248.60758320902863</v>
      </c>
      <c r="CE112" s="62">
        <f t="shared" si="94"/>
        <v>222.23585883330111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30.470674832000306</v>
      </c>
      <c r="CL112" s="23">
        <f>EXP(-LN(2)/25)*CL111+(1-EXP(-LN(2)/25))/(LN(2)/25)*Calculateur!CG112*Calculateur!CI112*VLOOKUP('Données projet'!$B$12,Paramètres!$A$1:$I$89,3,0)*0.475*44/12</f>
        <v>3.2216338316651698</v>
      </c>
      <c r="CM112" s="23">
        <f>EXP(-LN(2)/2)*CM111+(1-EXP(-LN(2)/2))/(LN(2)/2)*CG112*CJ112*VLOOKUP('Données projet'!$B$12,Paramètres!$A$1:$I$89,3,0)*0.475*44/12</f>
        <v>8.1043353402769183E-5</v>
      </c>
      <c r="CN112" s="24">
        <f t="shared" si="66"/>
        <v>33.692389707018883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193.99999999999994</v>
      </c>
      <c r="CU112" s="18">
        <f>CT112*VLOOKUP('Données projet'!$B$13,Paramètres!$A$1:$I$89,3,0)*VLOOKUP('Données projet'!$B$13,Paramètres!$A$1:$I$89,5,0)</f>
        <v>105.92399999999998</v>
      </c>
      <c r="CV112" s="14">
        <f t="shared" si="95"/>
        <v>28.36854701055546</v>
      </c>
      <c r="CW112" s="22">
        <f t="shared" si="67"/>
        <v>233.89285271005073</v>
      </c>
      <c r="CX112" s="62">
        <f t="shared" si="68"/>
        <v>527.22618604338402</v>
      </c>
      <c r="CY112" s="62">
        <f ca="1">AVERAGE(OFFSET($CX$3,0,0,'Données projet'!$E$13+1,1))-AVERAGE(OFFSET($H$3,0,0,'Données projet'!$E$13+1,1))</f>
        <v>135.44138026609272</v>
      </c>
      <c r="CZ112" s="62">
        <f t="shared" si="96"/>
        <v>254.77247578425659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13.822710183574223</v>
      </c>
      <c r="DG112" s="23">
        <f>EXP(-LN(2)/25)*DG111+(1-EXP(-LN(2)/25))/(LN(2)/25)*Calculateur!DB112*Calculateur!DD112*VLOOKUP('Données projet'!$B$13,Paramètres!$A$1:$I$89,3,0)*0.475*44/12</f>
        <v>5.0610068837155513</v>
      </c>
      <c r="DH112" s="23">
        <f>EXP(-LN(2)/2)*DH111+(1-EXP(-LN(2)/2))/(LN(2)/2)*DB112*DE112*VLOOKUP('Données projet'!$B$13,Paramètres!$A$1:$I$89,3,0)*0.475*44/12</f>
        <v>1.0939508450420596E-10</v>
      </c>
      <c r="DI112" s="24">
        <f t="shared" si="69"/>
        <v>18.883717067399168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273.00000000000023</v>
      </c>
      <c r="DP112" s="18">
        <f>DO112*VLOOKUP('Données projet'!$B$14,Paramètres!$A$1:$I$89,3,0)*VLOOKUP('Données projet'!$B$14,Paramètres!$A$1:$I$89,5,0)</f>
        <v>264.04560000000021</v>
      </c>
      <c r="DQ112" s="14">
        <f t="shared" si="97"/>
        <v>63.583959929973794</v>
      </c>
      <c r="DR112" s="22">
        <f t="shared" si="70"/>
        <v>570.6214835447048</v>
      </c>
      <c r="DS112" s="62">
        <f t="shared" si="71"/>
        <v>863.95481687803817</v>
      </c>
      <c r="DT112" s="62">
        <f ca="1">AVERAGE(OFFSET($DS$3,0,0,'Données projet'!$E$14+1,1))-AVERAGE(OFFSET($H$3,0,0,'Données projet'!$E$14+1,1))</f>
        <v>271.09447278906288</v>
      </c>
      <c r="DU112" s="62">
        <f t="shared" si="98"/>
        <v>325.1094067861851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15.336916706106335</v>
      </c>
      <c r="EB112" s="23">
        <f>EXP(-LN(2)/25)*EB111+(1-EXP(-LN(2)/25))/(LN(2)/25)*Calculateur!DW112*Calculateur!DY112*VLOOKUP('Données projet'!$B$14,Paramètres!$A$1:$I$89,3,0)*0.475*44/12</f>
        <v>1.8907863990280644</v>
      </c>
      <c r="EC112" s="23">
        <f>EXP(-LN(2)/2)*EC111+(1-EXP(-LN(2)/2))/(LN(2)/2)*DW112*DZ112*VLOOKUP('Données projet'!$B$14,Paramètres!$A$1:$I$89,3,0)*0.475*44/12</f>
        <v>2.5683284160644868E-7</v>
      </c>
      <c r="ED112" s="24">
        <f t="shared" si="72"/>
        <v>17.22770336196724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273.00000000000023</v>
      </c>
      <c r="EK112" s="18">
        <f>EJ112*VLOOKUP('Données projet'!$B$15,Paramètres!$A$1:$I$89,3,0)*VLOOKUP('Données projet'!$B$15,Paramètres!$A$1:$I$89,5,0)</f>
        <v>293.85720000000026</v>
      </c>
      <c r="EL112" s="14">
        <f t="shared" si="99"/>
        <v>69.887150190339895</v>
      </c>
      <c r="EM112" s="22">
        <f t="shared" si="73"/>
        <v>633.52140991484237</v>
      </c>
      <c r="EN112" s="62">
        <f t="shared" si="74"/>
        <v>926.85474324817574</v>
      </c>
      <c r="EO112" s="62">
        <f ca="1">AVERAGE(OFFSET($EN$3,0,0,'Données projet'!$E$15+1,1))-AVERAGE(OFFSET($H$3,0,0,'Données projet'!$E$15+1,1))</f>
        <v>306.50593475734655</v>
      </c>
      <c r="EP112" s="62">
        <f t="shared" si="100"/>
        <v>366.48643801375079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17.068504076150607</v>
      </c>
      <c r="EW112" s="23">
        <f>EXP(-LN(2)/25)*EW111+(1-EXP(-LN(2)/25))/(LN(2)/25)*Calculateur!ER112*Calculateur!ET112*VLOOKUP('Données projet'!$B$15,Paramètres!$A$1:$I$89,3,0)*0.475*44/12</f>
        <v>2.1042622827892963</v>
      </c>
      <c r="EX112" s="23">
        <f>EXP(-LN(2)/2)*EX111+(1-EXP(-LN(2)/2))/(LN(2)/2)*ER112*EU112*VLOOKUP('Données projet'!$B$15,Paramètres!$A$1:$I$89,3,0)*0.475*44/12</f>
        <v>2.8583009791685403E-7</v>
      </c>
      <c r="EY112" s="24">
        <f t="shared" si="75"/>
        <v>19.17276664477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80.651999999999774</v>
      </c>
      <c r="D113" s="12">
        <f t="shared" si="86"/>
        <v>22.296526130116188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794.69037714475496</v>
      </c>
      <c r="H113" s="70">
        <f t="shared" si="56"/>
        <v>472.6353496766186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332</v>
      </c>
      <c r="L113" s="13">
        <f>VLOOKUP(A113,'Données projet'!$A$35:$I$55,9,0)</f>
        <v>5</v>
      </c>
      <c r="M113" s="13">
        <f t="array" ref="M113">INDEX(L:L,MIN(IF(ISNUMBER(L113:L309),ROW(L113:L309),"")))</f>
        <v>5</v>
      </c>
      <c r="N113" s="14">
        <f>IF('Données projet'!$A$36&gt;35,N112+M113-V112,IF(A113&lt;'Données projet'!$A$36,$K$205^A113,IF(A113='Données projet'!$A$36,'Données projet'!$B$36,N112+M113-V112)))</f>
        <v>331.99999999999989</v>
      </c>
      <c r="O113" s="14">
        <f>N113*VLOOKUP('Données projet'!$B$9,Paramètres!$A$1:$I$89,3,0)*VLOOKUP('Données projet'!$B$9,Paramètres!$A$1:$I$89,5,0)</f>
        <v>300.39359999999988</v>
      </c>
      <c r="P113" s="14">
        <f t="shared" si="87"/>
        <v>71.258970856492667</v>
      </c>
      <c r="Q113" s="22">
        <f t="shared" si="107"/>
        <v>647.29489424172459</v>
      </c>
      <c r="R113" s="62">
        <f t="shared" si="55"/>
        <v>940.62822757505796</v>
      </c>
      <c r="S113" s="62">
        <f ca="1">AVERAGE(OFFSET($R$3,0,0,'Données projet'!$E$9+1,1))-AVERAGE(OFFSET($H$3,0,0,'Données projet'!$E$9+1,1))</f>
        <v>312.57314929661908</v>
      </c>
      <c r="T113" s="62">
        <f t="shared" si="88"/>
        <v>190.92100876773804</v>
      </c>
      <c r="U113" s="16">
        <f>IF(ISNA(VLOOKUP(A113,'Données projet'!$A$35:$I$55,3,0)),0,VLOOKUP(A113,'Données projet'!$A$35:$I$55,3,0))</f>
        <v>19</v>
      </c>
      <c r="V113" s="16">
        <f>IF(ISNA(VLOOKUP(A113,'Données projet'!$A$35:$I$55,4,0)),0,VLOOKUP(A113,'Données projet'!$A$35:$I$55,4,0))</f>
        <v>25</v>
      </c>
      <c r="W113" s="17">
        <f>IF(ISNA(VLOOKUP(A113,'Données projet'!$A$35:$I$55,5,0)),0%,VLOOKUP(A113,'Données projet'!$A$35:$I$55,5,0)*VLOOKUP('Données projet'!$B$9,Paramètres!$A$1:$I$89,7,0))</f>
        <v>0.34400000000000003</v>
      </c>
      <c r="X113" s="17">
        <f>IF(ISNA(VLOOKUP(A113,'Données projet'!$A$35:$I$55,6,0)),0%,VLOOKUP(A113,'Données projet'!$A$35:$I$55,6,0)*VLOOKUP('Données projet'!$B$9,Paramètres!$A$1:$I$89,7,0))</f>
        <v>1.72E-2</v>
      </c>
      <c r="Y113" s="17">
        <f>IF(ISNA(VLOOKUP(A113,'Données projet'!$A$35:$I$55,7,0)),0%,VLOOKUP(A113,'Données projet'!$A$35:$I$55,7,0))</f>
        <v>0.06</v>
      </c>
      <c r="Z113" s="23">
        <f>EXP(-LN(2)/35)*Z112+(1-EXP(-LN(2)/35))/(LN(2)/35)*V113*W113*VLOOKUP('Données projet'!$B$9,Paramètres!$A$1:$I$89,3,0)*0.475*44/12</f>
        <v>75.601807832490962</v>
      </c>
      <c r="AA113" s="23">
        <f>EXP(-LN(2)/25)*AA112+(1-EXP(-LN(2)/25))/(LN(2)/25)*Calculateur!V113*Calculateur!X113*VLOOKUP('Données projet'!$B$9,Paramètres!$A$1:$I$89,3,0)*0.475*44/12</f>
        <v>3.3378694457568701</v>
      </c>
      <c r="AB113" s="23">
        <f>EXP(-LN(2)/2)*AB112+(1-EXP(-LN(2)/2))/(LN(2)/2)*V113*Y113*VLOOKUP('Données projet'!$B$9,Paramètres!$A$1:$I$89,3,0)*0.475*44/12</f>
        <v>1.5688249703170447</v>
      </c>
      <c r="AC113" s="24">
        <f t="shared" si="57"/>
        <v>80.508502248564866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332</v>
      </c>
      <c r="AG113" s="13">
        <f>VLOOKUP(A113,'Données projet'!$A$61:$I$81,9,0)</f>
        <v>5</v>
      </c>
      <c r="AH113" s="13">
        <f t="array" ref="AH113">INDEX(AG:AG,MIN(IF(ISNUMBER(AG113:AG309),ROW(AG113:AG309),"")))</f>
        <v>5</v>
      </c>
      <c r="AI113" s="14">
        <f>IF('Données projet'!$A$62&gt;35,AI112+AH113-AQ112,IF(A113&lt;'Données projet'!$A$62,$AF$205^A113,IF(A113='Données projet'!$A$62,'Données projet'!$B$62,AI112+AH113-AQ112)))</f>
        <v>331.99999999999989</v>
      </c>
      <c r="AJ113" s="14">
        <f>AI113*VLOOKUP('Données projet'!$B$10,Paramètres!$A$1:$I$89,3,0)*VLOOKUP('Données projet'!$B$10,Paramètres!$A$1:$I$89,5,0)</f>
        <v>336.64799999999991</v>
      </c>
      <c r="AK113" s="14">
        <f t="shared" si="89"/>
        <v>78.807003163010307</v>
      </c>
      <c r="AL113" s="22">
        <f t="shared" si="58"/>
        <v>723.58413050890942</v>
      </c>
      <c r="AM113" s="62">
        <f t="shared" si="59"/>
        <v>1016.9174638422428</v>
      </c>
      <c r="AN113" s="62">
        <f ca="1">AVERAGE(OFFSET($AM$3,0,0,'Données projet'!$E$10+1,1))-AVERAGE(OFFSET($H$3,0,0,'Données projet'!$E$10+1,1))</f>
        <v>360.56293184044779</v>
      </c>
      <c r="AO113" s="62">
        <f t="shared" si="90"/>
        <v>219.32252911220542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25</v>
      </c>
      <c r="AR113" s="17">
        <f>IF(ISNA(VLOOKUP(A113,'Données projet'!$A$61:$I$81,5,0)),0%,VLOOKUP(A113,'Données projet'!$A$61:$I$81,5,0)*VLOOKUP('Données projet'!$B$10,Paramètres!$A$1:$I$89,7,0))</f>
        <v>0.34400000000000003</v>
      </c>
      <c r="AS113" s="17">
        <f>IF(ISNA(VLOOKUP(A113,'Données projet'!$A$61:$I$81,6,0)),0%,VLOOKUP(A113,'Données projet'!$A$61:$I$81,6,0)*VLOOKUP('Données projet'!$B$10,Paramètres!$A$1:$I$89,7,0))</f>
        <v>1.72E-2</v>
      </c>
      <c r="AT113" s="17">
        <f>IF(ISNA(VLOOKUP(A113,'Données projet'!$A$61:$I$81,7,0)),0%,VLOOKUP(A113,'Données projet'!$A$61:$I$81,7,0))</f>
        <v>0.06</v>
      </c>
      <c r="AU113" s="23">
        <f>EXP(-LN(2)/35)*AU112+(1-EXP(-LN(2)/35))/(LN(2)/35)*AQ113*AR113*VLOOKUP('Données projet'!$B$10,Paramètres!$A$1:$I$89,3,0)*0.475*44/12</f>
        <v>84.726163950205375</v>
      </c>
      <c r="AV113" s="23">
        <f>EXP(-LN(2)/25)*AV112+(1-EXP(-LN(2)/25))/(LN(2)/25)*Calculateur!AQ113*Calculateur!AS113*VLOOKUP('Données projet'!$B$10,Paramètres!$A$1:$I$89,3,0)*0.475*44/12</f>
        <v>3.7407157581758046</v>
      </c>
      <c r="AW113" s="23">
        <f>EXP(-LN(2)/2)*AW112+(1-EXP(-LN(2)/2))/(LN(2)/2)*AQ113*AT113*VLOOKUP('Données projet'!$B$10,Paramètres!$A$1:$I$89,3,0)*0.475*44/12</f>
        <v>1.7581659150104814</v>
      </c>
      <c r="AX113" s="23">
        <f t="shared" si="60"/>
        <v>90.225045623391665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1.1368683772161603E-13</v>
      </c>
      <c r="BE113" s="14">
        <f>BD113*VLOOKUP('Données projet'!$B$11,Paramètres!$A$1:$I$89,3,0)*VLOOKUP('Données projet'!$B$11,Paramètres!$A$1:$I$89,5,0)</f>
        <v>8.3355189417488869E-14</v>
      </c>
      <c r="BF113" s="14">
        <f t="shared" si="91"/>
        <v>1.2790518435140618E-12</v>
      </c>
      <c r="BG113" s="22">
        <f t="shared" si="61"/>
        <v>2.3728589156891171E-12</v>
      </c>
      <c r="BH113" s="62">
        <f t="shared" si="62"/>
        <v>293.3333333333357</v>
      </c>
      <c r="BI113" s="62">
        <f ca="1">AVERAGE(OFFSET($BH$3,0,0,'Données projet'!$E$11+1,1))-AVERAGE(OFFSET($H$3,0,0,'Données projet'!$E$11+1,1))</f>
        <v>182.06733089745194</v>
      </c>
      <c r="BJ113" s="62">
        <f t="shared" si="92"/>
        <v>320.36755413886021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12.253445994081877</v>
      </c>
      <c r="BQ113" s="23">
        <f>EXP(-LN(2)/25)*BQ112+(1-EXP(-LN(2)/25))/(LN(2)/25)*Calculateur!BL113*Calculateur!BN113*VLOOKUP('Données projet'!$B$11,Paramètres!$A$1:$I$89,3,0)*0.475*44/12</f>
        <v>1.3827553024364045</v>
      </c>
      <c r="BR113" s="23">
        <f>EXP(-LN(2)/2)*BR112+(1-EXP(-LN(2)/2))/(LN(2)/2)*BL113*BO113*VLOOKUP('Données projet'!$B$11,Paramètres!$A$1:$I$89,3,0)*0.475*44/12</f>
        <v>6.7337546725877421E-10</v>
      </c>
      <c r="BS113" s="24">
        <f t="shared" si="63"/>
        <v>13.636201297191658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319.99999999999972</v>
      </c>
      <c r="BZ113" s="14">
        <f>BY113*VLOOKUP('Données projet'!$B$12,Paramètres!$A$1:$I$89,3,0)*VLOOKUP('Données projet'!$B$12,Paramètres!$A$1:$I$89,5,0)</f>
        <v>279.55199999999979</v>
      </c>
      <c r="CA113" s="14">
        <f t="shared" si="93"/>
        <v>66.872324781216591</v>
      </c>
      <c r="CB113" s="22">
        <f t="shared" si="64"/>
        <v>603.35569899395182</v>
      </c>
      <c r="CC113" s="62">
        <f t="shared" si="65"/>
        <v>896.68903232728508</v>
      </c>
      <c r="CD113" s="62">
        <f ca="1">AVERAGE(OFFSET($CC$3,0,0,'Données projet'!$E$12+1,1))-AVERAGE(OFFSET($H$3,0,0,'Données projet'!$E$12+1,1))</f>
        <v>248.60758320902863</v>
      </c>
      <c r="CE113" s="62">
        <f t="shared" si="94"/>
        <v>222.23585883330111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29.873163483821283</v>
      </c>
      <c r="CL113" s="23">
        <f>EXP(-LN(2)/25)*CL112+(1-EXP(-LN(2)/25))/(LN(2)/25)*Calculateur!CG113*Calculateur!CI113*VLOOKUP('Données projet'!$B$12,Paramètres!$A$1:$I$89,3,0)*0.475*44/12</f>
        <v>3.1335380851199255</v>
      </c>
      <c r="CM113" s="23">
        <f>EXP(-LN(2)/2)*CM112+(1-EXP(-LN(2)/2))/(LN(2)/2)*CG113*CJ113*VLOOKUP('Données projet'!$B$12,Paramètres!$A$1:$I$89,3,0)*0.475*44/12</f>
        <v>5.7306304761195951E-5</v>
      </c>
      <c r="CN113" s="24">
        <f t="shared" si="66"/>
        <v>33.006758875245971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193.99999999999994</v>
      </c>
      <c r="CU113" s="18">
        <f>CT113*VLOOKUP('Données projet'!$B$13,Paramètres!$A$1:$I$89,3,0)*VLOOKUP('Données projet'!$B$13,Paramètres!$A$1:$I$89,5,0)</f>
        <v>105.92399999999998</v>
      </c>
      <c r="CV113" s="14">
        <f t="shared" si="95"/>
        <v>28.36854701055546</v>
      </c>
      <c r="CW113" s="22">
        <f t="shared" si="67"/>
        <v>233.89285271005073</v>
      </c>
      <c r="CX113" s="62">
        <f t="shared" si="68"/>
        <v>527.22618604338402</v>
      </c>
      <c r="CY113" s="62">
        <f ca="1">AVERAGE(OFFSET($CX$3,0,0,'Données projet'!$E$13+1,1))-AVERAGE(OFFSET($H$3,0,0,'Données projet'!$E$13+1,1))</f>
        <v>135.44138026609272</v>
      </c>
      <c r="CZ113" s="62">
        <f t="shared" si="96"/>
        <v>254.77247578425659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13.55165526789505</v>
      </c>
      <c r="DG113" s="23">
        <f>EXP(-LN(2)/25)*DG112+(1-EXP(-LN(2)/25))/(LN(2)/25)*Calculateur!DB113*Calculateur!DD113*VLOOKUP('Données projet'!$B$13,Paramètres!$A$1:$I$89,3,0)*0.475*44/12</f>
        <v>4.9226133843335642</v>
      </c>
      <c r="DH113" s="23">
        <f>EXP(-LN(2)/2)*DH112+(1-EXP(-LN(2)/2))/(LN(2)/2)*DB113*DE113*VLOOKUP('Données projet'!$B$13,Paramètres!$A$1:$I$89,3,0)*0.475*44/12</f>
        <v>7.735400608139944E-11</v>
      </c>
      <c r="DI113" s="24">
        <f t="shared" si="69"/>
        <v>18.47426865230597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273.00000000000023</v>
      </c>
      <c r="DP113" s="18">
        <f>DO113*VLOOKUP('Données projet'!$B$14,Paramètres!$A$1:$I$89,3,0)*VLOOKUP('Données projet'!$B$14,Paramètres!$A$1:$I$89,5,0)</f>
        <v>264.04560000000021</v>
      </c>
      <c r="DQ113" s="14">
        <f t="shared" si="97"/>
        <v>63.583959929973794</v>
      </c>
      <c r="DR113" s="22">
        <f t="shared" si="70"/>
        <v>570.6214835447048</v>
      </c>
      <c r="DS113" s="62">
        <f t="shared" si="71"/>
        <v>863.95481687803817</v>
      </c>
      <c r="DT113" s="62">
        <f ca="1">AVERAGE(OFFSET($DS$3,0,0,'Données projet'!$E$14+1,1))-AVERAGE(OFFSET($H$3,0,0,'Données projet'!$E$14+1,1))</f>
        <v>271.09447278906288</v>
      </c>
      <c r="DU113" s="62">
        <f t="shared" si="98"/>
        <v>325.1094067861851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15.036169124095091</v>
      </c>
      <c r="EB113" s="23">
        <f>EXP(-LN(2)/25)*EB112+(1-EXP(-LN(2)/25))/(LN(2)/25)*Calculateur!DW113*Calculateur!DY113*VLOOKUP('Données projet'!$B$14,Paramètres!$A$1:$I$89,3,0)*0.475*44/12</f>
        <v>1.8390827455145067</v>
      </c>
      <c r="EC113" s="23">
        <f>EXP(-LN(2)/2)*EC112+(1-EXP(-LN(2)/2))/(LN(2)/2)*DW113*DZ113*VLOOKUP('Données projet'!$B$14,Paramètres!$A$1:$I$89,3,0)*0.475*44/12</f>
        <v>1.8160824393133033E-7</v>
      </c>
      <c r="ED113" s="24">
        <f t="shared" si="72"/>
        <v>16.875252051217842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273.00000000000023</v>
      </c>
      <c r="EK113" s="18">
        <f>EJ113*VLOOKUP('Données projet'!$B$15,Paramètres!$A$1:$I$89,3,0)*VLOOKUP('Données projet'!$B$15,Paramètres!$A$1:$I$89,5,0)</f>
        <v>293.85720000000026</v>
      </c>
      <c r="EL113" s="14">
        <f t="shared" si="99"/>
        <v>69.887150190339895</v>
      </c>
      <c r="EM113" s="22">
        <f t="shared" si="73"/>
        <v>633.52140991484237</v>
      </c>
      <c r="EN113" s="62">
        <f t="shared" si="74"/>
        <v>926.85474324817574</v>
      </c>
      <c r="EO113" s="62">
        <f ca="1">AVERAGE(OFFSET($EN$3,0,0,'Données projet'!$E$15+1,1))-AVERAGE(OFFSET($H$3,0,0,'Données projet'!$E$15+1,1))</f>
        <v>306.50593475734655</v>
      </c>
      <c r="EP113" s="62">
        <f t="shared" si="100"/>
        <v>366.48643801375079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16.733801121976803</v>
      </c>
      <c r="EW113" s="23">
        <f>EXP(-LN(2)/25)*EW112+(1-EXP(-LN(2)/25))/(LN(2)/25)*Calculateur!ER113*Calculateur!ET113*VLOOKUP('Données projet'!$B$15,Paramètres!$A$1:$I$89,3,0)*0.475*44/12</f>
        <v>2.0467211200080788</v>
      </c>
      <c r="EX113" s="23">
        <f>EXP(-LN(2)/2)*EX112+(1-EXP(-LN(2)/2))/(LN(2)/2)*ER113*EU113*VLOOKUP('Données projet'!$B$15,Paramètres!$A$1:$I$89,3,0)*0.475*44/12</f>
        <v>2.0211240050422235E-7</v>
      </c>
      <c r="EY113" s="24">
        <f t="shared" si="75"/>
        <v>18.780522444097283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81.38519999999977</v>
      </c>
      <c r="D114" s="12">
        <f t="shared" si="86"/>
        <v>22.475533601501073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801.73197867825218</v>
      </c>
      <c r="H114" s="70">
        <f t="shared" si="56"/>
        <v>474.2241110226139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4.8</v>
      </c>
      <c r="N114" s="14">
        <f>IF('Données projet'!$A$36&gt;35,N113+M114-V113,IF(A114&lt;'Données projet'!$A$36,$K$205^A114,IF(A114='Données projet'!$A$36,'Données projet'!$B$36,N113+M114-V113)))</f>
        <v>311.7999999999999</v>
      </c>
      <c r="O114" s="14">
        <f>N114*VLOOKUP('Données projet'!$B$9,Paramètres!$A$1:$I$89,3,0)*VLOOKUP('Données projet'!$B$9,Paramètres!$A$1:$I$89,5,0)</f>
        <v>282.1166399999999</v>
      </c>
      <c r="P114" s="14">
        <f t="shared" si="87"/>
        <v>67.414119514142243</v>
      </c>
      <c r="Q114" s="22">
        <f t="shared" si="107"/>
        <v>608.76607282046416</v>
      </c>
      <c r="R114" s="62">
        <f t="shared" si="55"/>
        <v>902.09940615379742</v>
      </c>
      <c r="S114" s="62">
        <f ca="1">AVERAGE(OFFSET($R$3,0,0,'Données projet'!$E$9+1,1))-AVERAGE(OFFSET($H$3,0,0,'Données projet'!$E$9+1,1))</f>
        <v>312.57314929661908</v>
      </c>
      <c r="T114" s="62">
        <f t="shared" si="88"/>
        <v>190.92100876773804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74.11930249344536</v>
      </c>
      <c r="AA114" s="23">
        <f>EXP(-LN(2)/25)*AA113+(1-EXP(-LN(2)/25))/(LN(2)/25)*Calculateur!V114*Calculateur!X114*VLOOKUP('Données projet'!$B$9,Paramètres!$A$1:$I$89,3,0)*0.475*44/12</f>
        <v>3.2465952302317231</v>
      </c>
      <c r="AB114" s="23">
        <f>EXP(-LN(2)/2)*AB113+(1-EXP(-LN(2)/2))/(LN(2)/2)*V114*Y114*VLOOKUP('Données projet'!$B$9,Paramètres!$A$1:$I$89,3,0)*0.475*44/12</f>
        <v>1.1093267750059665</v>
      </c>
      <c r="AC114" s="24">
        <f t="shared" si="57"/>
        <v>78.475224498683048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4.8</v>
      </c>
      <c r="AI114" s="14">
        <f>IF('Données projet'!$A$62&gt;35,AI113+AH114-AQ113,IF(A114&lt;'Données projet'!$A$62,$AF$205^A114,IF(A114='Données projet'!$A$62,'Données projet'!$B$62,AI113+AH114-AQ113)))</f>
        <v>311.7999999999999</v>
      </c>
      <c r="AJ114" s="14">
        <f>AI114*VLOOKUP('Données projet'!$B$10,Paramètres!$A$1:$I$89,3,0)*VLOOKUP('Données projet'!$B$10,Paramètres!$A$1:$I$89,5,0)</f>
        <v>316.16519999999991</v>
      </c>
      <c r="AK114" s="14">
        <f t="shared" si="89"/>
        <v>74.554889944758472</v>
      </c>
      <c r="AL114" s="22">
        <f t="shared" si="58"/>
        <v>680.50415665378762</v>
      </c>
      <c r="AM114" s="62">
        <f t="shared" si="59"/>
        <v>973.83748998712099</v>
      </c>
      <c r="AN114" s="62">
        <f ca="1">AVERAGE(OFFSET($AM$3,0,0,'Données projet'!$E$10+1,1))-AVERAGE(OFFSET($H$3,0,0,'Données projet'!$E$10+1,1))</f>
        <v>360.56293184044779</v>
      </c>
      <c r="AO114" s="62">
        <f t="shared" si="90"/>
        <v>219.32252911220542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83.064735552999096</v>
      </c>
      <c r="AV114" s="23">
        <f>EXP(-LN(2)/25)*AV113+(1-EXP(-LN(2)/25))/(LN(2)/25)*Calculateur!AQ114*Calculateur!AS114*VLOOKUP('Données projet'!$B$10,Paramètres!$A$1:$I$89,3,0)*0.475*44/12</f>
        <v>3.6384256890527951</v>
      </c>
      <c r="AW114" s="23">
        <f>EXP(-LN(2)/2)*AW113+(1-EXP(-LN(2)/2))/(LN(2)/2)*AQ114*AT114*VLOOKUP('Données projet'!$B$10,Paramètres!$A$1:$I$89,3,0)*0.475*44/12</f>
        <v>1.2432110409549626</v>
      </c>
      <c r="AX114" s="23">
        <f t="shared" si="60"/>
        <v>87.946372283006852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1.1368683772161603E-13</v>
      </c>
      <c r="BE114" s="14">
        <f>BD114*VLOOKUP('Données projet'!$B$11,Paramètres!$A$1:$I$89,3,0)*VLOOKUP('Données projet'!$B$11,Paramètres!$A$1:$I$89,5,0)</f>
        <v>8.3355189417488869E-14</v>
      </c>
      <c r="BF114" s="14">
        <f t="shared" si="91"/>
        <v>1.2790518435140618E-12</v>
      </c>
      <c r="BG114" s="22">
        <f t="shared" si="61"/>
        <v>2.3728589156891171E-12</v>
      </c>
      <c r="BH114" s="62">
        <f t="shared" si="62"/>
        <v>293.3333333333357</v>
      </c>
      <c r="BI114" s="62">
        <f ca="1">AVERAGE(OFFSET($BH$3,0,0,'Données projet'!$E$11+1,1))-AVERAGE(OFFSET($H$3,0,0,'Données projet'!$E$11+1,1))</f>
        <v>182.06733089745194</v>
      </c>
      <c r="BJ114" s="62">
        <f t="shared" si="92"/>
        <v>320.36755413886021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12.013163392002005</v>
      </c>
      <c r="BQ114" s="23">
        <f>EXP(-LN(2)/25)*BQ113+(1-EXP(-LN(2)/25))/(LN(2)/25)*Calculateur!BL114*Calculateur!BN114*VLOOKUP('Données projet'!$B$11,Paramètres!$A$1:$I$89,3,0)*0.475*44/12</f>
        <v>1.3449437859753401</v>
      </c>
      <c r="BR114" s="23">
        <f>EXP(-LN(2)/2)*BR113+(1-EXP(-LN(2)/2))/(LN(2)/2)*BL114*BO114*VLOOKUP('Données projet'!$B$11,Paramètres!$A$1:$I$89,3,0)*0.475*44/12</f>
        <v>4.7614835918333925E-10</v>
      </c>
      <c r="BS114" s="24">
        <f t="shared" si="63"/>
        <v>13.358107178453494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319.99999999999972</v>
      </c>
      <c r="BZ114" s="14">
        <f>BY114*VLOOKUP('Données projet'!$B$12,Paramètres!$A$1:$I$89,3,0)*VLOOKUP('Données projet'!$B$12,Paramètres!$A$1:$I$89,5,0)</f>
        <v>279.55199999999979</v>
      </c>
      <c r="CA114" s="14">
        <f t="shared" si="93"/>
        <v>66.872324781216591</v>
      </c>
      <c r="CB114" s="22">
        <f t="shared" si="64"/>
        <v>603.35569899395182</v>
      </c>
      <c r="CC114" s="62">
        <f t="shared" si="65"/>
        <v>896.68903232728508</v>
      </c>
      <c r="CD114" s="62">
        <f ca="1">AVERAGE(OFFSET($CC$3,0,0,'Données projet'!$E$12+1,1))-AVERAGE(OFFSET($H$3,0,0,'Données projet'!$E$12+1,1))</f>
        <v>248.60758320902863</v>
      </c>
      <c r="CE114" s="62">
        <f t="shared" si="94"/>
        <v>222.23585883330111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29.287368968734114</v>
      </c>
      <c r="CL114" s="23">
        <f>EXP(-LN(2)/25)*CL113+(1-EXP(-LN(2)/25))/(LN(2)/25)*Calculateur!CG114*Calculateur!CI114*VLOOKUP('Données projet'!$B$12,Paramètres!$A$1:$I$89,3,0)*0.475*44/12</f>
        <v>3.0478513213967151</v>
      </c>
      <c r="CM114" s="23">
        <f>EXP(-LN(2)/2)*CM113+(1-EXP(-LN(2)/2))/(LN(2)/2)*CG114*CJ114*VLOOKUP('Données projet'!$B$12,Paramètres!$A$1:$I$89,3,0)*0.475*44/12</f>
        <v>4.0521676701384591E-5</v>
      </c>
      <c r="CN114" s="24">
        <f t="shared" si="66"/>
        <v>32.33526081180753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193.99999999999994</v>
      </c>
      <c r="CU114" s="18">
        <f>CT114*VLOOKUP('Données projet'!$B$13,Paramètres!$A$1:$I$89,3,0)*VLOOKUP('Données projet'!$B$13,Paramètres!$A$1:$I$89,5,0)</f>
        <v>105.92399999999998</v>
      </c>
      <c r="CV114" s="14">
        <f t="shared" si="95"/>
        <v>28.36854701055546</v>
      </c>
      <c r="CW114" s="22">
        <f t="shared" si="67"/>
        <v>233.89285271005073</v>
      </c>
      <c r="CX114" s="62">
        <f t="shared" si="68"/>
        <v>527.22618604338402</v>
      </c>
      <c r="CY114" s="62">
        <f ca="1">AVERAGE(OFFSET($CX$3,0,0,'Données projet'!$E$13+1,1))-AVERAGE(OFFSET($H$3,0,0,'Données projet'!$E$13+1,1))</f>
        <v>135.44138026609272</v>
      </c>
      <c r="CZ114" s="62">
        <f t="shared" si="96"/>
        <v>254.77247578425659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13.285915573785172</v>
      </c>
      <c r="DG114" s="23">
        <f>EXP(-LN(2)/25)*DG113+(1-EXP(-LN(2)/25))/(LN(2)/25)*Calculateur!DB114*Calculateur!DD114*VLOOKUP('Données projet'!$B$13,Paramètres!$A$1:$I$89,3,0)*0.475*44/12</f>
        <v>4.7880042624699755</v>
      </c>
      <c r="DH114" s="23">
        <f>EXP(-LN(2)/2)*DH113+(1-EXP(-LN(2)/2))/(LN(2)/2)*DB114*DE114*VLOOKUP('Données projet'!$B$13,Paramètres!$A$1:$I$89,3,0)*0.475*44/12</f>
        <v>5.4697542252102981E-11</v>
      </c>
      <c r="DI114" s="24">
        <f t="shared" si="69"/>
        <v>18.073919836309845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273.00000000000023</v>
      </c>
      <c r="DP114" s="18">
        <f>DO114*VLOOKUP('Données projet'!$B$14,Paramètres!$A$1:$I$89,3,0)*VLOOKUP('Données projet'!$B$14,Paramètres!$A$1:$I$89,5,0)</f>
        <v>264.04560000000021</v>
      </c>
      <c r="DQ114" s="14">
        <f t="shared" si="97"/>
        <v>63.583959929973794</v>
      </c>
      <c r="DR114" s="22">
        <f t="shared" si="70"/>
        <v>570.6214835447048</v>
      </c>
      <c r="DS114" s="62">
        <f t="shared" si="71"/>
        <v>863.95481687803817</v>
      </c>
      <c r="DT114" s="62">
        <f ca="1">AVERAGE(OFFSET($DS$3,0,0,'Données projet'!$E$14+1,1))-AVERAGE(OFFSET($H$3,0,0,'Données projet'!$E$14+1,1))</f>
        <v>271.09447278906288</v>
      </c>
      <c r="DU114" s="62">
        <f t="shared" si="98"/>
        <v>325.1094067861851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14.741319018729175</v>
      </c>
      <c r="EB114" s="23">
        <f>EXP(-LN(2)/25)*EB113+(1-EXP(-LN(2)/25))/(LN(2)/25)*Calculateur!DW114*Calculateur!DY114*VLOOKUP('Données projet'!$B$14,Paramètres!$A$1:$I$89,3,0)*0.475*44/12</f>
        <v>1.7887929311252542</v>
      </c>
      <c r="EC114" s="23">
        <f>EXP(-LN(2)/2)*EC113+(1-EXP(-LN(2)/2))/(LN(2)/2)*DW114*DZ114*VLOOKUP('Données projet'!$B$14,Paramètres!$A$1:$I$89,3,0)*0.475*44/12</f>
        <v>1.2841642080322434E-7</v>
      </c>
      <c r="ED114" s="24">
        <f t="shared" si="72"/>
        <v>16.53011207827085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273.00000000000023</v>
      </c>
      <c r="EK114" s="18">
        <f>EJ114*VLOOKUP('Données projet'!$B$15,Paramètres!$A$1:$I$89,3,0)*VLOOKUP('Données projet'!$B$15,Paramètres!$A$1:$I$89,5,0)</f>
        <v>293.85720000000026</v>
      </c>
      <c r="EL114" s="14">
        <f t="shared" si="99"/>
        <v>69.887150190339895</v>
      </c>
      <c r="EM114" s="22">
        <f t="shared" si="73"/>
        <v>633.52140991484237</v>
      </c>
      <c r="EN114" s="62">
        <f t="shared" si="74"/>
        <v>926.85474324817574</v>
      </c>
      <c r="EO114" s="62">
        <f ca="1">AVERAGE(OFFSET($EN$3,0,0,'Données projet'!$E$15+1,1))-AVERAGE(OFFSET($H$3,0,0,'Données projet'!$E$15+1,1))</f>
        <v>306.50593475734655</v>
      </c>
      <c r="EP114" s="62">
        <f t="shared" si="100"/>
        <v>366.48643801375079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16.405661488585704</v>
      </c>
      <c r="EW114" s="23">
        <f>EXP(-LN(2)/25)*EW113+(1-EXP(-LN(2)/25))/(LN(2)/25)*Calculateur!ER114*Calculateur!ET114*VLOOKUP('Données projet'!$B$15,Paramètres!$A$1:$I$89,3,0)*0.475*44/12</f>
        <v>1.990753423349072</v>
      </c>
      <c r="EX114" s="23">
        <f>EXP(-LN(2)/2)*EX113+(1-EXP(-LN(2)/2))/(LN(2)/2)*ER114*EU114*VLOOKUP('Données projet'!$B$15,Paramètres!$A$1:$I$89,3,0)*0.475*44/12</f>
        <v>1.4291504895842701E-7</v>
      </c>
      <c r="EY114" s="24">
        <f t="shared" si="75"/>
        <v>18.396415054849825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82.118399999999767</v>
      </c>
      <c r="D115" s="12">
        <f t="shared" si="86"/>
        <v>22.654353452648337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808.77213191517831</v>
      </c>
      <c r="H115" s="70">
        <f t="shared" si="56"/>
        <v>475.81254559669543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4.8</v>
      </c>
      <c r="N115" s="14">
        <f>IF('Données projet'!$A$36&gt;35,N114+M115-V114,IF(A115&lt;'Données projet'!$A$36,$K$205^A115,IF(A115='Données projet'!$A$36,'Données projet'!$B$36,N114+M115-V114)))</f>
        <v>316.59999999999991</v>
      </c>
      <c r="O115" s="14">
        <f>N115*VLOOKUP('Données projet'!$B$9,Paramètres!$A$1:$I$89,3,0)*VLOOKUP('Données projet'!$B$9,Paramètres!$A$1:$I$89,5,0)</f>
        <v>286.45967999999988</v>
      </c>
      <c r="P115" s="14">
        <f t="shared" si="87"/>
        <v>68.330307577101138</v>
      </c>
      <c r="Q115" s="22">
        <f t="shared" si="107"/>
        <v>617.92589503011754</v>
      </c>
      <c r="R115" s="62">
        <f t="shared" si="55"/>
        <v>911.2592283634508</v>
      </c>
      <c r="S115" s="62">
        <f ca="1">AVERAGE(OFFSET($R$3,0,0,'Données projet'!$E$9+1,1))-AVERAGE(OFFSET($H$3,0,0,'Données projet'!$E$9+1,1))</f>
        <v>312.57314929661908</v>
      </c>
      <c r="T115" s="62">
        <f t="shared" si="88"/>
        <v>190.92100876773804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72.665868179859473</v>
      </c>
      <c r="AA115" s="23">
        <f>EXP(-LN(2)/25)*AA114+(1-EXP(-LN(2)/25))/(LN(2)/25)*Calculateur!V115*Calculateur!X115*VLOOKUP('Données projet'!$B$9,Paramètres!$A$1:$I$89,3,0)*0.475*44/12</f>
        <v>3.1578169129300138</v>
      </c>
      <c r="AB115" s="23">
        <f>EXP(-LN(2)/2)*AB114+(1-EXP(-LN(2)/2))/(LN(2)/2)*V115*Y115*VLOOKUP('Données projet'!$B$9,Paramètres!$A$1:$I$89,3,0)*0.475*44/12</f>
        <v>0.78441248515852247</v>
      </c>
      <c r="AC115" s="24">
        <f t="shared" si="57"/>
        <v>76.608097577948016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4.8</v>
      </c>
      <c r="AI115" s="14">
        <f>IF('Données projet'!$A$62&gt;35,AI114+AH115-AQ114,IF(A115&lt;'Données projet'!$A$62,$AF$205^A115,IF(A115='Données projet'!$A$62,'Données projet'!$B$62,AI114+AH115-AQ114)))</f>
        <v>316.59999999999991</v>
      </c>
      <c r="AJ115" s="14">
        <f>AI115*VLOOKUP('Données projet'!$B$10,Paramètres!$A$1:$I$89,3,0)*VLOOKUP('Données projet'!$B$10,Paramètres!$A$1:$I$89,5,0)</f>
        <v>321.03239999999988</v>
      </c>
      <c r="AK115" s="14">
        <f t="shared" si="89"/>
        <v>75.568124274523356</v>
      </c>
      <c r="AL115" s="22">
        <f t="shared" si="58"/>
        <v>690.74591311146139</v>
      </c>
      <c r="AM115" s="62">
        <f t="shared" si="59"/>
        <v>984.07924644479476</v>
      </c>
      <c r="AN115" s="62">
        <f ca="1">AVERAGE(OFFSET($AM$3,0,0,'Données projet'!$E$10+1,1))-AVERAGE(OFFSET($H$3,0,0,'Données projet'!$E$10+1,1))</f>
        <v>360.56293184044779</v>
      </c>
      <c r="AO115" s="62">
        <f t="shared" si="90"/>
        <v>219.32252911220542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81.435886753290774</v>
      </c>
      <c r="AV115" s="23">
        <f>EXP(-LN(2)/25)*AV114+(1-EXP(-LN(2)/25))/(LN(2)/25)*Calculateur!AQ115*Calculateur!AS115*VLOOKUP('Données projet'!$B$10,Paramètres!$A$1:$I$89,3,0)*0.475*44/12</f>
        <v>3.538932747249155</v>
      </c>
      <c r="AW115" s="23">
        <f>EXP(-LN(2)/2)*AW114+(1-EXP(-LN(2)/2))/(LN(2)/2)*AQ115*AT115*VLOOKUP('Données projet'!$B$10,Paramètres!$A$1:$I$89,3,0)*0.475*44/12</f>
        <v>0.87908295750524079</v>
      </c>
      <c r="AX115" s="23">
        <f t="shared" si="60"/>
        <v>85.85390245804517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1.1368683772161603E-13</v>
      </c>
      <c r="BE115" s="14">
        <f>BD115*VLOOKUP('Données projet'!$B$11,Paramètres!$A$1:$I$89,3,0)*VLOOKUP('Données projet'!$B$11,Paramètres!$A$1:$I$89,5,0)</f>
        <v>8.3355189417488869E-14</v>
      </c>
      <c r="BF115" s="14">
        <f t="shared" si="91"/>
        <v>1.2790518435140618E-12</v>
      </c>
      <c r="BG115" s="22">
        <f t="shared" si="61"/>
        <v>2.3728589156891171E-12</v>
      </c>
      <c r="BH115" s="62">
        <f t="shared" si="62"/>
        <v>293.3333333333357</v>
      </c>
      <c r="BI115" s="62">
        <f ca="1">AVERAGE(OFFSET($BH$3,0,0,'Données projet'!$E$11+1,1))-AVERAGE(OFFSET($H$3,0,0,'Données projet'!$E$11+1,1))</f>
        <v>182.06733089745194</v>
      </c>
      <c r="BJ115" s="62">
        <f t="shared" si="92"/>
        <v>320.36755413886021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11.777592585191003</v>
      </c>
      <c r="BQ115" s="23">
        <f>EXP(-LN(2)/25)*BQ114+(1-EXP(-LN(2)/25))/(LN(2)/25)*Calculateur!BL115*Calculateur!BN115*VLOOKUP('Données projet'!$B$11,Paramètres!$A$1:$I$89,3,0)*0.475*44/12</f>
        <v>1.3081662274203247</v>
      </c>
      <c r="BR115" s="23">
        <f>EXP(-LN(2)/2)*BR114+(1-EXP(-LN(2)/2))/(LN(2)/2)*BL115*BO115*VLOOKUP('Données projet'!$B$11,Paramètres!$A$1:$I$89,3,0)*0.475*44/12</f>
        <v>3.366877336293871E-10</v>
      </c>
      <c r="BS115" s="24">
        <f t="shared" si="63"/>
        <v>13.085758812948015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319.99999999999972</v>
      </c>
      <c r="BZ115" s="14">
        <f>BY115*VLOOKUP('Données projet'!$B$12,Paramètres!$A$1:$I$89,3,0)*VLOOKUP('Données projet'!$B$12,Paramètres!$A$1:$I$89,5,0)</f>
        <v>279.55199999999979</v>
      </c>
      <c r="CA115" s="14">
        <f t="shared" si="93"/>
        <v>66.872324781216591</v>
      </c>
      <c r="CB115" s="22">
        <f t="shared" si="64"/>
        <v>603.35569899395182</v>
      </c>
      <c r="CC115" s="62">
        <f t="shared" si="65"/>
        <v>896.68903232728508</v>
      </c>
      <c r="CD115" s="62">
        <f ca="1">AVERAGE(OFFSET($CC$3,0,0,'Données projet'!$E$12+1,1))-AVERAGE(OFFSET($H$3,0,0,'Données projet'!$E$12+1,1))</f>
        <v>248.60758320902863</v>
      </c>
      <c r="CE115" s="62">
        <f t="shared" si="94"/>
        <v>222.23585883330111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28.713061526788433</v>
      </c>
      <c r="CL115" s="23">
        <f>EXP(-LN(2)/25)*CL114+(1-EXP(-LN(2)/25))/(LN(2)/25)*Calculateur!CG115*Calculateur!CI115*VLOOKUP('Données projet'!$B$12,Paramètres!$A$1:$I$89,3,0)*0.475*44/12</f>
        <v>2.9645076667335868</v>
      </c>
      <c r="CM115" s="23">
        <f>EXP(-LN(2)/2)*CM114+(1-EXP(-LN(2)/2))/(LN(2)/2)*CG115*CJ115*VLOOKUP('Données projet'!$B$12,Paramètres!$A$1:$I$89,3,0)*0.475*44/12</f>
        <v>2.8653152380597976E-5</v>
      </c>
      <c r="CN115" s="24">
        <f t="shared" si="66"/>
        <v>31.677597846674399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193.99999999999994</v>
      </c>
      <c r="CU115" s="18">
        <f>CT115*VLOOKUP('Données projet'!$B$13,Paramètres!$A$1:$I$89,3,0)*VLOOKUP('Données projet'!$B$13,Paramètres!$A$1:$I$89,5,0)</f>
        <v>105.92399999999998</v>
      </c>
      <c r="CV115" s="14">
        <f t="shared" si="95"/>
        <v>28.36854701055546</v>
      </c>
      <c r="CW115" s="22">
        <f t="shared" si="67"/>
        <v>233.89285271005073</v>
      </c>
      <c r="CX115" s="62">
        <f t="shared" si="68"/>
        <v>527.22618604338402</v>
      </c>
      <c r="CY115" s="62">
        <f ca="1">AVERAGE(OFFSET($CX$3,0,0,'Données projet'!$E$13+1,1))-AVERAGE(OFFSET($H$3,0,0,'Données projet'!$E$13+1,1))</f>
        <v>135.44138026609272</v>
      </c>
      <c r="CZ115" s="62">
        <f t="shared" si="96"/>
        <v>254.77247578425659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13.025386872991579</v>
      </c>
      <c r="DG115" s="23">
        <f>EXP(-LN(2)/25)*DG114+(1-EXP(-LN(2)/25))/(LN(2)/25)*Calculateur!DB115*Calculateur!DD115*VLOOKUP('Données projet'!$B$13,Paramètres!$A$1:$I$89,3,0)*0.475*44/12</f>
        <v>4.6570760341225332</v>
      </c>
      <c r="DH115" s="23">
        <f>EXP(-LN(2)/2)*DH114+(1-EXP(-LN(2)/2))/(LN(2)/2)*DB115*DE115*VLOOKUP('Données projet'!$B$13,Paramètres!$A$1:$I$89,3,0)*0.475*44/12</f>
        <v>3.867700304069972E-11</v>
      </c>
      <c r="DI115" s="24">
        <f t="shared" si="69"/>
        <v>17.682462907152789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273.00000000000023</v>
      </c>
      <c r="DP115" s="18">
        <f>DO115*VLOOKUP('Données projet'!$B$14,Paramètres!$A$1:$I$89,3,0)*VLOOKUP('Données projet'!$B$14,Paramètres!$A$1:$I$89,5,0)</f>
        <v>264.04560000000021</v>
      </c>
      <c r="DQ115" s="14">
        <f t="shared" si="97"/>
        <v>63.583959929973794</v>
      </c>
      <c r="DR115" s="22">
        <f t="shared" si="70"/>
        <v>570.6214835447048</v>
      </c>
      <c r="DS115" s="62">
        <f t="shared" si="71"/>
        <v>863.95481687803817</v>
      </c>
      <c r="DT115" s="62">
        <f ca="1">AVERAGE(OFFSET($DS$3,0,0,'Données projet'!$E$14+1,1))-AVERAGE(OFFSET($H$3,0,0,'Données projet'!$E$14+1,1))</f>
        <v>271.09447278906288</v>
      </c>
      <c r="DU115" s="62">
        <f t="shared" si="98"/>
        <v>325.1094067861851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14.452250744088678</v>
      </c>
      <c r="EB115" s="23">
        <f>EXP(-LN(2)/25)*EB114+(1-EXP(-LN(2)/25))/(LN(2)/25)*Calculateur!DW115*Calculateur!DY115*VLOOKUP('Données projet'!$B$14,Paramètres!$A$1:$I$89,3,0)*0.475*44/12</f>
        <v>1.7398782943551021</v>
      </c>
      <c r="EC115" s="23">
        <f>EXP(-LN(2)/2)*EC114+(1-EXP(-LN(2)/2))/(LN(2)/2)*DW115*DZ115*VLOOKUP('Données projet'!$B$14,Paramètres!$A$1:$I$89,3,0)*0.475*44/12</f>
        <v>9.0804121965665165E-8</v>
      </c>
      <c r="ED115" s="24">
        <f t="shared" si="72"/>
        <v>16.192129129247903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273.00000000000023</v>
      </c>
      <c r="EK115" s="18">
        <f>EJ115*VLOOKUP('Données projet'!$B$15,Paramètres!$A$1:$I$89,3,0)*VLOOKUP('Données projet'!$B$15,Paramètres!$A$1:$I$89,5,0)</f>
        <v>293.85720000000026</v>
      </c>
      <c r="EL115" s="14">
        <f t="shared" si="99"/>
        <v>69.887150190339895</v>
      </c>
      <c r="EM115" s="22">
        <f t="shared" si="73"/>
        <v>633.52140991484237</v>
      </c>
      <c r="EN115" s="62">
        <f t="shared" si="74"/>
        <v>926.85474324817574</v>
      </c>
      <c r="EO115" s="62">
        <f ca="1">AVERAGE(OFFSET($EN$3,0,0,'Données projet'!$E$15+1,1))-AVERAGE(OFFSET($H$3,0,0,'Données projet'!$E$15+1,1))</f>
        <v>306.50593475734655</v>
      </c>
      <c r="EP115" s="62">
        <f t="shared" si="100"/>
        <v>366.48643801375079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16.083956473259988</v>
      </c>
      <c r="EW115" s="23">
        <f>EXP(-LN(2)/25)*EW114+(1-EXP(-LN(2)/25))/(LN(2)/25)*Calculateur!ER115*Calculateur!ET115*VLOOKUP('Données projet'!$B$15,Paramètres!$A$1:$I$89,3,0)*0.475*44/12</f>
        <v>1.936316166298419</v>
      </c>
      <c r="EX115" s="23">
        <f>EXP(-LN(2)/2)*EX114+(1-EXP(-LN(2)/2))/(LN(2)/2)*ER115*EU115*VLOOKUP('Données projet'!$B$15,Paramètres!$A$1:$I$89,3,0)*0.475*44/12</f>
        <v>1.0105620025211118E-7</v>
      </c>
      <c r="EY115" s="24">
        <f t="shared" si="75"/>
        <v>18.020272740614608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82.851599999999763</v>
      </c>
      <c r="D116" s="12">
        <f t="shared" si="86"/>
        <v>22.832987552808103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815.81085128483267</v>
      </c>
      <c r="H116" s="70">
        <f t="shared" si="56"/>
        <v>477.40065665447366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4.8</v>
      </c>
      <c r="N116" s="14">
        <f>IF('Données projet'!$A$36&gt;35,N115+M116-V115,IF(A116&lt;'Données projet'!$A$36,$K$205^A116,IF(A116='Données projet'!$A$36,'Données projet'!$B$36,N115+M116-V115)))</f>
        <v>321.39999999999992</v>
      </c>
      <c r="O116" s="14">
        <f>N116*VLOOKUP('Données projet'!$B$9,Paramètres!$A$1:$I$89,3,0)*VLOOKUP('Données projet'!$B$9,Paramètres!$A$1:$I$89,5,0)</f>
        <v>290.80271999999991</v>
      </c>
      <c r="P116" s="14">
        <f t="shared" si="87"/>
        <v>69.244880157128961</v>
      </c>
      <c r="Q116" s="22">
        <f t="shared" si="107"/>
        <v>627.08290360699937</v>
      </c>
      <c r="R116" s="62">
        <f t="shared" si="55"/>
        <v>920.41623694033274</v>
      </c>
      <c r="S116" s="62">
        <f ca="1">AVERAGE(OFFSET($R$3,0,0,'Données projet'!$E$9+1,1))-AVERAGE(OFFSET($H$3,0,0,'Données projet'!$E$9+1,1))</f>
        <v>312.57314929661908</v>
      </c>
      <c r="T116" s="62">
        <f t="shared" si="88"/>
        <v>190.92100876773804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71.240934826655604</v>
      </c>
      <c r="AA116" s="23">
        <f>EXP(-LN(2)/25)*AA115+(1-EXP(-LN(2)/25))/(LN(2)/25)*Calculateur!V116*Calculateur!X116*VLOOKUP('Données projet'!$B$9,Paramètres!$A$1:$I$89,3,0)*0.475*44/12</f>
        <v>3.0714662433835684</v>
      </c>
      <c r="AB116" s="23">
        <f>EXP(-LN(2)/2)*AB115+(1-EXP(-LN(2)/2))/(LN(2)/2)*V116*Y116*VLOOKUP('Données projet'!$B$9,Paramètres!$A$1:$I$89,3,0)*0.475*44/12</f>
        <v>0.55466338750298338</v>
      </c>
      <c r="AC116" s="24">
        <f t="shared" si="57"/>
        <v>74.867064457542156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4.8</v>
      </c>
      <c r="AI116" s="14">
        <f>IF('Données projet'!$A$62&gt;35,AI115+AH116-AQ115,IF(A116&lt;'Données projet'!$A$62,$AF$205^A116,IF(A116='Données projet'!$A$62,'Données projet'!$B$62,AI115+AH116-AQ115)))</f>
        <v>321.39999999999992</v>
      </c>
      <c r="AJ116" s="14">
        <f>AI116*VLOOKUP('Données projet'!$B$10,Paramètres!$A$1:$I$89,3,0)*VLOOKUP('Données projet'!$B$10,Paramètres!$A$1:$I$89,5,0)</f>
        <v>325.89959999999996</v>
      </c>
      <c r="AK116" s="14">
        <f t="shared" si="89"/>
        <v>76.579572003009503</v>
      </c>
      <c r="AL116" s="22">
        <f t="shared" si="58"/>
        <v>700.98455790524133</v>
      </c>
      <c r="AM116" s="62">
        <f t="shared" si="59"/>
        <v>994.3178912385747</v>
      </c>
      <c r="AN116" s="62">
        <f ca="1">AVERAGE(OFFSET($AM$3,0,0,'Données projet'!$E$10+1,1))-AVERAGE(OFFSET($H$3,0,0,'Données projet'!$E$10+1,1))</f>
        <v>360.56293184044779</v>
      </c>
      <c r="AO116" s="62">
        <f t="shared" si="90"/>
        <v>219.32252911220542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79.838978685045063</v>
      </c>
      <c r="AV116" s="23">
        <f>EXP(-LN(2)/25)*AV115+(1-EXP(-LN(2)/25))/(LN(2)/25)*Calculateur!AQ116*Calculateur!AS116*VLOOKUP('Données projet'!$B$10,Paramètres!$A$1:$I$89,3,0)*0.475*44/12</f>
        <v>3.442160445171242</v>
      </c>
      <c r="AW116" s="23">
        <f>EXP(-LN(2)/2)*AW115+(1-EXP(-LN(2)/2))/(LN(2)/2)*AQ116*AT116*VLOOKUP('Données projet'!$B$10,Paramètres!$A$1:$I$89,3,0)*0.475*44/12</f>
        <v>0.62160552047748141</v>
      </c>
      <c r="AX116" s="23">
        <f t="shared" si="60"/>
        <v>83.902744650693791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1.1368683772161603E-13</v>
      </c>
      <c r="BE116" s="14">
        <f>BD116*VLOOKUP('Données projet'!$B$11,Paramètres!$A$1:$I$89,3,0)*VLOOKUP('Données projet'!$B$11,Paramètres!$A$1:$I$89,5,0)</f>
        <v>8.3355189417488869E-14</v>
      </c>
      <c r="BF116" s="14">
        <f t="shared" si="91"/>
        <v>1.2790518435140618E-12</v>
      </c>
      <c r="BG116" s="22">
        <f t="shared" si="61"/>
        <v>2.3728589156891171E-12</v>
      </c>
      <c r="BH116" s="62">
        <f t="shared" si="62"/>
        <v>293.3333333333357</v>
      </c>
      <c r="BI116" s="62">
        <f ca="1">AVERAGE(OFFSET($BH$3,0,0,'Données projet'!$E$11+1,1))-AVERAGE(OFFSET($H$3,0,0,'Données projet'!$E$11+1,1))</f>
        <v>182.06733089745194</v>
      </c>
      <c r="BJ116" s="62">
        <f t="shared" si="92"/>
        <v>320.36755413886021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11.546641178217561</v>
      </c>
      <c r="BQ116" s="23">
        <f>EXP(-LN(2)/25)*BQ115+(1-EXP(-LN(2)/25))/(LN(2)/25)*Calculateur!BL116*Calculateur!BN116*VLOOKUP('Données projet'!$B$11,Paramètres!$A$1:$I$89,3,0)*0.475*44/12</f>
        <v>1.2723943531380439</v>
      </c>
      <c r="BR116" s="23">
        <f>EXP(-LN(2)/2)*BR115+(1-EXP(-LN(2)/2))/(LN(2)/2)*BL116*BO116*VLOOKUP('Données projet'!$B$11,Paramètres!$A$1:$I$89,3,0)*0.475*44/12</f>
        <v>2.3807417959166963E-10</v>
      </c>
      <c r="BS116" s="24">
        <f t="shared" si="63"/>
        <v>12.819035531593679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319.99999999999972</v>
      </c>
      <c r="BZ116" s="14">
        <f>BY116*VLOOKUP('Données projet'!$B$12,Paramètres!$A$1:$I$89,3,0)*VLOOKUP('Données projet'!$B$12,Paramètres!$A$1:$I$89,5,0)</f>
        <v>279.55199999999979</v>
      </c>
      <c r="CA116" s="14">
        <f t="shared" si="93"/>
        <v>66.872324781216591</v>
      </c>
      <c r="CB116" s="22">
        <f t="shared" si="64"/>
        <v>603.35569899395182</v>
      </c>
      <c r="CC116" s="62">
        <f t="shared" si="65"/>
        <v>896.68903232728508</v>
      </c>
      <c r="CD116" s="62">
        <f ca="1">AVERAGE(OFFSET($CC$3,0,0,'Données projet'!$E$12+1,1))-AVERAGE(OFFSET($H$3,0,0,'Données projet'!$E$12+1,1))</f>
        <v>248.60758320902863</v>
      </c>
      <c r="CE116" s="62">
        <f t="shared" si="94"/>
        <v>222.23585883330111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28.150015903486356</v>
      </c>
      <c r="CL116" s="23">
        <f>EXP(-LN(2)/25)*CL115+(1-EXP(-LN(2)/25))/(LN(2)/25)*Calculateur!CG116*Calculateur!CI116*VLOOKUP('Données projet'!$B$12,Paramètres!$A$1:$I$89,3,0)*0.475*44/12</f>
        <v>2.883443048690074</v>
      </c>
      <c r="CM116" s="23">
        <f>EXP(-LN(2)/2)*CM115+(1-EXP(-LN(2)/2))/(LN(2)/2)*CG116*CJ116*VLOOKUP('Données projet'!$B$12,Paramètres!$A$1:$I$89,3,0)*0.475*44/12</f>
        <v>2.0260838350692296E-5</v>
      </c>
      <c r="CN116" s="24">
        <f t="shared" si="66"/>
        <v>31.033479213014783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193.99999999999994</v>
      </c>
      <c r="CU116" s="18">
        <f>CT116*VLOOKUP('Données projet'!$B$13,Paramètres!$A$1:$I$89,3,0)*VLOOKUP('Données projet'!$B$13,Paramètres!$A$1:$I$89,5,0)</f>
        <v>105.92399999999998</v>
      </c>
      <c r="CV116" s="14">
        <f t="shared" si="95"/>
        <v>28.36854701055546</v>
      </c>
      <c r="CW116" s="22">
        <f t="shared" si="67"/>
        <v>233.89285271005073</v>
      </c>
      <c r="CX116" s="62">
        <f t="shared" si="68"/>
        <v>527.22618604338402</v>
      </c>
      <c r="CY116" s="62">
        <f ca="1">AVERAGE(OFFSET($CX$3,0,0,'Données projet'!$E$13+1,1))-AVERAGE(OFFSET($H$3,0,0,'Données projet'!$E$13+1,1))</f>
        <v>135.44138026609272</v>
      </c>
      <c r="CZ116" s="62">
        <f t="shared" si="96"/>
        <v>254.77247578425659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12.769966981113733</v>
      </c>
      <c r="DG116" s="23">
        <f>EXP(-LN(2)/25)*DG115+(1-EXP(-LN(2)/25))/(LN(2)/25)*Calculateur!DB116*Calculateur!DD116*VLOOKUP('Données projet'!$B$13,Paramètres!$A$1:$I$89,3,0)*0.475*44/12</f>
        <v>4.5297280450644681</v>
      </c>
      <c r="DH116" s="23">
        <f>EXP(-LN(2)/2)*DH115+(1-EXP(-LN(2)/2))/(LN(2)/2)*DB116*DE116*VLOOKUP('Données projet'!$B$13,Paramètres!$A$1:$I$89,3,0)*0.475*44/12</f>
        <v>2.7348771126051491E-11</v>
      </c>
      <c r="DI116" s="24">
        <f t="shared" si="69"/>
        <v>17.299695026205548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273.00000000000023</v>
      </c>
      <c r="DP116" s="18">
        <f>DO116*VLOOKUP('Données projet'!$B$14,Paramètres!$A$1:$I$89,3,0)*VLOOKUP('Données projet'!$B$14,Paramètres!$A$1:$I$89,5,0)</f>
        <v>264.04560000000021</v>
      </c>
      <c r="DQ116" s="14">
        <f t="shared" si="97"/>
        <v>63.583959929973794</v>
      </c>
      <c r="DR116" s="22">
        <f t="shared" si="70"/>
        <v>570.6214835447048</v>
      </c>
      <c r="DS116" s="62">
        <f t="shared" si="71"/>
        <v>863.95481687803817</v>
      </c>
      <c r="DT116" s="62">
        <f ca="1">AVERAGE(OFFSET($DS$3,0,0,'Données projet'!$E$14+1,1))-AVERAGE(OFFSET($H$3,0,0,'Données projet'!$E$14+1,1))</f>
        <v>271.09447278906288</v>
      </c>
      <c r="DU116" s="62">
        <f t="shared" si="98"/>
        <v>325.1094067861851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14.168850921999644</v>
      </c>
      <c r="EB116" s="23">
        <f>EXP(-LN(2)/25)*EB115+(1-EXP(-LN(2)/25))/(LN(2)/25)*Calculateur!DW116*Calculateur!DY116*VLOOKUP('Données projet'!$B$14,Paramètres!$A$1:$I$89,3,0)*0.475*44/12</f>
        <v>1.6923012308997389</v>
      </c>
      <c r="EC116" s="23">
        <f>EXP(-LN(2)/2)*EC115+(1-EXP(-LN(2)/2))/(LN(2)/2)*DW116*DZ116*VLOOKUP('Données projet'!$B$14,Paramètres!$A$1:$I$89,3,0)*0.475*44/12</f>
        <v>6.4208210401612171E-8</v>
      </c>
      <c r="ED116" s="24">
        <f t="shared" si="72"/>
        <v>15.861152217107593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273.00000000000023</v>
      </c>
      <c r="EK116" s="18">
        <f>EJ116*VLOOKUP('Données projet'!$B$15,Paramètres!$A$1:$I$89,3,0)*VLOOKUP('Données projet'!$B$15,Paramètres!$A$1:$I$89,5,0)</f>
        <v>293.85720000000026</v>
      </c>
      <c r="EL116" s="14">
        <f t="shared" si="99"/>
        <v>69.887150190339895</v>
      </c>
      <c r="EM116" s="22">
        <f t="shared" si="73"/>
        <v>633.52140991484237</v>
      </c>
      <c r="EN116" s="62">
        <f t="shared" si="74"/>
        <v>926.85474324817574</v>
      </c>
      <c r="EO116" s="62">
        <f ca="1">AVERAGE(OFFSET($EN$3,0,0,'Données projet'!$E$15+1,1))-AVERAGE(OFFSET($H$3,0,0,'Données projet'!$E$15+1,1))</f>
        <v>306.50593475734655</v>
      </c>
      <c r="EP116" s="62">
        <f t="shared" si="100"/>
        <v>366.48643801375079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15.768559897064128</v>
      </c>
      <c r="EW116" s="23">
        <f>EXP(-LN(2)/25)*EW115+(1-EXP(-LN(2)/25))/(LN(2)/25)*Calculateur!ER116*Calculateur!ET116*VLOOKUP('Données projet'!$B$15,Paramètres!$A$1:$I$89,3,0)*0.475*44/12</f>
        <v>1.883367498904547</v>
      </c>
      <c r="EX116" s="23">
        <f>EXP(-LN(2)/2)*EX115+(1-EXP(-LN(2)/2))/(LN(2)/2)*ER116*EU116*VLOOKUP('Données projet'!$B$15,Paramètres!$A$1:$I$89,3,0)*0.475*44/12</f>
        <v>7.1457524479213506E-8</v>
      </c>
      <c r="EY116" s="24">
        <f t="shared" si="75"/>
        <v>17.651927467426198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83.58479999999976</v>
      </c>
      <c r="D117" s="12">
        <f t="shared" si="86"/>
        <v>23.011437736237557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822.84815094639328</v>
      </c>
      <c r="H117" s="70">
        <f t="shared" si="56"/>
        <v>478.98844739061326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4.8</v>
      </c>
      <c r="N117" s="14">
        <f>IF('Données projet'!$A$36&gt;35,N116+M117-V116,IF(A117&lt;'Données projet'!$A$36,$K$205^A117,IF(A117='Données projet'!$A$36,'Données projet'!$B$36,N116+M117-V116)))</f>
        <v>326.19999999999993</v>
      </c>
      <c r="O117" s="14">
        <f>N117*VLOOKUP('Données projet'!$B$9,Paramètres!$A$1:$I$89,3,0)*VLOOKUP('Données projet'!$B$9,Paramètres!$A$1:$I$89,5,0)</f>
        <v>295.14575999999994</v>
      </c>
      <c r="P117" s="14">
        <f t="shared" si="87"/>
        <v>70.157864167878188</v>
      </c>
      <c r="Q117" s="22">
        <f t="shared" si="107"/>
        <v>636.237145425721</v>
      </c>
      <c r="R117" s="62">
        <f t="shared" si="55"/>
        <v>929.57047875905437</v>
      </c>
      <c r="S117" s="62">
        <f ca="1">AVERAGE(OFFSET($R$3,0,0,'Données projet'!$E$9+1,1))-AVERAGE(OFFSET($H$3,0,0,'Données projet'!$E$9+1,1))</f>
        <v>312.57314929661908</v>
      </c>
      <c r="T117" s="62">
        <f t="shared" si="88"/>
        <v>190.92100876773804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69.843943547384541</v>
      </c>
      <c r="AA117" s="23">
        <f>EXP(-LN(2)/25)*AA116+(1-EXP(-LN(2)/25))/(LN(2)/25)*Calculateur!V117*Calculateur!X117*VLOOKUP('Données projet'!$B$9,Paramètres!$A$1:$I$89,3,0)*0.475*44/12</f>
        <v>2.987476837436855</v>
      </c>
      <c r="AB117" s="23">
        <f>EXP(-LN(2)/2)*AB116+(1-EXP(-LN(2)/2))/(LN(2)/2)*V117*Y117*VLOOKUP('Données projet'!$B$9,Paramètres!$A$1:$I$89,3,0)*0.475*44/12</f>
        <v>0.39220624257926134</v>
      </c>
      <c r="AC117" s="24">
        <f t="shared" si="57"/>
        <v>73.223626627400662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4.8</v>
      </c>
      <c r="AI117" s="14">
        <f>IF('Données projet'!$A$62&gt;35,AI116+AH117-AQ116,IF(A117&lt;'Données projet'!$A$62,$AF$205^A117,IF(A117='Données projet'!$A$62,'Données projet'!$B$62,AI116+AH117-AQ116)))</f>
        <v>326.19999999999993</v>
      </c>
      <c r="AJ117" s="14">
        <f>AI117*VLOOKUP('Données projet'!$B$10,Paramètres!$A$1:$I$89,3,0)*VLOOKUP('Données projet'!$B$10,Paramètres!$A$1:$I$89,5,0)</f>
        <v>330.76679999999999</v>
      </c>
      <c r="AK117" s="14">
        <f t="shared" si="89"/>
        <v>77.589262894669872</v>
      </c>
      <c r="AL117" s="22">
        <f t="shared" si="58"/>
        <v>711.22014287488344</v>
      </c>
      <c r="AM117" s="62">
        <f t="shared" si="59"/>
        <v>1004.5534762082168</v>
      </c>
      <c r="AN117" s="62">
        <f ca="1">AVERAGE(OFFSET($AM$3,0,0,'Données projet'!$E$10+1,1))-AVERAGE(OFFSET($H$3,0,0,'Données projet'!$E$10+1,1))</f>
        <v>360.56293184044779</v>
      </c>
      <c r="AO117" s="62">
        <f t="shared" si="90"/>
        <v>219.32252911220542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78.273385009999899</v>
      </c>
      <c r="AV117" s="23">
        <f>EXP(-LN(2)/25)*AV116+(1-EXP(-LN(2)/25))/(LN(2)/25)*Calculateur!AQ117*Calculateur!AS117*VLOOKUP('Données projet'!$B$10,Paramètres!$A$1:$I$89,3,0)*0.475*44/12</f>
        <v>3.3480343867826838</v>
      </c>
      <c r="AW117" s="23">
        <f>EXP(-LN(2)/2)*AW116+(1-EXP(-LN(2)/2))/(LN(2)/2)*AQ117*AT117*VLOOKUP('Données projet'!$B$10,Paramètres!$A$1:$I$89,3,0)*0.475*44/12</f>
        <v>0.43954147875262045</v>
      </c>
      <c r="AX117" s="23">
        <f t="shared" si="60"/>
        <v>82.060960875535201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1.1368683772161603E-13</v>
      </c>
      <c r="BE117" s="14">
        <f>BD117*VLOOKUP('Données projet'!$B$11,Paramètres!$A$1:$I$89,3,0)*VLOOKUP('Données projet'!$B$11,Paramètres!$A$1:$I$89,5,0)</f>
        <v>8.3355189417488869E-14</v>
      </c>
      <c r="BF117" s="14">
        <f t="shared" si="91"/>
        <v>1.2790518435140618E-12</v>
      </c>
      <c r="BG117" s="22">
        <f t="shared" si="61"/>
        <v>2.3728589156891171E-12</v>
      </c>
      <c r="BH117" s="62">
        <f t="shared" si="62"/>
        <v>293.3333333333357</v>
      </c>
      <c r="BI117" s="62">
        <f ca="1">AVERAGE(OFFSET($BH$3,0,0,'Données projet'!$E$11+1,1))-AVERAGE(OFFSET($H$3,0,0,'Données projet'!$E$11+1,1))</f>
        <v>182.06733089745194</v>
      </c>
      <c r="BJ117" s="62">
        <f t="shared" si="92"/>
        <v>320.36755413886021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11.320218587468419</v>
      </c>
      <c r="BQ117" s="23">
        <f>EXP(-LN(2)/25)*BQ116+(1-EXP(-LN(2)/25))/(LN(2)/25)*Calculateur!BL117*Calculateur!BN117*VLOOKUP('Données projet'!$B$11,Paramètres!$A$1:$I$89,3,0)*0.475*44/12</f>
        <v>1.2376006626391731</v>
      </c>
      <c r="BR117" s="23">
        <f>EXP(-LN(2)/2)*BR116+(1-EXP(-LN(2)/2))/(LN(2)/2)*BL117*BO117*VLOOKUP('Données projet'!$B$11,Paramètres!$A$1:$I$89,3,0)*0.475*44/12</f>
        <v>1.6834386681469355E-10</v>
      </c>
      <c r="BS117" s="24">
        <f t="shared" si="63"/>
        <v>12.557819250275935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319.99999999999972</v>
      </c>
      <c r="BZ117" s="14">
        <f>BY117*VLOOKUP('Données projet'!$B$12,Paramètres!$A$1:$I$89,3,0)*VLOOKUP('Données projet'!$B$12,Paramètres!$A$1:$I$89,5,0)</f>
        <v>279.55199999999979</v>
      </c>
      <c r="CA117" s="14">
        <f t="shared" si="93"/>
        <v>66.872324781216591</v>
      </c>
      <c r="CB117" s="22">
        <f t="shared" si="64"/>
        <v>603.35569899395182</v>
      </c>
      <c r="CC117" s="62">
        <f t="shared" si="65"/>
        <v>896.68903232728508</v>
      </c>
      <c r="CD117" s="62">
        <f ca="1">AVERAGE(OFFSET($CC$3,0,0,'Données projet'!$E$12+1,1))-AVERAGE(OFFSET($H$3,0,0,'Données projet'!$E$12+1,1))</f>
        <v>248.60758320902863</v>
      </c>
      <c r="CE117" s="62">
        <f t="shared" si="94"/>
        <v>222.23585883330111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27.59801126143331</v>
      </c>
      <c r="CL117" s="23">
        <f>EXP(-LN(2)/25)*CL116+(1-EXP(-LN(2)/25))/(LN(2)/25)*Calculateur!CG117*Calculateur!CI117*VLOOKUP('Données projet'!$B$12,Paramètres!$A$1:$I$89,3,0)*0.475*44/12</f>
        <v>2.8045951468899641</v>
      </c>
      <c r="CM117" s="23">
        <f>EXP(-LN(2)/2)*CM116+(1-EXP(-LN(2)/2))/(LN(2)/2)*CG117*CJ117*VLOOKUP('Données projet'!$B$12,Paramètres!$A$1:$I$89,3,0)*0.475*44/12</f>
        <v>1.4326576190298988E-5</v>
      </c>
      <c r="CN117" s="24">
        <f t="shared" si="66"/>
        <v>30.402620734899465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193.99999999999994</v>
      </c>
      <c r="CU117" s="18">
        <f>CT117*VLOOKUP('Données projet'!$B$13,Paramètres!$A$1:$I$89,3,0)*VLOOKUP('Données projet'!$B$13,Paramètres!$A$1:$I$89,5,0)</f>
        <v>105.92399999999998</v>
      </c>
      <c r="CV117" s="14">
        <f t="shared" si="95"/>
        <v>28.36854701055546</v>
      </c>
      <c r="CW117" s="22">
        <f t="shared" si="67"/>
        <v>233.89285271005073</v>
      </c>
      <c r="CX117" s="62">
        <f t="shared" si="68"/>
        <v>527.22618604338402</v>
      </c>
      <c r="CY117" s="62">
        <f ca="1">AVERAGE(OFFSET($CX$3,0,0,'Données projet'!$E$13+1,1))-AVERAGE(OFFSET($H$3,0,0,'Données projet'!$E$13+1,1))</f>
        <v>135.44138026609272</v>
      </c>
      <c r="CZ117" s="62">
        <f t="shared" si="96"/>
        <v>254.77247578425659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12.51955571752486</v>
      </c>
      <c r="DG117" s="23">
        <f>EXP(-LN(2)/25)*DG116+(1-EXP(-LN(2)/25))/(LN(2)/25)*Calculateur!DB117*Calculateur!DD117*VLOOKUP('Données projet'!$B$13,Paramètres!$A$1:$I$89,3,0)*0.475*44/12</f>
        <v>4.405862393464135</v>
      </c>
      <c r="DH117" s="23">
        <f>EXP(-LN(2)/2)*DH116+(1-EXP(-LN(2)/2))/(LN(2)/2)*DB117*DE117*VLOOKUP('Données projet'!$B$13,Paramètres!$A$1:$I$89,3,0)*0.475*44/12</f>
        <v>1.933850152034986E-11</v>
      </c>
      <c r="DI117" s="24">
        <f t="shared" si="69"/>
        <v>16.92541811100833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273.00000000000023</v>
      </c>
      <c r="DP117" s="18">
        <f>DO117*VLOOKUP('Données projet'!$B$14,Paramètres!$A$1:$I$89,3,0)*VLOOKUP('Données projet'!$B$14,Paramètres!$A$1:$I$89,5,0)</f>
        <v>264.04560000000021</v>
      </c>
      <c r="DQ117" s="14">
        <f t="shared" si="97"/>
        <v>63.583959929973794</v>
      </c>
      <c r="DR117" s="22">
        <f t="shared" si="70"/>
        <v>570.6214835447048</v>
      </c>
      <c r="DS117" s="62">
        <f t="shared" si="71"/>
        <v>863.95481687803817</v>
      </c>
      <c r="DT117" s="62">
        <f ca="1">AVERAGE(OFFSET($DS$3,0,0,'Données projet'!$E$14+1,1))-AVERAGE(OFFSET($H$3,0,0,'Données projet'!$E$14+1,1))</f>
        <v>271.09447278906288</v>
      </c>
      <c r="DU117" s="62">
        <f t="shared" si="98"/>
        <v>325.1094067861851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13.891008397564953</v>
      </c>
      <c r="EB117" s="23">
        <f>EXP(-LN(2)/25)*EB116+(1-EXP(-LN(2)/25))/(LN(2)/25)*Calculateur!DW117*Calculateur!DY117*VLOOKUP('Données projet'!$B$14,Paramètres!$A$1:$I$89,3,0)*0.475*44/12</f>
        <v>1.6460251647465316</v>
      </c>
      <c r="EC117" s="23">
        <f>EXP(-LN(2)/2)*EC116+(1-EXP(-LN(2)/2))/(LN(2)/2)*DW117*DZ117*VLOOKUP('Données projet'!$B$14,Paramètres!$A$1:$I$89,3,0)*0.475*44/12</f>
        <v>4.5402060982832582E-8</v>
      </c>
      <c r="ED117" s="24">
        <f t="shared" si="72"/>
        <v>15.537033607713544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273.00000000000023</v>
      </c>
      <c r="EK117" s="18">
        <f>EJ117*VLOOKUP('Données projet'!$B$15,Paramètres!$A$1:$I$89,3,0)*VLOOKUP('Données projet'!$B$15,Paramètres!$A$1:$I$89,5,0)</f>
        <v>293.85720000000026</v>
      </c>
      <c r="EL117" s="14">
        <f t="shared" si="99"/>
        <v>69.887150190339895</v>
      </c>
      <c r="EM117" s="22">
        <f t="shared" si="73"/>
        <v>633.52140991484237</v>
      </c>
      <c r="EN117" s="62">
        <f t="shared" si="74"/>
        <v>926.85474324817574</v>
      </c>
      <c r="EO117" s="62">
        <f ca="1">AVERAGE(OFFSET($EN$3,0,0,'Données projet'!$E$15+1,1))-AVERAGE(OFFSET($H$3,0,0,'Données projet'!$E$15+1,1))</f>
        <v>306.50593475734655</v>
      </c>
      <c r="EP117" s="62">
        <f t="shared" si="100"/>
        <v>366.48643801375079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15.459348055354551</v>
      </c>
      <c r="EW117" s="23">
        <f>EXP(-LN(2)/25)*EW116+(1-EXP(-LN(2)/25))/(LN(2)/25)*Calculateur!ER117*Calculateur!ET117*VLOOKUP('Données projet'!$B$15,Paramètres!$A$1:$I$89,3,0)*0.475*44/12</f>
        <v>1.8318667156050099</v>
      </c>
      <c r="EX117" s="23">
        <f>EXP(-LN(2)/2)*EX116+(1-EXP(-LN(2)/2))/(LN(2)/2)*ER117*EU117*VLOOKUP('Données projet'!$B$15,Paramètres!$A$1:$I$89,3,0)*0.475*44/12</f>
        <v>5.0528100126055588E-8</v>
      </c>
      <c r="EY117" s="24">
        <f t="shared" si="75"/>
        <v>17.291214821487664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84.317999999999756</v>
      </c>
      <c r="D118" s="12">
        <f t="shared" si="86"/>
        <v>23.189705803157189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829.88404479629924</v>
      </c>
      <c r="H118" s="70">
        <f t="shared" si="56"/>
        <v>480.57592094049829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>
        <f>VLOOKUP(A118,'Données projet'!$A$35:$I$55,2,0)</f>
        <v>331</v>
      </c>
      <c r="L118" s="13">
        <f>VLOOKUP(A118,'Données projet'!$A$35:$I$55,9,0)</f>
        <v>4.8</v>
      </c>
      <c r="M118" s="13">
        <f t="array" ref="M118">INDEX(L:L,MIN(IF(ISNUMBER(L118:L314),ROW(L118:L314),"")))</f>
        <v>4.8</v>
      </c>
      <c r="N118" s="14">
        <f>IF('Données projet'!$A$36&gt;35,N117+M118-V117,IF(A118&lt;'Données projet'!$A$36,$K$205^A118,IF(A118='Données projet'!$A$36,'Données projet'!$B$36,N117+M118-V117)))</f>
        <v>330.99999999999994</v>
      </c>
      <c r="O118" s="14">
        <f>N118*VLOOKUP('Données projet'!$B$9,Paramètres!$A$1:$I$89,3,0)*VLOOKUP('Données projet'!$B$9,Paramètres!$A$1:$I$89,5,0)</f>
        <v>299.48879999999997</v>
      </c>
      <c r="P118" s="14">
        <f t="shared" si="87"/>
        <v>71.069285685467293</v>
      </c>
      <c r="Q118" s="22">
        <f t="shared" si="107"/>
        <v>645.38866590218879</v>
      </c>
      <c r="R118" s="62">
        <f t="shared" si="55"/>
        <v>938.72199923552216</v>
      </c>
      <c r="S118" s="62">
        <f ca="1">AVERAGE(OFFSET($R$3,0,0,'Données projet'!$E$9+1,1))-AVERAGE(OFFSET($H$3,0,0,'Données projet'!$E$9+1,1))</f>
        <v>312.57314929661908</v>
      </c>
      <c r="T118" s="62">
        <f t="shared" si="88"/>
        <v>190.92100876773804</v>
      </c>
      <c r="U118" s="16">
        <f>IF(ISNA(VLOOKUP(A118,'Données projet'!$A$35:$I$55,3,0)),0,VLOOKUP(A118,'Données projet'!$A$35:$I$55,3,0))</f>
        <v>20</v>
      </c>
      <c r="V118" s="16">
        <f>IF(ISNA(VLOOKUP(A118,'Données projet'!$A$35:$I$55,4,0)),0,VLOOKUP(A118,'Données projet'!$A$35:$I$55,4,0))</f>
        <v>24</v>
      </c>
      <c r="W118" s="17">
        <f>IF(ISNA(VLOOKUP(A118,'Données projet'!$A$35:$I$55,5,0)),0%,VLOOKUP(A118,'Données projet'!$A$35:$I$55,5,0)*VLOOKUP('Données projet'!$B$9,Paramètres!$A$1:$I$89,7,0))</f>
        <v>0.34400000000000003</v>
      </c>
      <c r="X118" s="17">
        <f>IF(ISNA(VLOOKUP(A118,'Données projet'!$A$35:$I$55,6,0)),0%,VLOOKUP(A118,'Données projet'!$A$35:$I$55,6,0)*VLOOKUP('Données projet'!$B$9,Paramètres!$A$1:$I$89,7,0))</f>
        <v>1.72E-2</v>
      </c>
      <c r="Y118" s="17">
        <f>IF(ISNA(VLOOKUP(A118,'Données projet'!$A$35:$I$55,7,0)),0%,VLOOKUP(A118,'Données projet'!$A$35:$I$55,7,0))</f>
        <v>0.06</v>
      </c>
      <c r="Z118" s="23">
        <f>EXP(-LN(2)/35)*Z117+(1-EXP(-LN(2)/35))/(LN(2)/35)*V118*W118*VLOOKUP('Données projet'!$B$9,Paramètres!$A$1:$I$89,3,0)*0.475*44/12</f>
        <v>76.732241987677511</v>
      </c>
      <c r="AA118" s="23">
        <f>EXP(-LN(2)/25)*AA117+(1-EXP(-LN(2)/25))/(LN(2)/25)*Calculateur!V118*Calculateur!X118*VLOOKUP('Données projet'!$B$9,Paramètres!$A$1:$I$89,3,0)*0.475*44/12</f>
        <v>3.3170531807767465</v>
      </c>
      <c r="AB118" s="23">
        <f>EXP(-LN(2)/2)*AB117+(1-EXP(-LN(2)/2))/(LN(2)/2)*V118*Y118*VLOOKUP('Données projet'!$B$9,Paramètres!$A$1:$I$89,3,0)*0.475*44/12</f>
        <v>1.5066642331138271</v>
      </c>
      <c r="AC118" s="24">
        <f t="shared" si="57"/>
        <v>81.555959401568089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331</v>
      </c>
      <c r="AG118" s="13">
        <f>VLOOKUP(A118,'Données projet'!$A$61:$I$81,9,0)</f>
        <v>4.8</v>
      </c>
      <c r="AH118" s="13">
        <f t="array" ref="AH118">INDEX(AG:AG,MIN(IF(ISNUMBER(AG118:AG314),ROW(AG118:AG314),"")))</f>
        <v>4.8</v>
      </c>
      <c r="AI118" s="14">
        <f>IF('Données projet'!$A$62&gt;35,AI117+AH118-AQ117,IF(A118&lt;'Données projet'!$A$62,$AF$205^A118,IF(A118='Données projet'!$A$62,'Données projet'!$B$62,AI117+AH118-AQ117)))</f>
        <v>330.99999999999994</v>
      </c>
      <c r="AJ118" s="14">
        <f>AI118*VLOOKUP('Données projet'!$B$10,Paramètres!$A$1:$I$89,3,0)*VLOOKUP('Données projet'!$B$10,Paramètres!$A$1:$I$89,5,0)</f>
        <v>335.63399999999996</v>
      </c>
      <c r="AK118" s="14">
        <f t="shared" si="89"/>
        <v>78.597225787708638</v>
      </c>
      <c r="AL118" s="22">
        <f t="shared" si="58"/>
        <v>721.45271824692588</v>
      </c>
      <c r="AM118" s="62">
        <f t="shared" si="59"/>
        <v>1014.7860515802593</v>
      </c>
      <c r="AN118" s="62">
        <f ca="1">AVERAGE(OFFSET($AM$3,0,0,'Données projet'!$E$10+1,1))-AVERAGE(OFFSET($H$3,0,0,'Données projet'!$E$10+1,1))</f>
        <v>360.56293184044779</v>
      </c>
      <c r="AO118" s="62">
        <f t="shared" si="90"/>
        <v>219.32252911220542</v>
      </c>
      <c r="AP118" s="16">
        <f>IF(ISNA(VLOOKUP(A118,'Données projet'!$A$61:$I$81,3,0)),0,VLOOKUP(A118,'Données projet'!$A$61:$I$81,3,0))</f>
        <v>20</v>
      </c>
      <c r="AQ118" s="16">
        <f>IF(ISNA(VLOOKUP(A118,'Données projet'!$A$61:$I$81,4,0)),0,VLOOKUP(A118,'Données projet'!$A$61:$I$81,4,0))</f>
        <v>24</v>
      </c>
      <c r="AR118" s="17">
        <f>IF(ISNA(VLOOKUP(A118,'Données projet'!$A$61:$I$81,5,0)),0%,VLOOKUP(A118,'Données projet'!$A$61:$I$81,5,0)*VLOOKUP('Données projet'!$B$10,Paramètres!$A$1:$I$89,7,0))</f>
        <v>0.34400000000000003</v>
      </c>
      <c r="AS118" s="17">
        <f>IF(ISNA(VLOOKUP(A118,'Données projet'!$A$61:$I$81,6,0)),0%,VLOOKUP(A118,'Données projet'!$A$61:$I$81,6,0)*VLOOKUP('Données projet'!$B$10,Paramètres!$A$1:$I$89,7,0))</f>
        <v>1.72E-2</v>
      </c>
      <c r="AT118" s="17">
        <f>IF(ISNA(VLOOKUP(A118,'Données projet'!$A$61:$I$81,7,0)),0%,VLOOKUP(A118,'Données projet'!$A$61:$I$81,7,0))</f>
        <v>0.06</v>
      </c>
      <c r="AU118" s="23">
        <f>EXP(-LN(2)/35)*AU117+(1-EXP(-LN(2)/35))/(LN(2)/35)*AQ118*AR118*VLOOKUP('Données projet'!$B$10,Paramètres!$A$1:$I$89,3,0)*0.475*44/12</f>
        <v>85.993029813776488</v>
      </c>
      <c r="AV118" s="23">
        <f>EXP(-LN(2)/25)*AV117+(1-EXP(-LN(2)/25))/(LN(2)/25)*Calculateur!AQ118*Calculateur!AS118*VLOOKUP('Données projet'!$B$10,Paramètres!$A$1:$I$89,3,0)*0.475*44/12</f>
        <v>3.7173871853532514</v>
      </c>
      <c r="AW118" s="23">
        <f>EXP(-LN(2)/2)*AW117+(1-EXP(-LN(2)/2))/(LN(2)/2)*AQ118*AT118*VLOOKUP('Données projet'!$B$10,Paramètres!$A$1:$I$89,3,0)*0.475*44/12</f>
        <v>1.6885030198689441</v>
      </c>
      <c r="AX118" s="23">
        <f t="shared" si="60"/>
        <v>91.39892001899868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1.1368683772161603E-13</v>
      </c>
      <c r="BE118" s="14">
        <f>BD118*VLOOKUP('Données projet'!$B$11,Paramètres!$A$1:$I$89,3,0)*VLOOKUP('Données projet'!$B$11,Paramètres!$A$1:$I$89,5,0)</f>
        <v>8.3355189417488869E-14</v>
      </c>
      <c r="BF118" s="14">
        <f t="shared" si="91"/>
        <v>1.2790518435140618E-12</v>
      </c>
      <c r="BG118" s="22">
        <f t="shared" si="61"/>
        <v>2.3728589156891171E-12</v>
      </c>
      <c r="BH118" s="62">
        <f t="shared" si="62"/>
        <v>293.3333333333357</v>
      </c>
      <c r="BI118" s="62">
        <f ca="1">AVERAGE(OFFSET($BH$3,0,0,'Données projet'!$E$11+1,1))-AVERAGE(OFFSET($H$3,0,0,'Données projet'!$E$11+1,1))</f>
        <v>182.06733089745194</v>
      </c>
      <c r="BJ118" s="62">
        <f t="shared" si="92"/>
        <v>320.36755413886021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11.098236005619725</v>
      </c>
      <c r="BQ118" s="23">
        <f>EXP(-LN(2)/25)*BQ117+(1-EXP(-LN(2)/25))/(LN(2)/25)*Calculateur!BL118*Calculateur!BN118*VLOOKUP('Données projet'!$B$11,Paramètres!$A$1:$I$89,3,0)*0.475*44/12</f>
        <v>1.2037584074367147</v>
      </c>
      <c r="BR118" s="23">
        <f>EXP(-LN(2)/2)*BR117+(1-EXP(-LN(2)/2))/(LN(2)/2)*BL118*BO118*VLOOKUP('Données projet'!$B$11,Paramètres!$A$1:$I$89,3,0)*0.475*44/12</f>
        <v>1.1903708979583481E-10</v>
      </c>
      <c r="BS118" s="24">
        <f t="shared" si="63"/>
        <v>12.301994413175477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319.99999999999972</v>
      </c>
      <c r="BZ118" s="14">
        <f>BY118*VLOOKUP('Données projet'!$B$12,Paramètres!$A$1:$I$89,3,0)*VLOOKUP('Données projet'!$B$12,Paramètres!$A$1:$I$89,5,0)</f>
        <v>279.55199999999979</v>
      </c>
      <c r="CA118" s="14">
        <f t="shared" si="93"/>
        <v>66.872324781216591</v>
      </c>
      <c r="CB118" s="22">
        <f t="shared" si="64"/>
        <v>603.35569899395182</v>
      </c>
      <c r="CC118" s="62">
        <f t="shared" si="65"/>
        <v>896.68903232728508</v>
      </c>
      <c r="CD118" s="62">
        <f ca="1">AVERAGE(OFFSET($CC$3,0,0,'Données projet'!$E$12+1,1))-AVERAGE(OFFSET($H$3,0,0,'Données projet'!$E$12+1,1))</f>
        <v>248.60758320902863</v>
      </c>
      <c r="CE118" s="62">
        <f t="shared" si="94"/>
        <v>222.23585883330111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27.056831093721339</v>
      </c>
      <c r="CL118" s="23">
        <f>EXP(-LN(2)/25)*CL117+(1-EXP(-LN(2)/25))/(LN(2)/25)*Calculateur!CG118*Calculateur!CI118*VLOOKUP('Données projet'!$B$12,Paramètres!$A$1:$I$89,3,0)*0.475*44/12</f>
        <v>2.7279033451110091</v>
      </c>
      <c r="CM118" s="23">
        <f>EXP(-LN(2)/2)*CM117+(1-EXP(-LN(2)/2))/(LN(2)/2)*CG118*CJ118*VLOOKUP('Données projet'!$B$12,Paramètres!$A$1:$I$89,3,0)*0.475*44/12</f>
        <v>1.0130419175346148E-5</v>
      </c>
      <c r="CN118" s="24">
        <f t="shared" si="66"/>
        <v>29.784744569251522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193.99999999999994</v>
      </c>
      <c r="CU118" s="18">
        <f>CT118*VLOOKUP('Données projet'!$B$13,Paramètres!$A$1:$I$89,3,0)*VLOOKUP('Données projet'!$B$13,Paramètres!$A$1:$I$89,5,0)</f>
        <v>105.92399999999998</v>
      </c>
      <c r="CV118" s="14">
        <f t="shared" si="95"/>
        <v>28.36854701055546</v>
      </c>
      <c r="CW118" s="22">
        <f t="shared" si="67"/>
        <v>233.89285271005073</v>
      </c>
      <c r="CX118" s="62">
        <f t="shared" si="68"/>
        <v>527.22618604338402</v>
      </c>
      <c r="CY118" s="62">
        <f ca="1">AVERAGE(OFFSET($CX$3,0,0,'Données projet'!$E$13+1,1))-AVERAGE(OFFSET($H$3,0,0,'Données projet'!$E$13+1,1))</f>
        <v>135.44138026609272</v>
      </c>
      <c r="CZ118" s="62">
        <f t="shared" si="96"/>
        <v>254.77247578425659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12.274054866079174</v>
      </c>
      <c r="DG118" s="23">
        <f>EXP(-LN(2)/25)*DG117+(1-EXP(-LN(2)/25))/(LN(2)/25)*Calculateur!DB118*Calculateur!DD118*VLOOKUP('Données projet'!$B$13,Paramètres!$A$1:$I$89,3,0)*0.475*44/12</f>
        <v>4.2853838546206244</v>
      </c>
      <c r="DH118" s="23">
        <f>EXP(-LN(2)/2)*DH117+(1-EXP(-LN(2)/2))/(LN(2)/2)*DB118*DE118*VLOOKUP('Données projet'!$B$13,Paramètres!$A$1:$I$89,3,0)*0.475*44/12</f>
        <v>1.3674385563025745E-11</v>
      </c>
      <c r="DI118" s="24">
        <f t="shared" si="69"/>
        <v>16.559438720713473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273.00000000000023</v>
      </c>
      <c r="DP118" s="18">
        <f>DO118*VLOOKUP('Données projet'!$B$14,Paramètres!$A$1:$I$89,3,0)*VLOOKUP('Données projet'!$B$14,Paramètres!$A$1:$I$89,5,0)</f>
        <v>264.04560000000021</v>
      </c>
      <c r="DQ118" s="14">
        <f t="shared" si="97"/>
        <v>63.583959929973794</v>
      </c>
      <c r="DR118" s="22">
        <f t="shared" si="70"/>
        <v>570.6214835447048</v>
      </c>
      <c r="DS118" s="62">
        <f t="shared" si="71"/>
        <v>863.95481687803817</v>
      </c>
      <c r="DT118" s="62">
        <f ca="1">AVERAGE(OFFSET($DS$3,0,0,'Données projet'!$E$14+1,1))-AVERAGE(OFFSET($H$3,0,0,'Données projet'!$E$14+1,1))</f>
        <v>271.09447278906288</v>
      </c>
      <c r="DU118" s="62">
        <f t="shared" si="98"/>
        <v>325.1094067861851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13.618614195567218</v>
      </c>
      <c r="EB118" s="23">
        <f>EXP(-LN(2)/25)*EB117+(1-EXP(-LN(2)/25))/(LN(2)/25)*Calculateur!DW118*Calculateur!DY118*VLOOKUP('Données projet'!$B$14,Paramètres!$A$1:$I$89,3,0)*0.475*44/12</f>
        <v>1.6010145200558363</v>
      </c>
      <c r="EC118" s="23">
        <f>EXP(-LN(2)/2)*EC117+(1-EXP(-LN(2)/2))/(LN(2)/2)*DW118*DZ118*VLOOKUP('Données projet'!$B$14,Paramètres!$A$1:$I$89,3,0)*0.475*44/12</f>
        <v>3.2104105200806085E-8</v>
      </c>
      <c r="ED118" s="24">
        <f t="shared" si="72"/>
        <v>15.21962874772716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273.00000000000023</v>
      </c>
      <c r="EK118" s="18">
        <f>EJ118*VLOOKUP('Données projet'!$B$15,Paramètres!$A$1:$I$89,3,0)*VLOOKUP('Données projet'!$B$15,Paramètres!$A$1:$I$89,5,0)</f>
        <v>293.85720000000026</v>
      </c>
      <c r="EL118" s="14">
        <f t="shared" si="99"/>
        <v>69.887150190339895</v>
      </c>
      <c r="EM118" s="22">
        <f t="shared" si="73"/>
        <v>633.52140991484237</v>
      </c>
      <c r="EN118" s="62">
        <f t="shared" si="74"/>
        <v>926.85474324817574</v>
      </c>
      <c r="EO118" s="62">
        <f ca="1">AVERAGE(OFFSET($EN$3,0,0,'Données projet'!$E$15+1,1))-AVERAGE(OFFSET($H$3,0,0,'Données projet'!$E$15+1,1))</f>
        <v>306.50593475734655</v>
      </c>
      <c r="EP118" s="62">
        <f t="shared" si="100"/>
        <v>366.48643801375079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15.1561996692603</v>
      </c>
      <c r="EW118" s="23">
        <f>EXP(-LN(2)/25)*EW117+(1-EXP(-LN(2)/25))/(LN(2)/25)*Calculateur!ER118*Calculateur!ET118*VLOOKUP('Données projet'!$B$15,Paramètres!$A$1:$I$89,3,0)*0.475*44/12</f>
        <v>1.7817742239331071</v>
      </c>
      <c r="EX118" s="23">
        <f>EXP(-LN(2)/2)*EX117+(1-EXP(-LN(2)/2))/(LN(2)/2)*ER118*EU118*VLOOKUP('Données projet'!$B$15,Paramètres!$A$1:$I$89,3,0)*0.475*44/12</f>
        <v>3.5728762239606753E-8</v>
      </c>
      <c r="EY118" s="24">
        <f t="shared" si="75"/>
        <v>16.937973928922172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85.051199999999753</v>
      </c>
      <c r="D119" s="12">
        <f t="shared" si="86"/>
        <v>23.367793520672667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836.91854647536604</v>
      </c>
      <c r="H119" s="70">
        <f t="shared" si="56"/>
        <v>482.16308038183774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306.99999999999994</v>
      </c>
      <c r="O119" s="14">
        <f>N119*VLOOKUP('Données projet'!$B$9,Paramètres!$A$1:$I$89,3,0)*VLOOKUP('Données projet'!$B$9,Paramètres!$A$1:$I$89,5,0)</f>
        <v>277.77359999999993</v>
      </c>
      <c r="P119" s="14">
        <f t="shared" si="87"/>
        <v>66.496288176842356</v>
      </c>
      <c r="Q119" s="22">
        <f t="shared" si="107"/>
        <v>599.60338857466706</v>
      </c>
      <c r="R119" s="62">
        <f t="shared" si="55"/>
        <v>892.93672190800044</v>
      </c>
      <c r="S119" s="62">
        <f ca="1">AVERAGE(OFFSET($R$3,0,0,'Données projet'!$E$9+1,1))-AVERAGE(OFFSET($H$3,0,0,'Données projet'!$E$9+1,1))</f>
        <v>312.57314929661908</v>
      </c>
      <c r="T119" s="62">
        <f t="shared" si="88"/>
        <v>190.92100876773804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75.227569524345455</v>
      </c>
      <c r="AA119" s="23">
        <f>EXP(-LN(2)/25)*AA118+(1-EXP(-LN(2)/25))/(LN(2)/25)*Calculateur!V119*Calculateur!X119*VLOOKUP('Données projet'!$B$9,Paramètres!$A$1:$I$89,3,0)*0.475*44/12</f>
        <v>3.2263481871121606</v>
      </c>
      <c r="AB119" s="23">
        <f>EXP(-LN(2)/2)*AB118+(1-EXP(-LN(2)/2))/(LN(2)/2)*V119*Y119*VLOOKUP('Données projet'!$B$9,Paramètres!$A$1:$I$89,3,0)*0.475*44/12</f>
        <v>1.0653724962060165</v>
      </c>
      <c r="AC119" s="24">
        <f t="shared" si="57"/>
        <v>79.51929020766363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306.99999999999994</v>
      </c>
      <c r="AJ119" s="14">
        <f>AI119*VLOOKUP('Données projet'!$B$10,Paramètres!$A$1:$I$89,3,0)*VLOOKUP('Données projet'!$B$10,Paramètres!$A$1:$I$89,5,0)</f>
        <v>311.298</v>
      </c>
      <c r="AK119" s="14">
        <f t="shared" si="89"/>
        <v>73.539838278528748</v>
      </c>
      <c r="AL119" s="22">
        <f t="shared" si="58"/>
        <v>670.25923500177089</v>
      </c>
      <c r="AM119" s="62">
        <f t="shared" si="59"/>
        <v>963.59256833510426</v>
      </c>
      <c r="AN119" s="62">
        <f ca="1">AVERAGE(OFFSET($AM$3,0,0,'Données projet'!$E$10+1,1))-AVERAGE(OFFSET($H$3,0,0,'Données projet'!$E$10+1,1))</f>
        <v>360.56293184044779</v>
      </c>
      <c r="AO119" s="62">
        <f t="shared" si="90"/>
        <v>219.32252911220542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84.306758949697453</v>
      </c>
      <c r="AV119" s="23">
        <f>EXP(-LN(2)/25)*AV118+(1-EXP(-LN(2)/25))/(LN(2)/25)*Calculateur!AQ119*Calculateur!AS119*VLOOKUP('Données projet'!$B$10,Paramètres!$A$1:$I$89,3,0)*0.475*44/12</f>
        <v>3.6157350372808708</v>
      </c>
      <c r="AW119" s="23">
        <f>EXP(-LN(2)/2)*AW118+(1-EXP(-LN(2)/2))/(LN(2)/2)*AQ119*AT119*VLOOKUP('Données projet'!$B$10,Paramètres!$A$1:$I$89,3,0)*0.475*44/12</f>
        <v>1.1939519354032944</v>
      </c>
      <c r="AX119" s="23">
        <f t="shared" si="60"/>
        <v>89.116445922381615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1.1368683772161603E-13</v>
      </c>
      <c r="BE119" s="14">
        <f>BD119*VLOOKUP('Données projet'!$B$11,Paramètres!$A$1:$I$89,3,0)*VLOOKUP('Données projet'!$B$11,Paramètres!$A$1:$I$89,5,0)</f>
        <v>8.3355189417488869E-14</v>
      </c>
      <c r="BF119" s="14">
        <f t="shared" si="91"/>
        <v>1.2790518435140618E-12</v>
      </c>
      <c r="BG119" s="22">
        <f t="shared" si="61"/>
        <v>2.3728589156891171E-12</v>
      </c>
      <c r="BH119" s="62">
        <f t="shared" si="62"/>
        <v>293.3333333333357</v>
      </c>
      <c r="BI119" s="62">
        <f ca="1">AVERAGE(OFFSET($BH$3,0,0,'Données projet'!$E$11+1,1))-AVERAGE(OFFSET($H$3,0,0,'Données projet'!$E$11+1,1))</f>
        <v>182.06733089745194</v>
      </c>
      <c r="BJ119" s="62">
        <f t="shared" si="92"/>
        <v>320.36755413886021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10.880606366805077</v>
      </c>
      <c r="BQ119" s="23">
        <f>EXP(-LN(2)/25)*BQ118+(1-EXP(-LN(2)/25))/(LN(2)/25)*Calculateur!BL119*Calculateur!BN119*VLOOKUP('Données projet'!$B$11,Paramètres!$A$1:$I$89,3,0)*0.475*44/12</f>
        <v>1.1708415704824544</v>
      </c>
      <c r="BR119" s="23">
        <f>EXP(-LN(2)/2)*BR118+(1-EXP(-LN(2)/2))/(LN(2)/2)*BL119*BO119*VLOOKUP('Données projet'!$B$11,Paramètres!$A$1:$I$89,3,0)*0.475*44/12</f>
        <v>8.4171933407346776E-11</v>
      </c>
      <c r="BS119" s="24">
        <f t="shared" si="63"/>
        <v>12.051447937371703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319.99999999999972</v>
      </c>
      <c r="BZ119" s="14">
        <f>BY119*VLOOKUP('Données projet'!$B$12,Paramètres!$A$1:$I$89,3,0)*VLOOKUP('Données projet'!$B$12,Paramètres!$A$1:$I$89,5,0)</f>
        <v>279.55199999999979</v>
      </c>
      <c r="CA119" s="14">
        <f t="shared" si="93"/>
        <v>66.872324781216591</v>
      </c>
      <c r="CB119" s="22">
        <f t="shared" si="64"/>
        <v>603.35569899395182</v>
      </c>
      <c r="CC119" s="62">
        <f t="shared" si="65"/>
        <v>896.68903232728508</v>
      </c>
      <c r="CD119" s="62">
        <f ca="1">AVERAGE(OFFSET($CC$3,0,0,'Données projet'!$E$12+1,1))-AVERAGE(OFFSET($H$3,0,0,'Données projet'!$E$12+1,1))</f>
        <v>248.60758320902863</v>
      </c>
      <c r="CE119" s="62">
        <f t="shared" si="94"/>
        <v>222.23585883330111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26.52626313901089</v>
      </c>
      <c r="CL119" s="23">
        <f>EXP(-LN(2)/25)*CL118+(1-EXP(-LN(2)/25))/(LN(2)/25)*Calculateur!CG119*Calculateur!CI119*VLOOKUP('Données projet'!$B$12,Paramètres!$A$1:$I$89,3,0)*0.475*44/12</f>
        <v>2.6533086846847462</v>
      </c>
      <c r="CM119" s="23">
        <f>EXP(-LN(2)/2)*CM118+(1-EXP(-LN(2)/2))/(LN(2)/2)*CG119*CJ119*VLOOKUP('Données projet'!$B$12,Paramètres!$A$1:$I$89,3,0)*0.475*44/12</f>
        <v>7.1632880951494939E-6</v>
      </c>
      <c r="CN119" s="24">
        <f t="shared" si="66"/>
        <v>29.179578986983731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193.99999999999994</v>
      </c>
      <c r="CU119" s="18">
        <f>CT119*VLOOKUP('Données projet'!$B$13,Paramètres!$A$1:$I$89,3,0)*VLOOKUP('Données projet'!$B$13,Paramètres!$A$1:$I$89,5,0)</f>
        <v>105.92399999999998</v>
      </c>
      <c r="CV119" s="14">
        <f t="shared" si="95"/>
        <v>28.36854701055546</v>
      </c>
      <c r="CW119" s="22">
        <f t="shared" si="67"/>
        <v>233.89285271005073</v>
      </c>
      <c r="CX119" s="62">
        <f t="shared" si="68"/>
        <v>527.22618604338402</v>
      </c>
      <c r="CY119" s="62">
        <f ca="1">AVERAGE(OFFSET($CX$3,0,0,'Données projet'!$E$13+1,1))-AVERAGE(OFFSET($H$3,0,0,'Données projet'!$E$13+1,1))</f>
        <v>135.44138026609272</v>
      </c>
      <c r="CZ119" s="62">
        <f t="shared" si="96"/>
        <v>254.77247578425659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12.033368136589607</v>
      </c>
      <c r="DG119" s="23">
        <f>EXP(-LN(2)/25)*DG118+(1-EXP(-LN(2)/25))/(LN(2)/25)*Calculateur!DB119*Calculateur!DD119*VLOOKUP('Données projet'!$B$13,Paramètres!$A$1:$I$89,3,0)*0.475*44/12</f>
        <v>4.1681998077574809</v>
      </c>
      <c r="DH119" s="23">
        <f>EXP(-LN(2)/2)*DH118+(1-EXP(-LN(2)/2))/(LN(2)/2)*DB119*DE119*VLOOKUP('Données projet'!$B$13,Paramètres!$A$1:$I$89,3,0)*0.475*44/12</f>
        <v>9.6692507601749301E-12</v>
      </c>
      <c r="DI119" s="24">
        <f t="shared" si="69"/>
        <v>16.201567944356757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273.00000000000023</v>
      </c>
      <c r="DP119" s="18">
        <f>DO119*VLOOKUP('Données projet'!$B$14,Paramètres!$A$1:$I$89,3,0)*VLOOKUP('Données projet'!$B$14,Paramètres!$A$1:$I$89,5,0)</f>
        <v>264.04560000000021</v>
      </c>
      <c r="DQ119" s="14">
        <f t="shared" si="97"/>
        <v>63.583959929973794</v>
      </c>
      <c r="DR119" s="22">
        <f t="shared" si="70"/>
        <v>570.6214835447048</v>
      </c>
      <c r="DS119" s="62">
        <f t="shared" si="71"/>
        <v>863.95481687803817</v>
      </c>
      <c r="DT119" s="62">
        <f ca="1">AVERAGE(OFFSET($DS$3,0,0,'Données projet'!$E$14+1,1))-AVERAGE(OFFSET($H$3,0,0,'Données projet'!$E$14+1,1))</f>
        <v>271.09447278906288</v>
      </c>
      <c r="DU119" s="62">
        <f t="shared" si="98"/>
        <v>325.1094067861851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13.351561477726602</v>
      </c>
      <c r="EB119" s="23">
        <f>EXP(-LN(2)/25)*EB118+(1-EXP(-LN(2)/25))/(LN(2)/25)*Calculateur!DW119*Calculateur!DY119*VLOOKUP('Données projet'!$B$14,Paramètres!$A$1:$I$89,3,0)*0.475*44/12</f>
        <v>1.5572346938112152</v>
      </c>
      <c r="EC119" s="23">
        <f>EXP(-LN(2)/2)*EC118+(1-EXP(-LN(2)/2))/(LN(2)/2)*DW119*DZ119*VLOOKUP('Données projet'!$B$14,Paramètres!$A$1:$I$89,3,0)*0.475*44/12</f>
        <v>2.2701030491416291E-8</v>
      </c>
      <c r="ED119" s="24">
        <f t="shared" si="72"/>
        <v>14.908796194238848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273.00000000000023</v>
      </c>
      <c r="EK119" s="18">
        <f>EJ119*VLOOKUP('Données projet'!$B$15,Paramètres!$A$1:$I$89,3,0)*VLOOKUP('Données projet'!$B$15,Paramètres!$A$1:$I$89,5,0)</f>
        <v>293.85720000000026</v>
      </c>
      <c r="EL119" s="14">
        <f t="shared" si="99"/>
        <v>69.887150190339895</v>
      </c>
      <c r="EM119" s="22">
        <f t="shared" si="73"/>
        <v>633.52140991484237</v>
      </c>
      <c r="EN119" s="62">
        <f t="shared" si="74"/>
        <v>926.85474324817574</v>
      </c>
      <c r="EO119" s="62">
        <f ca="1">AVERAGE(OFFSET($EN$3,0,0,'Données projet'!$E$15+1,1))-AVERAGE(OFFSET($H$3,0,0,'Données projet'!$E$15+1,1))</f>
        <v>306.50593475734655</v>
      </c>
      <c r="EP119" s="62">
        <f t="shared" si="100"/>
        <v>366.48643801375079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14.858995838115097</v>
      </c>
      <c r="EW119" s="23">
        <f>EXP(-LN(2)/25)*EW118+(1-EXP(-LN(2)/25))/(LN(2)/25)*Calculateur!ER119*Calculateur!ET119*VLOOKUP('Données projet'!$B$15,Paramètres!$A$1:$I$89,3,0)*0.475*44/12</f>
        <v>1.7330515140802223</v>
      </c>
      <c r="EX119" s="23">
        <f>EXP(-LN(2)/2)*EX118+(1-EXP(-LN(2)/2))/(LN(2)/2)*ER119*EU119*VLOOKUP('Données projet'!$B$15,Paramètres!$A$1:$I$89,3,0)*0.475*44/12</f>
        <v>2.5264050063027794E-8</v>
      </c>
      <c r="EY119" s="24">
        <f t="shared" si="75"/>
        <v>16.59204737745937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85.784399999999749</v>
      </c>
      <c r="D120" s="12">
        <f t="shared" si="86"/>
        <v>23.545702623664145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843.95166937565102</v>
      </c>
      <c r="H120" s="70">
        <f t="shared" si="56"/>
        <v>483.7499287362146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306.99999999999994</v>
      </c>
      <c r="O120" s="14">
        <f>N120*VLOOKUP('Données projet'!$B$9,Paramètres!$A$1:$I$89,3,0)*VLOOKUP('Données projet'!$B$9,Paramètres!$A$1:$I$89,5,0)</f>
        <v>277.77359999999993</v>
      </c>
      <c r="P120" s="14">
        <f t="shared" si="87"/>
        <v>66.496288176842356</v>
      </c>
      <c r="Q120" s="22">
        <f t="shared" si="107"/>
        <v>599.60338857466706</v>
      </c>
      <c r="R120" s="62">
        <f t="shared" si="55"/>
        <v>892.93672190800044</v>
      </c>
      <c r="S120" s="62">
        <f ca="1">AVERAGE(OFFSET($R$3,0,0,'Données projet'!$E$9+1,1))-AVERAGE(OFFSET($H$3,0,0,'Données projet'!$E$9+1,1))</f>
        <v>312.57314929661908</v>
      </c>
      <c r="T120" s="62">
        <f t="shared" si="88"/>
        <v>190.92100876773804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73.752402770259749</v>
      </c>
      <c r="AA120" s="23">
        <f>EXP(-LN(2)/25)*AA119+(1-EXP(-LN(2)/25))/(LN(2)/25)*Calculateur!V120*Calculateur!X120*VLOOKUP('Données projet'!$B$9,Paramètres!$A$1:$I$89,3,0)*0.475*44/12</f>
        <v>3.1381235262693012</v>
      </c>
      <c r="AB120" s="23">
        <f>EXP(-LN(2)/2)*AB119+(1-EXP(-LN(2)/2))/(LN(2)/2)*V120*Y120*VLOOKUP('Données projet'!$B$9,Paramètres!$A$1:$I$89,3,0)*0.475*44/12</f>
        <v>0.75333211655691368</v>
      </c>
      <c r="AC120" s="24">
        <f t="shared" si="57"/>
        <v>77.643858413085965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306.99999999999994</v>
      </c>
      <c r="AJ120" s="14">
        <f>AI120*VLOOKUP('Données projet'!$B$10,Paramètres!$A$1:$I$89,3,0)*VLOOKUP('Données projet'!$B$10,Paramètres!$A$1:$I$89,5,0)</f>
        <v>311.298</v>
      </c>
      <c r="AK120" s="14">
        <f t="shared" si="89"/>
        <v>73.539838278528748</v>
      </c>
      <c r="AL120" s="22">
        <f t="shared" si="58"/>
        <v>670.25923500177089</v>
      </c>
      <c r="AM120" s="62">
        <f t="shared" si="59"/>
        <v>963.59256833510426</v>
      </c>
      <c r="AN120" s="62">
        <f ca="1">AVERAGE(OFFSET($AM$3,0,0,'Données projet'!$E$10+1,1))-AVERAGE(OFFSET($H$3,0,0,'Données projet'!$E$10+1,1))</f>
        <v>360.56293184044779</v>
      </c>
      <c r="AO120" s="62">
        <f t="shared" si="90"/>
        <v>219.32252911220542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82.653554828739345</v>
      </c>
      <c r="AV120" s="23">
        <f>EXP(-LN(2)/25)*AV119+(1-EXP(-LN(2)/25))/(LN(2)/25)*Calculateur!AQ120*Calculateur!AS120*VLOOKUP('Données projet'!$B$10,Paramètres!$A$1:$I$89,3,0)*0.475*44/12</f>
        <v>3.5168625725431837</v>
      </c>
      <c r="AW120" s="23">
        <f>EXP(-LN(2)/2)*AW119+(1-EXP(-LN(2)/2))/(LN(2)/2)*AQ120*AT120*VLOOKUP('Données projet'!$B$10,Paramètres!$A$1:$I$89,3,0)*0.475*44/12</f>
        <v>0.84425150993447229</v>
      </c>
      <c r="AX120" s="23">
        <f t="shared" si="60"/>
        <v>87.014668911217001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1.1368683772161603E-13</v>
      </c>
      <c r="BE120" s="14">
        <f>BD120*VLOOKUP('Données projet'!$B$11,Paramètres!$A$1:$I$89,3,0)*VLOOKUP('Données projet'!$B$11,Paramètres!$A$1:$I$89,5,0)</f>
        <v>8.3355189417488869E-14</v>
      </c>
      <c r="BF120" s="14">
        <f t="shared" si="91"/>
        <v>1.2790518435140618E-12</v>
      </c>
      <c r="BG120" s="22">
        <f t="shared" si="61"/>
        <v>2.3728589156891171E-12</v>
      </c>
      <c r="BH120" s="62">
        <f t="shared" si="62"/>
        <v>293.3333333333357</v>
      </c>
      <c r="BI120" s="62">
        <f ca="1">AVERAGE(OFFSET($BH$3,0,0,'Données projet'!$E$11+1,1))-AVERAGE(OFFSET($H$3,0,0,'Données projet'!$E$11+1,1))</f>
        <v>182.06733089745194</v>
      </c>
      <c r="BJ120" s="62">
        <f t="shared" si="92"/>
        <v>320.36755413886021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10.667244312466613</v>
      </c>
      <c r="BQ120" s="23">
        <f>EXP(-LN(2)/25)*BQ119+(1-EXP(-LN(2)/25))/(LN(2)/25)*Calculateur!BL120*Calculateur!BN120*VLOOKUP('Données projet'!$B$11,Paramètres!$A$1:$I$89,3,0)*0.475*44/12</f>
        <v>1.1388248461657295</v>
      </c>
      <c r="BR120" s="23">
        <f>EXP(-LN(2)/2)*BR119+(1-EXP(-LN(2)/2))/(LN(2)/2)*BL120*BO120*VLOOKUP('Données projet'!$B$11,Paramètres!$A$1:$I$89,3,0)*0.475*44/12</f>
        <v>5.9518544897917407E-11</v>
      </c>
      <c r="BS120" s="24">
        <f t="shared" si="63"/>
        <v>11.80606915869186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319.99999999999972</v>
      </c>
      <c r="BZ120" s="14">
        <f>BY120*VLOOKUP('Données projet'!$B$12,Paramètres!$A$1:$I$89,3,0)*VLOOKUP('Données projet'!$B$12,Paramètres!$A$1:$I$89,5,0)</f>
        <v>279.55199999999979</v>
      </c>
      <c r="CA120" s="14">
        <f t="shared" si="93"/>
        <v>66.872324781216591</v>
      </c>
      <c r="CB120" s="22">
        <f t="shared" si="64"/>
        <v>603.35569899395182</v>
      </c>
      <c r="CC120" s="62">
        <f t="shared" si="65"/>
        <v>896.68903232728508</v>
      </c>
      <c r="CD120" s="62">
        <f ca="1">AVERAGE(OFFSET($CC$3,0,0,'Données projet'!$E$12+1,1))-AVERAGE(OFFSET($H$3,0,0,'Données projet'!$E$12+1,1))</f>
        <v>248.60758320902863</v>
      </c>
      <c r="CE120" s="62">
        <f t="shared" si="94"/>
        <v>222.23585883330111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26.006099298277817</v>
      </c>
      <c r="CL120" s="23">
        <f>EXP(-LN(2)/25)*CL119+(1-EXP(-LN(2)/25))/(LN(2)/25)*Calculateur!CG120*Calculateur!CI120*VLOOKUP('Données projet'!$B$12,Paramètres!$A$1:$I$89,3,0)*0.475*44/12</f>
        <v>2.5807538191706025</v>
      </c>
      <c r="CM120" s="23">
        <f>EXP(-LN(2)/2)*CM119+(1-EXP(-LN(2)/2))/(LN(2)/2)*CG120*CJ120*VLOOKUP('Données projet'!$B$12,Paramètres!$A$1:$I$89,3,0)*0.475*44/12</f>
        <v>5.0652095876730739E-6</v>
      </c>
      <c r="CN120" s="24">
        <f t="shared" si="66"/>
        <v>28.586858182658009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193.99999999999994</v>
      </c>
      <c r="CU120" s="18">
        <f>CT120*VLOOKUP('Données projet'!$B$13,Paramètres!$A$1:$I$89,3,0)*VLOOKUP('Données projet'!$B$13,Paramètres!$A$1:$I$89,5,0)</f>
        <v>105.92399999999998</v>
      </c>
      <c r="CV120" s="14">
        <f t="shared" si="95"/>
        <v>28.36854701055546</v>
      </c>
      <c r="CW120" s="22">
        <f t="shared" si="67"/>
        <v>233.89285271005073</v>
      </c>
      <c r="CX120" s="62">
        <f t="shared" si="68"/>
        <v>527.22618604338402</v>
      </c>
      <c r="CY120" s="62">
        <f ca="1">AVERAGE(OFFSET($CX$3,0,0,'Données projet'!$E$13+1,1))-AVERAGE(OFFSET($H$3,0,0,'Données projet'!$E$13+1,1))</f>
        <v>135.44138026609272</v>
      </c>
      <c r="CZ120" s="62">
        <f t="shared" si="96"/>
        <v>254.77247578425659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11.797401127060919</v>
      </c>
      <c r="DG120" s="23">
        <f>EXP(-LN(2)/25)*DG119+(1-EXP(-LN(2)/25))/(LN(2)/25)*Calculateur!DB120*Calculateur!DD120*VLOOKUP('Données projet'!$B$13,Paramètres!$A$1:$I$89,3,0)*0.475*44/12</f>
        <v>4.0542201648182514</v>
      </c>
      <c r="DH120" s="23">
        <f>EXP(-LN(2)/2)*DH119+(1-EXP(-LN(2)/2))/(LN(2)/2)*DB120*DE120*VLOOKUP('Données projet'!$B$13,Paramètres!$A$1:$I$89,3,0)*0.475*44/12</f>
        <v>6.8371927815128726E-12</v>
      </c>
      <c r="DI120" s="24">
        <f t="shared" si="69"/>
        <v>15.851621291886007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273.00000000000023</v>
      </c>
      <c r="DP120" s="18">
        <f>DO120*VLOOKUP('Données projet'!$B$14,Paramètres!$A$1:$I$89,3,0)*VLOOKUP('Données projet'!$B$14,Paramètres!$A$1:$I$89,5,0)</f>
        <v>264.04560000000021</v>
      </c>
      <c r="DQ120" s="14">
        <f t="shared" si="97"/>
        <v>63.583959929973794</v>
      </c>
      <c r="DR120" s="22">
        <f t="shared" si="70"/>
        <v>570.6214835447048</v>
      </c>
      <c r="DS120" s="62">
        <f t="shared" si="71"/>
        <v>863.95481687803817</v>
      </c>
      <c r="DT120" s="62">
        <f ca="1">AVERAGE(OFFSET($DS$3,0,0,'Données projet'!$E$14+1,1))-AVERAGE(OFFSET($H$3,0,0,'Données projet'!$E$14+1,1))</f>
        <v>271.09447278906288</v>
      </c>
      <c r="DU120" s="62">
        <f t="shared" si="98"/>
        <v>325.1094067861851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13.089745500796766</v>
      </c>
      <c r="EB120" s="23">
        <f>EXP(-LN(2)/25)*EB119+(1-EXP(-LN(2)/25))/(LN(2)/25)*Calculateur!DW120*Calculateur!DY120*VLOOKUP('Données projet'!$B$14,Paramètres!$A$1:$I$89,3,0)*0.475*44/12</f>
        <v>1.5146520292175341</v>
      </c>
      <c r="EC120" s="23">
        <f>EXP(-LN(2)/2)*EC119+(1-EXP(-LN(2)/2))/(LN(2)/2)*DW120*DZ120*VLOOKUP('Données projet'!$B$14,Paramètres!$A$1:$I$89,3,0)*0.475*44/12</f>
        <v>1.6052052600403043E-8</v>
      </c>
      <c r="ED120" s="24">
        <f t="shared" si="72"/>
        <v>14.604397546066352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273.00000000000023</v>
      </c>
      <c r="EK120" s="18">
        <f>EJ120*VLOOKUP('Données projet'!$B$15,Paramètres!$A$1:$I$89,3,0)*VLOOKUP('Données projet'!$B$15,Paramètres!$A$1:$I$89,5,0)</f>
        <v>293.85720000000026</v>
      </c>
      <c r="EL120" s="14">
        <f t="shared" si="99"/>
        <v>69.887150190339895</v>
      </c>
      <c r="EM120" s="22">
        <f t="shared" si="73"/>
        <v>633.52140991484237</v>
      </c>
      <c r="EN120" s="62">
        <f t="shared" si="74"/>
        <v>926.85474324817574</v>
      </c>
      <c r="EO120" s="62">
        <f ca="1">AVERAGE(OFFSET($EN$3,0,0,'Données projet'!$E$15+1,1))-AVERAGE(OFFSET($H$3,0,0,'Données projet'!$E$15+1,1))</f>
        <v>306.50593475734655</v>
      </c>
      <c r="EP120" s="62">
        <f t="shared" si="100"/>
        <v>366.48643801375079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14.567619992822216</v>
      </c>
      <c r="EW120" s="23">
        <f>EXP(-LN(2)/25)*EW119+(1-EXP(-LN(2)/25))/(LN(2)/25)*Calculateur!ER120*Calculateur!ET120*VLOOKUP('Données projet'!$B$15,Paramètres!$A$1:$I$89,3,0)*0.475*44/12</f>
        <v>1.6856611292904804</v>
      </c>
      <c r="EX120" s="23">
        <f>EXP(-LN(2)/2)*EX119+(1-EXP(-LN(2)/2))/(LN(2)/2)*ER120*EU120*VLOOKUP('Données projet'!$B$15,Paramètres!$A$1:$I$89,3,0)*0.475*44/12</f>
        <v>1.7864381119803377E-8</v>
      </c>
      <c r="EY120" s="24">
        <f t="shared" si="75"/>
        <v>16.253281139977076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86.517599999999746</v>
      </c>
      <c r="D121" s="12">
        <f t="shared" si="86"/>
        <v>23.72343481564414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850.9834266470757</v>
      </c>
      <c r="H121" s="70">
        <f t="shared" si="56"/>
        <v>485.33646897057974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306.99999999999994</v>
      </c>
      <c r="O121" s="14">
        <f>N121*VLOOKUP('Données projet'!$B$9,Paramètres!$A$1:$I$89,3,0)*VLOOKUP('Données projet'!$B$9,Paramètres!$A$1:$I$89,5,0)</f>
        <v>277.77359999999993</v>
      </c>
      <c r="P121" s="14">
        <f t="shared" si="87"/>
        <v>66.496288176842356</v>
      </c>
      <c r="Q121" s="22">
        <f t="shared" si="107"/>
        <v>599.60338857466706</v>
      </c>
      <c r="R121" s="62">
        <f t="shared" si="55"/>
        <v>892.93672190800044</v>
      </c>
      <c r="S121" s="62">
        <f ca="1">AVERAGE(OFFSET($R$3,0,0,'Données projet'!$E$9+1,1))-AVERAGE(OFFSET($H$3,0,0,'Données projet'!$E$9+1,1))</f>
        <v>312.57314929661908</v>
      </c>
      <c r="T121" s="62">
        <f t="shared" si="88"/>
        <v>190.92100876773804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72.306163136458792</v>
      </c>
      <c r="AA121" s="23">
        <f>EXP(-LN(2)/25)*AA120+(1-EXP(-LN(2)/25))/(LN(2)/25)*Calculateur!V121*Calculateur!X121*VLOOKUP('Données projet'!$B$9,Paramètres!$A$1:$I$89,3,0)*0.475*44/12</f>
        <v>3.0523113734167233</v>
      </c>
      <c r="AB121" s="23">
        <f>EXP(-LN(2)/2)*AB120+(1-EXP(-LN(2)/2))/(LN(2)/2)*V121*Y121*VLOOKUP('Données projet'!$B$9,Paramètres!$A$1:$I$89,3,0)*0.475*44/12</f>
        <v>0.53268624810300835</v>
      </c>
      <c r="AC121" s="24">
        <f t="shared" si="57"/>
        <v>75.891160757978525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306.99999999999994</v>
      </c>
      <c r="AJ121" s="14">
        <f>AI121*VLOOKUP('Données projet'!$B$10,Paramètres!$A$1:$I$89,3,0)*VLOOKUP('Données projet'!$B$10,Paramètres!$A$1:$I$89,5,0)</f>
        <v>311.298</v>
      </c>
      <c r="AK121" s="14">
        <f t="shared" si="89"/>
        <v>73.539838278528748</v>
      </c>
      <c r="AL121" s="22">
        <f t="shared" si="58"/>
        <v>670.25923500177089</v>
      </c>
      <c r="AM121" s="62">
        <f t="shared" si="59"/>
        <v>963.59256833510426</v>
      </c>
      <c r="AN121" s="62">
        <f ca="1">AVERAGE(OFFSET($AM$3,0,0,'Données projet'!$E$10+1,1))-AVERAGE(OFFSET($H$3,0,0,'Données projet'!$E$10+1,1))</f>
        <v>360.56293184044779</v>
      </c>
      <c r="AO121" s="62">
        <f t="shared" si="90"/>
        <v>219.32252911220542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81.032769032238278</v>
      </c>
      <c r="AV121" s="23">
        <f>EXP(-LN(2)/25)*AV120+(1-EXP(-LN(2)/25))/(LN(2)/25)*Calculateur!AQ121*Calculateur!AS121*VLOOKUP('Données projet'!$B$10,Paramètres!$A$1:$I$89,3,0)*0.475*44/12</f>
        <v>3.4206937805532256</v>
      </c>
      <c r="AW121" s="23">
        <f>EXP(-LN(2)/2)*AW120+(1-EXP(-LN(2)/2))/(LN(2)/2)*AQ121*AT121*VLOOKUP('Données projet'!$B$10,Paramètres!$A$1:$I$89,3,0)*0.475*44/12</f>
        <v>0.59697596770164729</v>
      </c>
      <c r="AX121" s="23">
        <f t="shared" si="60"/>
        <v>85.050438780493153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1.1368683772161603E-13</v>
      </c>
      <c r="BE121" s="14">
        <f>BD121*VLOOKUP('Données projet'!$B$11,Paramètres!$A$1:$I$89,3,0)*VLOOKUP('Données projet'!$B$11,Paramètres!$A$1:$I$89,5,0)</f>
        <v>8.3355189417488869E-14</v>
      </c>
      <c r="BF121" s="14">
        <f t="shared" si="91"/>
        <v>1.2790518435140618E-12</v>
      </c>
      <c r="BG121" s="22">
        <f t="shared" si="61"/>
        <v>2.3728589156891171E-12</v>
      </c>
      <c r="BH121" s="62">
        <f t="shared" si="62"/>
        <v>293.3333333333357</v>
      </c>
      <c r="BI121" s="62">
        <f ca="1">AVERAGE(OFFSET($BH$3,0,0,'Données projet'!$E$11+1,1))-AVERAGE(OFFSET($H$3,0,0,'Données projet'!$E$11+1,1))</f>
        <v>182.06733089745194</v>
      </c>
      <c r="BJ121" s="62">
        <f t="shared" si="92"/>
        <v>320.36755413886021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10.458066157875722</v>
      </c>
      <c r="BQ121" s="23">
        <f>EXP(-LN(2)/25)*BQ120+(1-EXP(-LN(2)/25))/(LN(2)/25)*Calculateur!BL121*Calculateur!BN121*VLOOKUP('Données projet'!$B$11,Paramètres!$A$1:$I$89,3,0)*0.475*44/12</f>
        <v>1.1076836208591319</v>
      </c>
      <c r="BR121" s="23">
        <f>EXP(-LN(2)/2)*BR120+(1-EXP(-LN(2)/2))/(LN(2)/2)*BL121*BO121*VLOOKUP('Données projet'!$B$11,Paramètres!$A$1:$I$89,3,0)*0.475*44/12</f>
        <v>4.2085966703673388E-11</v>
      </c>
      <c r="BS121" s="24">
        <f t="shared" si="63"/>
        <v>11.56574977877694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319.99999999999972</v>
      </c>
      <c r="BZ121" s="14">
        <f>BY121*VLOOKUP('Données projet'!$B$12,Paramètres!$A$1:$I$89,3,0)*VLOOKUP('Données projet'!$B$12,Paramètres!$A$1:$I$89,5,0)</f>
        <v>279.55199999999979</v>
      </c>
      <c r="CA121" s="14">
        <f t="shared" si="93"/>
        <v>66.872324781216591</v>
      </c>
      <c r="CB121" s="22">
        <f t="shared" si="64"/>
        <v>603.35569899395182</v>
      </c>
      <c r="CC121" s="62">
        <f t="shared" si="65"/>
        <v>896.68903232728508</v>
      </c>
      <c r="CD121" s="62">
        <f ca="1">AVERAGE(OFFSET($CC$3,0,0,'Données projet'!$E$12+1,1))-AVERAGE(OFFSET($H$3,0,0,'Données projet'!$E$12+1,1))</f>
        <v>248.60758320902863</v>
      </c>
      <c r="CE121" s="62">
        <f t="shared" si="94"/>
        <v>222.23585883330111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25.496135553192904</v>
      </c>
      <c r="CL121" s="23">
        <f>EXP(-LN(2)/25)*CL120+(1-EXP(-LN(2)/25))/(LN(2)/25)*Calculateur!CG121*Calculateur!CI121*VLOOKUP('Données projet'!$B$12,Paramètres!$A$1:$I$89,3,0)*0.475*44/12</f>
        <v>2.5101829702694376</v>
      </c>
      <c r="CM121" s="23">
        <f>EXP(-LN(2)/2)*CM120+(1-EXP(-LN(2)/2))/(LN(2)/2)*CG121*CJ121*VLOOKUP('Données projet'!$B$12,Paramètres!$A$1:$I$89,3,0)*0.475*44/12</f>
        <v>3.581644047574747E-6</v>
      </c>
      <c r="CN121" s="24">
        <f t="shared" si="66"/>
        <v>28.006322105106388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193.99999999999994</v>
      </c>
      <c r="CU121" s="18">
        <f>CT121*VLOOKUP('Données projet'!$B$13,Paramètres!$A$1:$I$89,3,0)*VLOOKUP('Données projet'!$B$13,Paramètres!$A$1:$I$89,5,0)</f>
        <v>105.92399999999998</v>
      </c>
      <c r="CV121" s="14">
        <f t="shared" si="95"/>
        <v>28.36854701055546</v>
      </c>
      <c r="CW121" s="22">
        <f t="shared" si="67"/>
        <v>233.89285271005073</v>
      </c>
      <c r="CX121" s="62">
        <f t="shared" si="68"/>
        <v>527.22618604338402</v>
      </c>
      <c r="CY121" s="62">
        <f ca="1">AVERAGE(OFFSET($CX$3,0,0,'Données projet'!$E$13+1,1))-AVERAGE(OFFSET($H$3,0,0,'Données projet'!$E$13+1,1))</f>
        <v>135.44138026609272</v>
      </c>
      <c r="CZ121" s="62">
        <f t="shared" si="96"/>
        <v>254.77247578425659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11.566061286663425</v>
      </c>
      <c r="DG121" s="23">
        <f>EXP(-LN(2)/25)*DG120+(1-EXP(-LN(2)/25))/(LN(2)/25)*Calculateur!DB121*Calculateur!DD121*VLOOKUP('Données projet'!$B$13,Paramètres!$A$1:$I$89,3,0)*0.475*44/12</f>
        <v>3.9433573012091241</v>
      </c>
      <c r="DH121" s="23">
        <f>EXP(-LN(2)/2)*DH120+(1-EXP(-LN(2)/2))/(LN(2)/2)*DB121*DE121*VLOOKUP('Données projet'!$B$13,Paramètres!$A$1:$I$89,3,0)*0.475*44/12</f>
        <v>4.834625380087465E-12</v>
      </c>
      <c r="DI121" s="24">
        <f t="shared" si="69"/>
        <v>15.509418587877384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273.00000000000023</v>
      </c>
      <c r="DP121" s="18">
        <f>DO121*VLOOKUP('Données projet'!$B$14,Paramètres!$A$1:$I$89,3,0)*VLOOKUP('Données projet'!$B$14,Paramètres!$A$1:$I$89,5,0)</f>
        <v>264.04560000000021</v>
      </c>
      <c r="DQ121" s="14">
        <f t="shared" si="97"/>
        <v>63.583959929973794</v>
      </c>
      <c r="DR121" s="22">
        <f t="shared" si="70"/>
        <v>570.6214835447048</v>
      </c>
      <c r="DS121" s="62">
        <f t="shared" si="71"/>
        <v>863.95481687803817</v>
      </c>
      <c r="DT121" s="62">
        <f ca="1">AVERAGE(OFFSET($DS$3,0,0,'Données projet'!$E$14+1,1))-AVERAGE(OFFSET($H$3,0,0,'Données projet'!$E$14+1,1))</f>
        <v>271.09447278906288</v>
      </c>
      <c r="DU121" s="62">
        <f t="shared" si="98"/>
        <v>325.1094067861851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12.833063575482548</v>
      </c>
      <c r="EB121" s="23">
        <f>EXP(-LN(2)/25)*EB120+(1-EXP(-LN(2)/25))/(LN(2)/25)*Calculateur!DW121*Calculateur!DY121*VLOOKUP('Données projet'!$B$14,Paramètres!$A$1:$I$89,3,0)*0.475*44/12</f>
        <v>1.4732337898264922</v>
      </c>
      <c r="EC121" s="23">
        <f>EXP(-LN(2)/2)*EC120+(1-EXP(-LN(2)/2))/(LN(2)/2)*DW121*DZ121*VLOOKUP('Données projet'!$B$14,Paramètres!$A$1:$I$89,3,0)*0.475*44/12</f>
        <v>1.1350515245708146E-8</v>
      </c>
      <c r="ED121" s="24">
        <f t="shared" si="72"/>
        <v>14.306297376659556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273.00000000000023</v>
      </c>
      <c r="EK121" s="18">
        <f>EJ121*VLOOKUP('Données projet'!$B$15,Paramètres!$A$1:$I$89,3,0)*VLOOKUP('Données projet'!$B$15,Paramètres!$A$1:$I$89,5,0)</f>
        <v>293.85720000000026</v>
      </c>
      <c r="EL121" s="14">
        <f t="shared" si="99"/>
        <v>69.887150190339895</v>
      </c>
      <c r="EM121" s="22">
        <f t="shared" si="73"/>
        <v>633.52140991484237</v>
      </c>
      <c r="EN121" s="62">
        <f t="shared" si="74"/>
        <v>926.85474324817574</v>
      </c>
      <c r="EO121" s="62">
        <f ca="1">AVERAGE(OFFSET($EN$3,0,0,'Données projet'!$E$15+1,1))-AVERAGE(OFFSET($H$3,0,0,'Données projet'!$E$15+1,1))</f>
        <v>306.50593475734655</v>
      </c>
      <c r="EP121" s="62">
        <f t="shared" si="100"/>
        <v>366.48643801375079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14.281957850133811</v>
      </c>
      <c r="EW121" s="23">
        <f>EXP(-LN(2)/25)*EW120+(1-EXP(-LN(2)/25))/(LN(2)/25)*Calculateur!ER121*Calculateur!ET121*VLOOKUP('Données projet'!$B$15,Paramètres!$A$1:$I$89,3,0)*0.475*44/12</f>
        <v>1.639566637064966</v>
      </c>
      <c r="EX121" s="23">
        <f>EXP(-LN(2)/2)*EX120+(1-EXP(-LN(2)/2))/(LN(2)/2)*ER121*EU121*VLOOKUP('Données projet'!$B$15,Paramètres!$A$1:$I$89,3,0)*0.475*44/12</f>
        <v>1.2632025031513897E-8</v>
      </c>
      <c r="EY121" s="24">
        <f t="shared" si="75"/>
        <v>15.921524499830802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87.250799999999742</v>
      </c>
      <c r="D122" s="12">
        <f t="shared" si="86"/>
        <v>23.900991769585712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858.01383120381763</v>
      </c>
      <c r="H122" s="70">
        <f t="shared" si="56"/>
        <v>486.92270399869466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306.99999999999994</v>
      </c>
      <c r="O122" s="14">
        <f>N122*VLOOKUP('Données projet'!$B$9,Paramètres!$A$1:$I$89,3,0)*VLOOKUP('Données projet'!$B$9,Paramètres!$A$1:$I$89,5,0)</f>
        <v>277.77359999999993</v>
      </c>
      <c r="P122" s="14">
        <f t="shared" si="87"/>
        <v>66.496288176842356</v>
      </c>
      <c r="Q122" s="22">
        <f t="shared" si="107"/>
        <v>599.60338857466706</v>
      </c>
      <c r="R122" s="62">
        <f t="shared" si="55"/>
        <v>892.93672190800044</v>
      </c>
      <c r="S122" s="62">
        <f ca="1">AVERAGE(OFFSET($R$3,0,0,'Données projet'!$E$9+1,1))-AVERAGE(OFFSET($H$3,0,0,'Données projet'!$E$9+1,1))</f>
        <v>312.57314929661908</v>
      </c>
      <c r="T122" s="62">
        <f t="shared" si="88"/>
        <v>190.92100876773804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70.888283379757596</v>
      </c>
      <c r="AA122" s="23">
        <f>EXP(-LN(2)/25)*AA121+(1-EXP(-LN(2)/25))/(LN(2)/25)*Calculateur!V122*Calculateur!X122*VLOOKUP('Données projet'!$B$9,Paramètres!$A$1:$I$89,3,0)*0.475*44/12</f>
        <v>2.9688457583965642</v>
      </c>
      <c r="AB122" s="23">
        <f>EXP(-LN(2)/2)*AB121+(1-EXP(-LN(2)/2))/(LN(2)/2)*V122*Y122*VLOOKUP('Données projet'!$B$9,Paramètres!$A$1:$I$89,3,0)*0.475*44/12</f>
        <v>0.37666605827845689</v>
      </c>
      <c r="AC122" s="24">
        <f t="shared" si="57"/>
        <v>74.233795196432624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306.99999999999994</v>
      </c>
      <c r="AJ122" s="14">
        <f>AI122*VLOOKUP('Données projet'!$B$10,Paramètres!$A$1:$I$89,3,0)*VLOOKUP('Données projet'!$B$10,Paramètres!$A$1:$I$89,5,0)</f>
        <v>311.298</v>
      </c>
      <c r="AK122" s="14">
        <f t="shared" si="89"/>
        <v>73.539838278528748</v>
      </c>
      <c r="AL122" s="22">
        <f t="shared" si="58"/>
        <v>670.25923500177089</v>
      </c>
      <c r="AM122" s="62">
        <f t="shared" si="59"/>
        <v>963.59256833510426</v>
      </c>
      <c r="AN122" s="62">
        <f ca="1">AVERAGE(OFFSET($AM$3,0,0,'Données projet'!$E$10+1,1))-AVERAGE(OFFSET($H$3,0,0,'Données projet'!$E$10+1,1))</f>
        <v>360.56293184044779</v>
      </c>
      <c r="AO122" s="62">
        <f t="shared" si="90"/>
        <v>219.32252911220542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79.443765856624864</v>
      </c>
      <c r="AV122" s="23">
        <f>EXP(-LN(2)/25)*AV121+(1-EXP(-LN(2)/25))/(LN(2)/25)*Calculateur!AQ122*Calculateur!AS122*VLOOKUP('Données projet'!$B$10,Paramètres!$A$1:$I$89,3,0)*0.475*44/12</f>
        <v>3.3271547292375296</v>
      </c>
      <c r="AW122" s="23">
        <f>EXP(-LN(2)/2)*AW121+(1-EXP(-LN(2)/2))/(LN(2)/2)*AQ122*AT122*VLOOKUP('Données projet'!$B$10,Paramètres!$A$1:$I$89,3,0)*0.475*44/12</f>
        <v>0.4221257549672362</v>
      </c>
      <c r="AX122" s="23">
        <f t="shared" si="60"/>
        <v>83.193046340829639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1.1368683772161603E-13</v>
      </c>
      <c r="BE122" s="14">
        <f>BD122*VLOOKUP('Données projet'!$B$11,Paramètres!$A$1:$I$89,3,0)*VLOOKUP('Données projet'!$B$11,Paramètres!$A$1:$I$89,5,0)</f>
        <v>8.3355189417488869E-14</v>
      </c>
      <c r="BF122" s="14">
        <f t="shared" si="91"/>
        <v>1.2790518435140618E-12</v>
      </c>
      <c r="BG122" s="22">
        <f t="shared" si="61"/>
        <v>2.3728589156891171E-12</v>
      </c>
      <c r="BH122" s="62">
        <f t="shared" si="62"/>
        <v>293.3333333333357</v>
      </c>
      <c r="BI122" s="62">
        <f ca="1">AVERAGE(OFFSET($BH$3,0,0,'Données projet'!$E$11+1,1))-AVERAGE(OFFSET($H$3,0,0,'Données projet'!$E$11+1,1))</f>
        <v>182.06733089745194</v>
      </c>
      <c r="BJ122" s="62">
        <f t="shared" si="92"/>
        <v>320.36755413886021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10.252989859310283</v>
      </c>
      <c r="BQ122" s="23">
        <f>EXP(-LN(2)/25)*BQ121+(1-EXP(-LN(2)/25))/(LN(2)/25)*Calculateur!BL122*Calculateur!BN122*VLOOKUP('Données projet'!$B$11,Paramètres!$A$1:$I$89,3,0)*0.475*44/12</f>
        <v>1.077393953996189</v>
      </c>
      <c r="BR122" s="23">
        <f>EXP(-LN(2)/2)*BR121+(1-EXP(-LN(2)/2))/(LN(2)/2)*BL122*BO122*VLOOKUP('Données projet'!$B$11,Paramètres!$A$1:$I$89,3,0)*0.475*44/12</f>
        <v>2.9759272448958703E-11</v>
      </c>
      <c r="BS122" s="24">
        <f t="shared" si="63"/>
        <v>11.330383813336232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319.99999999999972</v>
      </c>
      <c r="BZ122" s="14">
        <f>BY122*VLOOKUP('Données projet'!$B$12,Paramètres!$A$1:$I$89,3,0)*VLOOKUP('Données projet'!$B$12,Paramètres!$A$1:$I$89,5,0)</f>
        <v>279.55199999999979</v>
      </c>
      <c r="CA122" s="14">
        <f t="shared" si="93"/>
        <v>66.872324781216591</v>
      </c>
      <c r="CB122" s="22">
        <f t="shared" si="64"/>
        <v>603.35569899395182</v>
      </c>
      <c r="CC122" s="62">
        <f t="shared" si="65"/>
        <v>896.68903232728508</v>
      </c>
      <c r="CD122" s="62">
        <f ca="1">AVERAGE(OFFSET($CC$3,0,0,'Données projet'!$E$12+1,1))-AVERAGE(OFFSET($H$3,0,0,'Données projet'!$E$12+1,1))</f>
        <v>248.60758320902863</v>
      </c>
      <c r="CE122" s="62">
        <f t="shared" si="94"/>
        <v>222.23585883330111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24.996171886101934</v>
      </c>
      <c r="CL122" s="23">
        <f>EXP(-LN(2)/25)*CL121+(1-EXP(-LN(2)/25))/(LN(2)/25)*Calculateur!CG122*Calculateur!CI122*VLOOKUP('Données projet'!$B$12,Paramètres!$A$1:$I$89,3,0)*0.475*44/12</f>
        <v>2.4415418849426347</v>
      </c>
      <c r="CM122" s="23">
        <f>EXP(-LN(2)/2)*CM121+(1-EXP(-LN(2)/2))/(LN(2)/2)*CG122*CJ122*VLOOKUP('Données projet'!$B$12,Paramètres!$A$1:$I$89,3,0)*0.475*44/12</f>
        <v>2.532604793836537E-6</v>
      </c>
      <c r="CN122" s="24">
        <f t="shared" si="66"/>
        <v>27.43771630364936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193.99999999999994</v>
      </c>
      <c r="CU122" s="18">
        <f>CT122*VLOOKUP('Données projet'!$B$13,Paramètres!$A$1:$I$89,3,0)*VLOOKUP('Données projet'!$B$13,Paramètres!$A$1:$I$89,5,0)</f>
        <v>105.92399999999998</v>
      </c>
      <c r="CV122" s="14">
        <f t="shared" si="95"/>
        <v>28.36854701055546</v>
      </c>
      <c r="CW122" s="22">
        <f t="shared" si="67"/>
        <v>233.89285271005073</v>
      </c>
      <c r="CX122" s="62">
        <f t="shared" si="68"/>
        <v>527.22618604338402</v>
      </c>
      <c r="CY122" s="62">
        <f ca="1">AVERAGE(OFFSET($CX$3,0,0,'Données projet'!$E$13+1,1))-AVERAGE(OFFSET($H$3,0,0,'Données projet'!$E$13+1,1))</f>
        <v>135.44138026609272</v>
      </c>
      <c r="CZ122" s="62">
        <f t="shared" si="96"/>
        <v>254.77247578425659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11.339257879432756</v>
      </c>
      <c r="DG122" s="23">
        <f>EXP(-LN(2)/25)*DG121+(1-EXP(-LN(2)/25))/(LN(2)/25)*Calculateur!DB122*Calculateur!DD122*VLOOKUP('Données projet'!$B$13,Paramètres!$A$1:$I$89,3,0)*0.475*44/12</f>
        <v>3.8355259884354127</v>
      </c>
      <c r="DH122" s="23">
        <f>EXP(-LN(2)/2)*DH121+(1-EXP(-LN(2)/2))/(LN(2)/2)*DB122*DE122*VLOOKUP('Données projet'!$B$13,Paramètres!$A$1:$I$89,3,0)*0.475*44/12</f>
        <v>3.4185963907564363E-12</v>
      </c>
      <c r="DI122" s="24">
        <f t="shared" si="69"/>
        <v>15.174783867871586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273.00000000000023</v>
      </c>
      <c r="DP122" s="18">
        <f>DO122*VLOOKUP('Données projet'!$B$14,Paramètres!$A$1:$I$89,3,0)*VLOOKUP('Données projet'!$B$14,Paramètres!$A$1:$I$89,5,0)</f>
        <v>264.04560000000021</v>
      </c>
      <c r="DQ122" s="14">
        <f t="shared" si="97"/>
        <v>63.583959929973794</v>
      </c>
      <c r="DR122" s="22">
        <f t="shared" si="70"/>
        <v>570.6214835447048</v>
      </c>
      <c r="DS122" s="62">
        <f t="shared" si="71"/>
        <v>863.95481687803817</v>
      </c>
      <c r="DT122" s="62">
        <f ca="1">AVERAGE(OFFSET($DS$3,0,0,'Données projet'!$E$14+1,1))-AVERAGE(OFFSET($H$3,0,0,'Données projet'!$E$14+1,1))</f>
        <v>271.09447278906288</v>
      </c>
      <c r="DU122" s="62">
        <f t="shared" si="98"/>
        <v>325.1094067861851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12.581415026163224</v>
      </c>
      <c r="EB122" s="23">
        <f>EXP(-LN(2)/25)*EB121+(1-EXP(-LN(2)/25))/(LN(2)/25)*Calculateur!DW122*Calculateur!DY122*VLOOKUP('Données projet'!$B$14,Paramètres!$A$1:$I$89,3,0)*0.475*44/12</f>
        <v>1.4329481343696888</v>
      </c>
      <c r="EC122" s="23">
        <f>EXP(-LN(2)/2)*EC121+(1-EXP(-LN(2)/2))/(LN(2)/2)*DW122*DZ122*VLOOKUP('Données projet'!$B$14,Paramètres!$A$1:$I$89,3,0)*0.475*44/12</f>
        <v>8.0260263002015214E-9</v>
      </c>
      <c r="ED122" s="24">
        <f t="shared" si="72"/>
        <v>14.014363168558939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273.00000000000023</v>
      </c>
      <c r="EK122" s="18">
        <f>EJ122*VLOOKUP('Données projet'!$B$15,Paramètres!$A$1:$I$89,3,0)*VLOOKUP('Données projet'!$B$15,Paramètres!$A$1:$I$89,5,0)</f>
        <v>293.85720000000026</v>
      </c>
      <c r="EL122" s="14">
        <f t="shared" si="99"/>
        <v>69.887150190339895</v>
      </c>
      <c r="EM122" s="22">
        <f t="shared" si="73"/>
        <v>633.52140991484237</v>
      </c>
      <c r="EN122" s="62">
        <f t="shared" si="74"/>
        <v>926.85474324817574</v>
      </c>
      <c r="EO122" s="62">
        <f ca="1">AVERAGE(OFFSET($EN$3,0,0,'Données projet'!$E$15+1,1))-AVERAGE(OFFSET($H$3,0,0,'Données projet'!$E$15+1,1))</f>
        <v>306.50593475734655</v>
      </c>
      <c r="EP122" s="62">
        <f t="shared" si="100"/>
        <v>366.48643801375079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14.001897367826823</v>
      </c>
      <c r="EW122" s="23">
        <f>EXP(-LN(2)/25)*EW121+(1-EXP(-LN(2)/25))/(LN(2)/25)*Calculateur!ER122*Calculateur!ET122*VLOOKUP('Données projet'!$B$15,Paramètres!$A$1:$I$89,3,0)*0.475*44/12</f>
        <v>1.5947326011533622</v>
      </c>
      <c r="EX122" s="23">
        <f>EXP(-LN(2)/2)*EX121+(1-EXP(-LN(2)/2))/(LN(2)/2)*ER122*EU122*VLOOKUP('Données projet'!$B$15,Paramètres!$A$1:$I$89,3,0)*0.475*44/12</f>
        <v>8.9321905599016883E-9</v>
      </c>
      <c r="EY122" s="24">
        <f t="shared" si="75"/>
        <v>15.596629977912375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87.983999999999739</v>
      </c>
      <c r="D123" s="12">
        <f t="shared" si="86"/>
        <v>24.078375128721721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865.04289573048152</v>
      </c>
      <c r="H123" s="70">
        <f t="shared" si="56"/>
        <v>488.50863668252316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306.99999999999994</v>
      </c>
      <c r="O123" s="14">
        <f>N123*VLOOKUP('Données projet'!$B$9,Paramètres!$A$1:$I$89,3,0)*VLOOKUP('Données projet'!$B$9,Paramètres!$A$1:$I$89,5,0)</f>
        <v>277.77359999999993</v>
      </c>
      <c r="P123" s="14">
        <f t="shared" si="87"/>
        <v>66.496288176842356</v>
      </c>
      <c r="Q123" s="22">
        <f t="shared" si="107"/>
        <v>599.60338857466706</v>
      </c>
      <c r="R123" s="62">
        <f t="shared" si="55"/>
        <v>892.93672190800044</v>
      </c>
      <c r="S123" s="62">
        <f ca="1">AVERAGE(OFFSET($R$3,0,0,'Données projet'!$E$9+1,1))-AVERAGE(OFFSET($H$3,0,0,'Données projet'!$E$9+1,1))</f>
        <v>312.57314929661908</v>
      </c>
      <c r="T123" s="62">
        <f t="shared" si="88"/>
        <v>190.92100876773804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69.498207380264049</v>
      </c>
      <c r="AA123" s="23">
        <f>EXP(-LN(2)/25)*AA122+(1-EXP(-LN(2)/25))/(LN(2)/25)*Calculateur!V123*Calculateur!X123*VLOOKUP('Données projet'!$B$9,Paramètres!$A$1:$I$89,3,0)*0.475*44/12</f>
        <v>2.887662515008397</v>
      </c>
      <c r="AB123" s="23">
        <f>EXP(-LN(2)/2)*AB122+(1-EXP(-LN(2)/2))/(LN(2)/2)*V123*Y123*VLOOKUP('Données projet'!$B$9,Paramètres!$A$1:$I$89,3,0)*0.475*44/12</f>
        <v>0.26634312405150418</v>
      </c>
      <c r="AC123" s="24">
        <f t="shared" si="57"/>
        <v>72.652213019323952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306.99999999999994</v>
      </c>
      <c r="AJ123" s="14">
        <f>AI123*VLOOKUP('Données projet'!$B$10,Paramètres!$A$1:$I$89,3,0)*VLOOKUP('Données projet'!$B$10,Paramètres!$A$1:$I$89,5,0)</f>
        <v>311.298</v>
      </c>
      <c r="AK123" s="14">
        <f t="shared" si="89"/>
        <v>73.539838278528748</v>
      </c>
      <c r="AL123" s="22">
        <f t="shared" si="58"/>
        <v>670.25923500177089</v>
      </c>
      <c r="AM123" s="62">
        <f t="shared" si="59"/>
        <v>963.59256833510426</v>
      </c>
      <c r="AN123" s="62">
        <f ca="1">AVERAGE(OFFSET($AM$3,0,0,'Données projet'!$E$10+1,1))-AVERAGE(OFFSET($H$3,0,0,'Données projet'!$E$10+1,1))</f>
        <v>360.56293184044779</v>
      </c>
      <c r="AO123" s="62">
        <f t="shared" si="90"/>
        <v>219.32252911220542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77.885922064089002</v>
      </c>
      <c r="AV123" s="23">
        <f>EXP(-LN(2)/25)*AV122+(1-EXP(-LN(2)/25))/(LN(2)/25)*Calculateur!AQ123*Calculateur!AS123*VLOOKUP('Données projet'!$B$10,Paramètres!$A$1:$I$89,3,0)*0.475*44/12</f>
        <v>3.2361735081990664</v>
      </c>
      <c r="AW123" s="23">
        <f>EXP(-LN(2)/2)*AW122+(1-EXP(-LN(2)/2))/(LN(2)/2)*AQ123*AT123*VLOOKUP('Données projet'!$B$10,Paramètres!$A$1:$I$89,3,0)*0.475*44/12</f>
        <v>0.2984879838508237</v>
      </c>
      <c r="AX123" s="23">
        <f t="shared" si="60"/>
        <v>81.420583556138894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1.1368683772161603E-13</v>
      </c>
      <c r="BE123" s="14">
        <f>BD123*VLOOKUP('Données projet'!$B$11,Paramètres!$A$1:$I$89,3,0)*VLOOKUP('Données projet'!$B$11,Paramètres!$A$1:$I$89,5,0)</f>
        <v>8.3355189417488869E-14</v>
      </c>
      <c r="BF123" s="14">
        <f t="shared" si="91"/>
        <v>1.2790518435140618E-12</v>
      </c>
      <c r="BG123" s="22">
        <f t="shared" si="61"/>
        <v>2.3728589156891171E-12</v>
      </c>
      <c r="BH123" s="62">
        <f t="shared" si="62"/>
        <v>293.3333333333357</v>
      </c>
      <c r="BI123" s="62">
        <f ca="1">AVERAGE(OFFSET($BH$3,0,0,'Données projet'!$E$11+1,1))-AVERAGE(OFFSET($H$3,0,0,'Données projet'!$E$11+1,1))</f>
        <v>182.06733089745194</v>
      </c>
      <c r="BJ123" s="62">
        <f t="shared" si="92"/>
        <v>320.36755413886021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10.051934981875521</v>
      </c>
      <c r="BQ123" s="23">
        <f>EXP(-LN(2)/25)*BQ122+(1-EXP(-LN(2)/25))/(LN(2)/25)*Calculateur!BL123*Calculateur!BN123*VLOOKUP('Données projet'!$B$11,Paramètres!$A$1:$I$89,3,0)*0.475*44/12</f>
        <v>1.0479325596664775</v>
      </c>
      <c r="BR123" s="23">
        <f>EXP(-LN(2)/2)*BR122+(1-EXP(-LN(2)/2))/(LN(2)/2)*BL123*BO123*VLOOKUP('Données projet'!$B$11,Paramètres!$A$1:$I$89,3,0)*0.475*44/12</f>
        <v>2.1042983351836694E-11</v>
      </c>
      <c r="BS123" s="24">
        <f t="shared" si="63"/>
        <v>11.099867541563041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319.99999999999972</v>
      </c>
      <c r="BZ123" s="14">
        <f>BY123*VLOOKUP('Données projet'!$B$12,Paramètres!$A$1:$I$89,3,0)*VLOOKUP('Données projet'!$B$12,Paramètres!$A$1:$I$89,5,0)</f>
        <v>279.55199999999979</v>
      </c>
      <c r="CA123" s="14">
        <f t="shared" si="93"/>
        <v>66.872324781216591</v>
      </c>
      <c r="CB123" s="22">
        <f t="shared" si="64"/>
        <v>603.35569899395182</v>
      </c>
      <c r="CC123" s="62">
        <f t="shared" si="65"/>
        <v>896.68903232728508</v>
      </c>
      <c r="CD123" s="62">
        <f ca="1">AVERAGE(OFFSET($CC$3,0,0,'Données projet'!$E$12+1,1))-AVERAGE(OFFSET($H$3,0,0,'Données projet'!$E$12+1,1))</f>
        <v>248.60758320902863</v>
      </c>
      <c r="CE123" s="62">
        <f t="shared" si="94"/>
        <v>222.23585883330111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24.50601220157489</v>
      </c>
      <c r="CL123" s="23">
        <f>EXP(-LN(2)/25)*CL122+(1-EXP(-LN(2)/25))/(LN(2)/25)*Calculateur!CG123*Calculateur!CI123*VLOOKUP('Données projet'!$B$12,Paramètres!$A$1:$I$89,3,0)*0.475*44/12</f>
        <v>2.3747777937037706</v>
      </c>
      <c r="CM123" s="23">
        <f>EXP(-LN(2)/2)*CM122+(1-EXP(-LN(2)/2))/(LN(2)/2)*CG123*CJ123*VLOOKUP('Données projet'!$B$12,Paramètres!$A$1:$I$89,3,0)*0.475*44/12</f>
        <v>1.7908220237873735E-6</v>
      </c>
      <c r="CN123" s="24">
        <f t="shared" si="66"/>
        <v>26.880791786100684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193.99999999999994</v>
      </c>
      <c r="CU123" s="18">
        <f>CT123*VLOOKUP('Données projet'!$B$13,Paramètres!$A$1:$I$89,3,0)*VLOOKUP('Données projet'!$B$13,Paramètres!$A$1:$I$89,5,0)</f>
        <v>105.92399999999998</v>
      </c>
      <c r="CV123" s="14">
        <f t="shared" si="95"/>
        <v>28.36854701055546</v>
      </c>
      <c r="CW123" s="22">
        <f t="shared" si="67"/>
        <v>233.89285271005073</v>
      </c>
      <c r="CX123" s="62">
        <f t="shared" si="68"/>
        <v>527.22618604338402</v>
      </c>
      <c r="CY123" s="62">
        <f ca="1">AVERAGE(OFFSET($CX$3,0,0,'Données projet'!$E$13+1,1))-AVERAGE(OFFSET($H$3,0,0,'Données projet'!$E$13+1,1))</f>
        <v>135.44138026609272</v>
      </c>
      <c r="CZ123" s="62">
        <f t="shared" si="96"/>
        <v>254.77247578425659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11.116901948681461</v>
      </c>
      <c r="DG123" s="23">
        <f>EXP(-LN(2)/25)*DG122+(1-EXP(-LN(2)/25))/(LN(2)/25)*Calculateur!DB123*Calculateur!DD123*VLOOKUP('Données projet'!$B$13,Paramètres!$A$1:$I$89,3,0)*0.475*44/12</f>
        <v>3.7306433285801006</v>
      </c>
      <c r="DH123" s="23">
        <f>EXP(-LN(2)/2)*DH122+(1-EXP(-LN(2)/2))/(LN(2)/2)*DB123*DE123*VLOOKUP('Données projet'!$B$13,Paramètres!$A$1:$I$89,3,0)*0.475*44/12</f>
        <v>2.4173126900437325E-12</v>
      </c>
      <c r="DI123" s="24">
        <f t="shared" si="69"/>
        <v>14.847545277263979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273.00000000000023</v>
      </c>
      <c r="DP123" s="18">
        <f>DO123*VLOOKUP('Données projet'!$B$14,Paramètres!$A$1:$I$89,3,0)*VLOOKUP('Données projet'!$B$14,Paramètres!$A$1:$I$89,5,0)</f>
        <v>264.04560000000021</v>
      </c>
      <c r="DQ123" s="14">
        <f t="shared" si="97"/>
        <v>63.583959929973794</v>
      </c>
      <c r="DR123" s="22">
        <f t="shared" si="70"/>
        <v>570.6214835447048</v>
      </c>
      <c r="DS123" s="62">
        <f t="shared" si="71"/>
        <v>863.95481687803817</v>
      </c>
      <c r="DT123" s="62">
        <f ca="1">AVERAGE(OFFSET($DS$3,0,0,'Données projet'!$E$14+1,1))-AVERAGE(OFFSET($H$3,0,0,'Données projet'!$E$14+1,1))</f>
        <v>271.09447278906288</v>
      </c>
      <c r="DU123" s="62">
        <f t="shared" si="98"/>
        <v>325.1094067861851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12.334701151405595</v>
      </c>
      <c r="EB123" s="23">
        <f>EXP(-LN(2)/25)*EB122+(1-EXP(-LN(2)/25))/(LN(2)/25)*Calculateur!DW123*Calculateur!DY123*VLOOKUP('Données projet'!$B$14,Paramètres!$A$1:$I$89,3,0)*0.475*44/12</f>
        <v>1.3937640922798824</v>
      </c>
      <c r="EC123" s="23">
        <f>EXP(-LN(2)/2)*EC122+(1-EXP(-LN(2)/2))/(LN(2)/2)*DW123*DZ123*VLOOKUP('Données projet'!$B$14,Paramètres!$A$1:$I$89,3,0)*0.475*44/12</f>
        <v>5.6752576228540728E-9</v>
      </c>
      <c r="ED123" s="24">
        <f t="shared" si="72"/>
        <v>13.728465249360735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273.00000000000023</v>
      </c>
      <c r="EK123" s="18">
        <f>EJ123*VLOOKUP('Données projet'!$B$15,Paramètres!$A$1:$I$89,3,0)*VLOOKUP('Données projet'!$B$15,Paramètres!$A$1:$I$89,5,0)</f>
        <v>293.85720000000026</v>
      </c>
      <c r="EL123" s="14">
        <f t="shared" si="99"/>
        <v>69.887150190339895</v>
      </c>
      <c r="EM123" s="22">
        <f t="shared" si="73"/>
        <v>633.52140991484237</v>
      </c>
      <c r="EN123" s="62">
        <f t="shared" si="74"/>
        <v>926.85474324817574</v>
      </c>
      <c r="EO123" s="62">
        <f ca="1">AVERAGE(OFFSET($EN$3,0,0,'Données projet'!$E$15+1,1))-AVERAGE(OFFSET($H$3,0,0,'Données projet'!$E$15+1,1))</f>
        <v>306.50593475734655</v>
      </c>
      <c r="EP123" s="62">
        <f t="shared" si="100"/>
        <v>366.48643801375079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13.727328700757846</v>
      </c>
      <c r="EW123" s="23">
        <f>EXP(-LN(2)/25)*EW122+(1-EXP(-LN(2)/25))/(LN(2)/25)*Calculateur!ER123*Calculateur!ET123*VLOOKUP('Données projet'!$B$15,Paramètres!$A$1:$I$89,3,0)*0.475*44/12</f>
        <v>1.5511245543114809</v>
      </c>
      <c r="EX123" s="23">
        <f>EXP(-LN(2)/2)*EX122+(1-EXP(-LN(2)/2))/(LN(2)/2)*ER123*EU123*VLOOKUP('Données projet'!$B$15,Paramètres!$A$1:$I$89,3,0)*0.475*44/12</f>
        <v>6.3160125157569486E-9</v>
      </c>
      <c r="EY123" s="24">
        <f t="shared" si="75"/>
        <v>15.278453261385339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88.717199999999735</v>
      </c>
      <c r="D124" s="12">
        <f t="shared" si="86"/>
        <v>24.255586507317027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872.07063268805916</v>
      </c>
      <c r="H124" s="70">
        <f t="shared" si="56"/>
        <v>490.09426983357662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306.99999999999994</v>
      </c>
      <c r="O124" s="14">
        <f>N124*VLOOKUP('Données projet'!$B$9,Paramètres!$A$1:$I$89,3,0)*VLOOKUP('Données projet'!$B$9,Paramètres!$A$1:$I$89,5,0)</f>
        <v>277.77359999999993</v>
      </c>
      <c r="P124" s="14">
        <f t="shared" si="87"/>
        <v>66.496288176842356</v>
      </c>
      <c r="Q124" s="22">
        <f t="shared" si="107"/>
        <v>599.60338857466706</v>
      </c>
      <c r="R124" s="62">
        <f t="shared" si="55"/>
        <v>892.93672190800044</v>
      </c>
      <c r="S124" s="62">
        <f ca="1">AVERAGE(OFFSET($R$3,0,0,'Données projet'!$E$9+1,1))-AVERAGE(OFFSET($H$3,0,0,'Données projet'!$E$9+1,1))</f>
        <v>312.57314929661908</v>
      </c>
      <c r="T124" s="62">
        <f t="shared" si="88"/>
        <v>190.92100876773804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68.135389923257932</v>
      </c>
      <c r="AA124" s="23">
        <f>EXP(-LN(2)/25)*AA123+(1-EXP(-LN(2)/25))/(LN(2)/25)*Calculateur!V124*Calculateur!X124*VLOOKUP('Données projet'!$B$9,Paramètres!$A$1:$I$89,3,0)*0.475*44/12</f>
        <v>2.8086992316799204</v>
      </c>
      <c r="AB124" s="23">
        <f>EXP(-LN(2)/2)*AB123+(1-EXP(-LN(2)/2))/(LN(2)/2)*V124*Y124*VLOOKUP('Données projet'!$B$9,Paramètres!$A$1:$I$89,3,0)*0.475*44/12</f>
        <v>0.18833302913922845</v>
      </c>
      <c r="AC124" s="24">
        <f t="shared" si="57"/>
        <v>71.132422184077086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306.99999999999994</v>
      </c>
      <c r="AJ124" s="14">
        <f>AI124*VLOOKUP('Données projet'!$B$10,Paramètres!$A$1:$I$89,3,0)*VLOOKUP('Données projet'!$B$10,Paramètres!$A$1:$I$89,5,0)</f>
        <v>311.298</v>
      </c>
      <c r="AK124" s="14">
        <f t="shared" si="89"/>
        <v>73.539838278528748</v>
      </c>
      <c r="AL124" s="22">
        <f t="shared" si="58"/>
        <v>670.25923500177089</v>
      </c>
      <c r="AM124" s="62">
        <f t="shared" si="59"/>
        <v>963.59256833510426</v>
      </c>
      <c r="AN124" s="62">
        <f ca="1">AVERAGE(OFFSET($AM$3,0,0,'Données projet'!$E$10+1,1))-AVERAGE(OFFSET($H$3,0,0,'Données projet'!$E$10+1,1))</f>
        <v>360.56293184044779</v>
      </c>
      <c r="AO124" s="62">
        <f t="shared" si="90"/>
        <v>219.32252911220542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76.35862663813387</v>
      </c>
      <c r="AV124" s="23">
        <f>EXP(-LN(2)/25)*AV123+(1-EXP(-LN(2)/25))/(LN(2)/25)*Calculateur!AQ124*Calculateur!AS124*VLOOKUP('Données projet'!$B$10,Paramètres!$A$1:$I$89,3,0)*0.475*44/12</f>
        <v>3.1476801734343947</v>
      </c>
      <c r="AW124" s="23">
        <f>EXP(-LN(2)/2)*AW123+(1-EXP(-LN(2)/2))/(LN(2)/2)*AQ124*AT124*VLOOKUP('Données projet'!$B$10,Paramètres!$A$1:$I$89,3,0)*0.475*44/12</f>
        <v>0.21106287748361813</v>
      </c>
      <c r="AX124" s="23">
        <f t="shared" si="60"/>
        <v>79.717369689051878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1.1368683772161603E-13</v>
      </c>
      <c r="BE124" s="14">
        <f>BD124*VLOOKUP('Données projet'!$B$11,Paramètres!$A$1:$I$89,3,0)*VLOOKUP('Données projet'!$B$11,Paramètres!$A$1:$I$89,5,0)</f>
        <v>8.3355189417488869E-14</v>
      </c>
      <c r="BF124" s="14">
        <f t="shared" si="91"/>
        <v>1.2790518435140618E-12</v>
      </c>
      <c r="BG124" s="22">
        <f t="shared" si="61"/>
        <v>2.3728589156891171E-12</v>
      </c>
      <c r="BH124" s="62">
        <f t="shared" si="62"/>
        <v>293.3333333333357</v>
      </c>
      <c r="BI124" s="62">
        <f ca="1">AVERAGE(OFFSET($BH$3,0,0,'Données projet'!$E$11+1,1))-AVERAGE(OFFSET($H$3,0,0,'Données projet'!$E$11+1,1))</f>
        <v>182.06733089745194</v>
      </c>
      <c r="BJ124" s="62">
        <f t="shared" si="92"/>
        <v>320.36755413886021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9.8548226679558866</v>
      </c>
      <c r="BQ124" s="23">
        <f>EXP(-LN(2)/25)*BQ123+(1-EXP(-LN(2)/25))/(LN(2)/25)*Calculateur!BL124*Calculateur!BN124*VLOOKUP('Données projet'!$B$11,Paramètres!$A$1:$I$89,3,0)*0.475*44/12</f>
        <v>1.0192767887140195</v>
      </c>
      <c r="BR124" s="23">
        <f>EXP(-LN(2)/2)*BR123+(1-EXP(-LN(2)/2))/(LN(2)/2)*BL124*BO124*VLOOKUP('Données projet'!$B$11,Paramètres!$A$1:$I$89,3,0)*0.475*44/12</f>
        <v>1.4879636224479352E-11</v>
      </c>
      <c r="BS124" s="24">
        <f t="shared" si="63"/>
        <v>10.874099456684785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319.99999999999972</v>
      </c>
      <c r="BZ124" s="14">
        <f>BY124*VLOOKUP('Données projet'!$B$12,Paramètres!$A$1:$I$89,3,0)*VLOOKUP('Données projet'!$B$12,Paramètres!$A$1:$I$89,5,0)</f>
        <v>279.55199999999979</v>
      </c>
      <c r="CA124" s="14">
        <f t="shared" si="93"/>
        <v>66.872324781216591</v>
      </c>
      <c r="CB124" s="22">
        <f t="shared" si="64"/>
        <v>603.35569899395182</v>
      </c>
      <c r="CC124" s="62">
        <f t="shared" si="65"/>
        <v>896.68903232728508</v>
      </c>
      <c r="CD124" s="62">
        <f ca="1">AVERAGE(OFFSET($CC$3,0,0,'Données projet'!$E$12+1,1))-AVERAGE(OFFSET($H$3,0,0,'Données projet'!$E$12+1,1))</f>
        <v>248.60758320902863</v>
      </c>
      <c r="CE124" s="62">
        <f t="shared" si="94"/>
        <v>222.23585883330111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24.025464249493538</v>
      </c>
      <c r="CL124" s="23">
        <f>EXP(-LN(2)/25)*CL123+(1-EXP(-LN(2)/25))/(LN(2)/25)*Calculateur!CG124*Calculateur!CI124*VLOOKUP('Données projet'!$B$12,Paramètres!$A$1:$I$89,3,0)*0.475*44/12</f>
        <v>2.3098393700508044</v>
      </c>
      <c r="CM124" s="23">
        <f>EXP(-LN(2)/2)*CM123+(1-EXP(-LN(2)/2))/(LN(2)/2)*CG124*CJ124*VLOOKUP('Données projet'!$B$12,Paramètres!$A$1:$I$89,3,0)*0.475*44/12</f>
        <v>1.2663023969182685E-6</v>
      </c>
      <c r="CN124" s="24">
        <f t="shared" si="66"/>
        <v>26.335304885846739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193.99999999999994</v>
      </c>
      <c r="CU124" s="18">
        <f>CT124*VLOOKUP('Données projet'!$B$13,Paramètres!$A$1:$I$89,3,0)*VLOOKUP('Données projet'!$B$13,Paramètres!$A$1:$I$89,5,0)</f>
        <v>105.92399999999998</v>
      </c>
      <c r="CV124" s="14">
        <f t="shared" si="95"/>
        <v>28.36854701055546</v>
      </c>
      <c r="CW124" s="22">
        <f t="shared" si="67"/>
        <v>233.89285271005073</v>
      </c>
      <c r="CX124" s="62">
        <f t="shared" si="68"/>
        <v>527.22618604338402</v>
      </c>
      <c r="CY124" s="62">
        <f ca="1">AVERAGE(OFFSET($CX$3,0,0,'Données projet'!$E$13+1,1))-AVERAGE(OFFSET($H$3,0,0,'Données projet'!$E$13+1,1))</f>
        <v>135.44138026609272</v>
      </c>
      <c r="CZ124" s="62">
        <f t="shared" si="96"/>
        <v>254.77247578425659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10.898906282108474</v>
      </c>
      <c r="DG124" s="23">
        <f>EXP(-LN(2)/25)*DG123+(1-EXP(-LN(2)/25))/(LN(2)/25)*Calculateur!DB124*Calculateur!DD124*VLOOKUP('Données projet'!$B$13,Paramètres!$A$1:$I$89,3,0)*0.475*44/12</f>
        <v>3.6286286905740717</v>
      </c>
      <c r="DH124" s="23">
        <f>EXP(-LN(2)/2)*DH123+(1-EXP(-LN(2)/2))/(LN(2)/2)*DB124*DE124*VLOOKUP('Données projet'!$B$13,Paramètres!$A$1:$I$89,3,0)*0.475*44/12</f>
        <v>1.7092981953782182E-12</v>
      </c>
      <c r="DI124" s="24">
        <f t="shared" si="69"/>
        <v>14.527534972684254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273.00000000000023</v>
      </c>
      <c r="DP124" s="18">
        <f>DO124*VLOOKUP('Données projet'!$B$14,Paramètres!$A$1:$I$89,3,0)*VLOOKUP('Données projet'!$B$14,Paramètres!$A$1:$I$89,5,0)</f>
        <v>264.04560000000021</v>
      </c>
      <c r="DQ124" s="14">
        <f t="shared" si="97"/>
        <v>63.583959929973794</v>
      </c>
      <c r="DR124" s="22">
        <f t="shared" si="70"/>
        <v>570.6214835447048</v>
      </c>
      <c r="DS124" s="62">
        <f t="shared" si="71"/>
        <v>863.95481687803817</v>
      </c>
      <c r="DT124" s="62">
        <f ca="1">AVERAGE(OFFSET($DS$3,0,0,'Données projet'!$E$14+1,1))-AVERAGE(OFFSET($H$3,0,0,'Données projet'!$E$14+1,1))</f>
        <v>271.09447278906288</v>
      </c>
      <c r="DU124" s="62">
        <f t="shared" si="98"/>
        <v>325.1094067861851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12.092825185251357</v>
      </c>
      <c r="EB124" s="23">
        <f>EXP(-LN(2)/25)*EB123+(1-EXP(-LN(2)/25))/(LN(2)/25)*Calculateur!DW124*Calculateur!DY124*VLOOKUP('Données projet'!$B$14,Paramètres!$A$1:$I$89,3,0)*0.475*44/12</f>
        <v>1.3556515398816209</v>
      </c>
      <c r="EC124" s="23">
        <f>EXP(-LN(2)/2)*EC123+(1-EXP(-LN(2)/2))/(LN(2)/2)*DW124*DZ124*VLOOKUP('Données projet'!$B$14,Paramètres!$A$1:$I$89,3,0)*0.475*44/12</f>
        <v>4.0130131501007607E-9</v>
      </c>
      <c r="ED124" s="24">
        <f t="shared" si="72"/>
        <v>13.448476729145991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273.00000000000023</v>
      </c>
      <c r="EK124" s="18">
        <f>EJ124*VLOOKUP('Données projet'!$B$15,Paramètres!$A$1:$I$89,3,0)*VLOOKUP('Données projet'!$B$15,Paramètres!$A$1:$I$89,5,0)</f>
        <v>293.85720000000026</v>
      </c>
      <c r="EL124" s="14">
        <f t="shared" si="99"/>
        <v>69.887150190339895</v>
      </c>
      <c r="EM124" s="22">
        <f t="shared" si="73"/>
        <v>633.52140991484237</v>
      </c>
      <c r="EN124" s="62">
        <f t="shared" si="74"/>
        <v>926.85474324817574</v>
      </c>
      <c r="EO124" s="62">
        <f ca="1">AVERAGE(OFFSET($EN$3,0,0,'Données projet'!$E$15+1,1))-AVERAGE(OFFSET($H$3,0,0,'Données projet'!$E$15+1,1))</f>
        <v>306.50593475734655</v>
      </c>
      <c r="EP124" s="62">
        <f t="shared" si="100"/>
        <v>366.48643801375079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13.458144157779742</v>
      </c>
      <c r="EW124" s="23">
        <f>EXP(-LN(2)/25)*EW123+(1-EXP(-LN(2)/25))/(LN(2)/25)*Calculateur!ER124*Calculateur!ET124*VLOOKUP('Données projet'!$B$15,Paramètres!$A$1:$I$89,3,0)*0.475*44/12</f>
        <v>1.5087089718037383</v>
      </c>
      <c r="EX124" s="23">
        <f>EXP(-LN(2)/2)*EX123+(1-EXP(-LN(2)/2))/(LN(2)/2)*ER124*EU124*VLOOKUP('Données projet'!$B$15,Paramètres!$A$1:$I$89,3,0)*0.475*44/12</f>
        <v>4.4660952799508442E-9</v>
      </c>
      <c r="EY124" s="24">
        <f t="shared" si="75"/>
        <v>14.966853134049575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89.450399999999732</v>
      </c>
      <c r="D125" s="12">
        <f t="shared" si="86"/>
        <v>24.432627491414117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879.09705431968598</v>
      </c>
      <c r="H125" s="70">
        <f t="shared" si="56"/>
        <v>491.67960621421241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306.99999999999994</v>
      </c>
      <c r="O125" s="14">
        <f>N125*VLOOKUP('Données projet'!$B$9,Paramètres!$A$1:$I$89,3,0)*VLOOKUP('Données projet'!$B$9,Paramètres!$A$1:$I$89,5,0)</f>
        <v>277.77359999999993</v>
      </c>
      <c r="P125" s="14">
        <f t="shared" si="87"/>
        <v>66.496288176842356</v>
      </c>
      <c r="Q125" s="22">
        <f t="shared" si="107"/>
        <v>599.60338857466706</v>
      </c>
      <c r="R125" s="62">
        <f t="shared" si="55"/>
        <v>892.93672190800044</v>
      </c>
      <c r="S125" s="62">
        <f ca="1">AVERAGE(OFFSET($R$3,0,0,'Données projet'!$E$9+1,1))-AVERAGE(OFFSET($H$3,0,0,'Données projet'!$E$9+1,1))</f>
        <v>312.57314929661908</v>
      </c>
      <c r="T125" s="62">
        <f t="shared" si="88"/>
        <v>190.92100876773804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66.799296485347142</v>
      </c>
      <c r="AA125" s="23">
        <f>EXP(-LN(2)/25)*AA124+(1-EXP(-LN(2)/25))/(LN(2)/25)*Calculateur!V125*Calculateur!X125*VLOOKUP('Données projet'!$B$9,Paramètres!$A$1:$I$89,3,0)*0.475*44/12</f>
        <v>2.7318952034865598</v>
      </c>
      <c r="AB125" s="23">
        <f>EXP(-LN(2)/2)*AB124+(1-EXP(-LN(2)/2))/(LN(2)/2)*V125*Y125*VLOOKUP('Données projet'!$B$9,Paramètres!$A$1:$I$89,3,0)*0.475*44/12</f>
        <v>0.13317156202575209</v>
      </c>
      <c r="AC125" s="24">
        <f t="shared" si="57"/>
        <v>69.664363250859452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306.99999999999994</v>
      </c>
      <c r="AJ125" s="14">
        <f>AI125*VLOOKUP('Données projet'!$B$10,Paramètres!$A$1:$I$89,3,0)*VLOOKUP('Données projet'!$B$10,Paramètres!$A$1:$I$89,5,0)</f>
        <v>311.298</v>
      </c>
      <c r="AK125" s="14">
        <f t="shared" si="89"/>
        <v>73.539838278528748</v>
      </c>
      <c r="AL125" s="22">
        <f t="shared" si="58"/>
        <v>670.25923500177089</v>
      </c>
      <c r="AM125" s="62">
        <f t="shared" si="59"/>
        <v>963.59256833510426</v>
      </c>
      <c r="AN125" s="62">
        <f ca="1">AVERAGE(OFFSET($AM$3,0,0,'Données projet'!$E$10+1,1))-AVERAGE(OFFSET($H$3,0,0,'Données projet'!$E$10+1,1))</f>
        <v>360.56293184044779</v>
      </c>
      <c r="AO125" s="62">
        <f t="shared" si="90"/>
        <v>219.32252911220542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74.861280543923499</v>
      </c>
      <c r="AV125" s="23">
        <f>EXP(-LN(2)/25)*AV124+(1-EXP(-LN(2)/25))/(LN(2)/25)*Calculateur!AQ125*Calculateur!AS125*VLOOKUP('Données projet'!$B$10,Paramètres!$A$1:$I$89,3,0)*0.475*44/12</f>
        <v>3.061606693562525</v>
      </c>
      <c r="AW125" s="23">
        <f>EXP(-LN(2)/2)*AW124+(1-EXP(-LN(2)/2))/(LN(2)/2)*AQ125*AT125*VLOOKUP('Données projet'!$B$10,Paramètres!$A$1:$I$89,3,0)*0.475*44/12</f>
        <v>0.14924399192541185</v>
      </c>
      <c r="AX125" s="23">
        <f t="shared" si="60"/>
        <v>78.07213122941144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1.1368683772161603E-13</v>
      </c>
      <c r="BE125" s="14">
        <f>BD125*VLOOKUP('Données projet'!$B$11,Paramètres!$A$1:$I$89,3,0)*VLOOKUP('Données projet'!$B$11,Paramètres!$A$1:$I$89,5,0)</f>
        <v>8.3355189417488869E-14</v>
      </c>
      <c r="BF125" s="14">
        <f t="shared" si="91"/>
        <v>1.2790518435140618E-12</v>
      </c>
      <c r="BG125" s="22">
        <f t="shared" si="61"/>
        <v>2.3728589156891171E-12</v>
      </c>
      <c r="BH125" s="62">
        <f t="shared" si="62"/>
        <v>293.3333333333357</v>
      </c>
      <c r="BI125" s="62">
        <f ca="1">AVERAGE(OFFSET($BH$3,0,0,'Données projet'!$E$11+1,1))-AVERAGE(OFFSET($H$3,0,0,'Données projet'!$E$11+1,1))</f>
        <v>182.06733089745194</v>
      </c>
      <c r="BJ125" s="62">
        <f t="shared" si="92"/>
        <v>320.36755413886021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9.6615756062855773</v>
      </c>
      <c r="BQ125" s="23">
        <f>EXP(-LN(2)/25)*BQ124+(1-EXP(-LN(2)/25))/(LN(2)/25)*Calculateur!BL125*Calculateur!BN125*VLOOKUP('Données projet'!$B$11,Paramètres!$A$1:$I$89,3,0)*0.475*44/12</f>
        <v>0.99140461132519786</v>
      </c>
      <c r="BR125" s="23">
        <f>EXP(-LN(2)/2)*BR124+(1-EXP(-LN(2)/2))/(LN(2)/2)*BL125*BO125*VLOOKUP('Données projet'!$B$11,Paramètres!$A$1:$I$89,3,0)*0.475*44/12</f>
        <v>1.0521491675918347E-11</v>
      </c>
      <c r="BS125" s="24">
        <f t="shared" si="63"/>
        <v>10.652980217621296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319.99999999999972</v>
      </c>
      <c r="BZ125" s="14">
        <f>BY125*VLOOKUP('Données projet'!$B$12,Paramètres!$A$1:$I$89,3,0)*VLOOKUP('Données projet'!$B$12,Paramètres!$A$1:$I$89,5,0)</f>
        <v>279.55199999999979</v>
      </c>
      <c r="CA125" s="14">
        <f t="shared" si="93"/>
        <v>66.872324781216591</v>
      </c>
      <c r="CB125" s="22">
        <f t="shared" si="64"/>
        <v>603.35569899395182</v>
      </c>
      <c r="CC125" s="62">
        <f t="shared" si="65"/>
        <v>896.68903232728508</v>
      </c>
      <c r="CD125" s="62">
        <f ca="1">AVERAGE(OFFSET($CC$3,0,0,'Données projet'!$E$12+1,1))-AVERAGE(OFFSET($H$3,0,0,'Données projet'!$E$12+1,1))</f>
        <v>248.60758320902863</v>
      </c>
      <c r="CE125" s="62">
        <f t="shared" si="94"/>
        <v>222.23585883330111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23.554339549647192</v>
      </c>
      <c r="CL125" s="23">
        <f>EXP(-LN(2)/25)*CL124+(1-EXP(-LN(2)/25))/(LN(2)/25)*Calculateur!CG125*Calculateur!CI125*VLOOKUP('Données projet'!$B$12,Paramètres!$A$1:$I$89,3,0)*0.475*44/12</f>
        <v>2.2466766910075919</v>
      </c>
      <c r="CM125" s="23">
        <f>EXP(-LN(2)/2)*CM124+(1-EXP(-LN(2)/2))/(LN(2)/2)*CG125*CJ125*VLOOKUP('Données projet'!$B$12,Paramètres!$A$1:$I$89,3,0)*0.475*44/12</f>
        <v>8.9541101189368674E-7</v>
      </c>
      <c r="CN125" s="24">
        <f t="shared" si="66"/>
        <v>25.801017136065798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193.99999999999994</v>
      </c>
      <c r="CU125" s="18">
        <f>CT125*VLOOKUP('Données projet'!$B$13,Paramètres!$A$1:$I$89,3,0)*VLOOKUP('Données projet'!$B$13,Paramètres!$A$1:$I$89,5,0)</f>
        <v>105.92399999999998</v>
      </c>
      <c r="CV125" s="14">
        <f t="shared" si="95"/>
        <v>28.36854701055546</v>
      </c>
      <c r="CW125" s="22">
        <f t="shared" si="67"/>
        <v>233.89285271005073</v>
      </c>
      <c r="CX125" s="62">
        <f t="shared" si="68"/>
        <v>527.22618604338402</v>
      </c>
      <c r="CY125" s="62">
        <f ca="1">AVERAGE(OFFSET($CX$3,0,0,'Données projet'!$E$13+1,1))-AVERAGE(OFFSET($H$3,0,0,'Données projet'!$E$13+1,1))</f>
        <v>135.44138026609272</v>
      </c>
      <c r="CZ125" s="62">
        <f t="shared" si="96"/>
        <v>254.77247578425659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10.685185377592756</v>
      </c>
      <c r="DG125" s="23">
        <f>EXP(-LN(2)/25)*DG124+(1-EXP(-LN(2)/25))/(LN(2)/25)*Calculateur!DB125*Calculateur!DD125*VLOOKUP('Données projet'!$B$13,Paramètres!$A$1:$I$89,3,0)*0.475*44/12</f>
        <v>3.5294036482090343</v>
      </c>
      <c r="DH125" s="23">
        <f>EXP(-LN(2)/2)*DH124+(1-EXP(-LN(2)/2))/(LN(2)/2)*DB125*DE125*VLOOKUP('Données projet'!$B$13,Paramètres!$A$1:$I$89,3,0)*0.475*44/12</f>
        <v>1.2086563450218663E-12</v>
      </c>
      <c r="DI125" s="24">
        <f t="shared" si="69"/>
        <v>14.214589025802997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273.00000000000023</v>
      </c>
      <c r="DP125" s="18">
        <f>DO125*VLOOKUP('Données projet'!$B$14,Paramètres!$A$1:$I$89,3,0)*VLOOKUP('Données projet'!$B$14,Paramètres!$A$1:$I$89,5,0)</f>
        <v>264.04560000000021</v>
      </c>
      <c r="DQ125" s="14">
        <f t="shared" si="97"/>
        <v>63.583959929973794</v>
      </c>
      <c r="DR125" s="22">
        <f t="shared" si="70"/>
        <v>570.6214835447048</v>
      </c>
      <c r="DS125" s="62">
        <f t="shared" si="71"/>
        <v>863.95481687803817</v>
      </c>
      <c r="DT125" s="62">
        <f ca="1">AVERAGE(OFFSET($DS$3,0,0,'Données projet'!$E$14+1,1))-AVERAGE(OFFSET($H$3,0,0,'Données projet'!$E$14+1,1))</f>
        <v>271.09447278906288</v>
      </c>
      <c r="DU125" s="62">
        <f t="shared" si="98"/>
        <v>325.1094067861851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11.855692259263632</v>
      </c>
      <c r="EB125" s="23">
        <f>EXP(-LN(2)/25)*EB124+(1-EXP(-LN(2)/25))/(LN(2)/25)*Calculateur!DW125*Calculateur!DY125*VLOOKUP('Données projet'!$B$14,Paramètres!$A$1:$I$89,3,0)*0.475*44/12</f>
        <v>1.3185811772329419</v>
      </c>
      <c r="EC125" s="23">
        <f>EXP(-LN(2)/2)*EC124+(1-EXP(-LN(2)/2))/(LN(2)/2)*DW125*DZ125*VLOOKUP('Données projet'!$B$14,Paramètres!$A$1:$I$89,3,0)*0.475*44/12</f>
        <v>2.8376288114270364E-9</v>
      </c>
      <c r="ED125" s="24">
        <f t="shared" si="72"/>
        <v>13.174273439334202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273.00000000000023</v>
      </c>
      <c r="EK125" s="18">
        <f>EJ125*VLOOKUP('Données projet'!$B$15,Paramètres!$A$1:$I$89,3,0)*VLOOKUP('Données projet'!$B$15,Paramètres!$A$1:$I$89,5,0)</f>
        <v>293.85720000000026</v>
      </c>
      <c r="EL125" s="14">
        <f t="shared" si="99"/>
        <v>69.887150190339895</v>
      </c>
      <c r="EM125" s="22">
        <f t="shared" si="73"/>
        <v>633.52140991484237</v>
      </c>
      <c r="EN125" s="62">
        <f t="shared" si="74"/>
        <v>926.85474324817574</v>
      </c>
      <c r="EO125" s="62">
        <f ca="1">AVERAGE(OFFSET($EN$3,0,0,'Données projet'!$E$15+1,1))-AVERAGE(OFFSET($H$3,0,0,'Données projet'!$E$15+1,1))</f>
        <v>306.50593475734655</v>
      </c>
      <c r="EP125" s="62">
        <f t="shared" si="100"/>
        <v>366.48643801375079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13.19423815950308</v>
      </c>
      <c r="EW125" s="23">
        <f>EXP(-LN(2)/25)*EW124+(1-EXP(-LN(2)/25))/(LN(2)/25)*Calculateur!ER125*Calculateur!ET125*VLOOKUP('Données projet'!$B$15,Paramètres!$A$1:$I$89,3,0)*0.475*44/12</f>
        <v>1.4674532456302085</v>
      </c>
      <c r="EX125" s="23">
        <f>EXP(-LN(2)/2)*EX124+(1-EXP(-LN(2)/2))/(LN(2)/2)*ER125*EU125*VLOOKUP('Données projet'!$B$15,Paramètres!$A$1:$I$89,3,0)*0.475*44/12</f>
        <v>3.1580062578784743E-9</v>
      </c>
      <c r="EY125" s="24">
        <f t="shared" si="75"/>
        <v>14.661691408291293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90.183599999999728</v>
      </c>
      <c r="D126" s="12">
        <f t="shared" si="86"/>
        <v>24.609499639553714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886.12217265620211</v>
      </c>
      <c r="H126" s="70">
        <f t="shared" si="56"/>
        <v>493.26464853888888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306.99999999999994</v>
      </c>
      <c r="O126" s="14">
        <f>N126*VLOOKUP('Données projet'!$B$9,Paramètres!$A$1:$I$89,3,0)*VLOOKUP('Données projet'!$B$9,Paramètres!$A$1:$I$89,5,0)</f>
        <v>277.77359999999993</v>
      </c>
      <c r="P126" s="14">
        <f t="shared" si="87"/>
        <v>66.496288176842356</v>
      </c>
      <c r="Q126" s="22">
        <f t="shared" si="107"/>
        <v>599.60338857466706</v>
      </c>
      <c r="R126" s="62">
        <f t="shared" si="55"/>
        <v>892.93672190800044</v>
      </c>
      <c r="S126" s="62">
        <f ca="1">AVERAGE(OFFSET($R$3,0,0,'Données projet'!$E$9+1,1))-AVERAGE(OFFSET($H$3,0,0,'Données projet'!$E$9+1,1))</f>
        <v>312.57314929661908</v>
      </c>
      <c r="T126" s="62">
        <f t="shared" si="88"/>
        <v>190.92100876773804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65.48940302481725</v>
      </c>
      <c r="AA126" s="23">
        <f>EXP(-LN(2)/25)*AA125+(1-EXP(-LN(2)/25))/(LN(2)/25)*Calculateur!V126*Calculateur!X126*VLOOKUP('Données projet'!$B$9,Paramètres!$A$1:$I$89,3,0)*0.475*44/12</f>
        <v>2.6571913854830949</v>
      </c>
      <c r="AB126" s="23">
        <f>EXP(-LN(2)/2)*AB125+(1-EXP(-LN(2)/2))/(LN(2)/2)*V126*Y126*VLOOKUP('Données projet'!$B$9,Paramètres!$A$1:$I$89,3,0)*0.475*44/12</f>
        <v>9.4166514569614224E-2</v>
      </c>
      <c r="AC126" s="24">
        <f t="shared" si="57"/>
        <v>68.240760924869946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306.99999999999994</v>
      </c>
      <c r="AJ126" s="14">
        <f>AI126*VLOOKUP('Données projet'!$B$10,Paramètres!$A$1:$I$89,3,0)*VLOOKUP('Données projet'!$B$10,Paramètres!$A$1:$I$89,5,0)</f>
        <v>311.298</v>
      </c>
      <c r="AK126" s="14">
        <f t="shared" si="89"/>
        <v>73.539838278528748</v>
      </c>
      <c r="AL126" s="22">
        <f t="shared" si="58"/>
        <v>670.25923500177089</v>
      </c>
      <c r="AM126" s="62">
        <f t="shared" si="59"/>
        <v>963.59256833510426</v>
      </c>
      <c r="AN126" s="62">
        <f ca="1">AVERAGE(OFFSET($AM$3,0,0,'Données projet'!$E$10+1,1))-AVERAGE(OFFSET($H$3,0,0,'Données projet'!$E$10+1,1))</f>
        <v>360.56293184044779</v>
      </c>
      <c r="AO126" s="62">
        <f t="shared" si="90"/>
        <v>219.32252911220542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73.393296493329657</v>
      </c>
      <c r="AV126" s="23">
        <f>EXP(-LN(2)/25)*AV125+(1-EXP(-LN(2)/25))/(LN(2)/25)*Calculateur!AQ126*Calculateur!AS126*VLOOKUP('Données projet'!$B$10,Paramètres!$A$1:$I$89,3,0)*0.475*44/12</f>
        <v>2.9778868975241592</v>
      </c>
      <c r="AW126" s="23">
        <f>EXP(-LN(2)/2)*AW125+(1-EXP(-LN(2)/2))/(LN(2)/2)*AQ126*AT126*VLOOKUP('Données projet'!$B$10,Paramètres!$A$1:$I$89,3,0)*0.475*44/12</f>
        <v>0.10553143874180906</v>
      </c>
      <c r="AX126" s="23">
        <f t="shared" si="60"/>
        <v>76.476714829595622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1.1368683772161603E-13</v>
      </c>
      <c r="BE126" s="14">
        <f>BD126*VLOOKUP('Données projet'!$B$11,Paramètres!$A$1:$I$89,3,0)*VLOOKUP('Données projet'!$B$11,Paramètres!$A$1:$I$89,5,0)</f>
        <v>8.3355189417488869E-14</v>
      </c>
      <c r="BF126" s="14">
        <f t="shared" si="91"/>
        <v>1.2790518435140618E-12</v>
      </c>
      <c r="BG126" s="22">
        <f t="shared" si="61"/>
        <v>2.3728589156891171E-12</v>
      </c>
      <c r="BH126" s="62">
        <f t="shared" si="62"/>
        <v>293.3333333333357</v>
      </c>
      <c r="BI126" s="62">
        <f ca="1">AVERAGE(OFFSET($BH$3,0,0,'Données projet'!$E$11+1,1))-AVERAGE(OFFSET($H$3,0,0,'Données projet'!$E$11+1,1))</f>
        <v>182.06733089745194</v>
      </c>
      <c r="BJ126" s="62">
        <f t="shared" si="92"/>
        <v>320.36755413886021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9.4721180016255531</v>
      </c>
      <c r="BQ126" s="23">
        <f>EXP(-LN(2)/25)*BQ125+(1-EXP(-LN(2)/25))/(LN(2)/25)*Calculateur!BL126*Calculateur!BN126*VLOOKUP('Données projet'!$B$11,Paramètres!$A$1:$I$89,3,0)*0.475*44/12</f>
        <v>0.96429460009280765</v>
      </c>
      <c r="BR126" s="23">
        <f>EXP(-LN(2)/2)*BR125+(1-EXP(-LN(2)/2))/(LN(2)/2)*BL126*BO126*VLOOKUP('Données projet'!$B$11,Paramètres!$A$1:$I$89,3,0)*0.475*44/12</f>
        <v>7.4398181122396758E-12</v>
      </c>
      <c r="BS126" s="24">
        <f t="shared" si="63"/>
        <v>10.436412601725801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319.99999999999972</v>
      </c>
      <c r="BZ126" s="14">
        <f>BY126*VLOOKUP('Données projet'!$B$12,Paramètres!$A$1:$I$89,3,0)*VLOOKUP('Données projet'!$B$12,Paramètres!$A$1:$I$89,5,0)</f>
        <v>279.55199999999979</v>
      </c>
      <c r="CA126" s="14">
        <f t="shared" si="93"/>
        <v>66.872324781216591</v>
      </c>
      <c r="CB126" s="22">
        <f t="shared" si="64"/>
        <v>603.35569899395182</v>
      </c>
      <c r="CC126" s="62">
        <f t="shared" si="65"/>
        <v>896.68903232728508</v>
      </c>
      <c r="CD126" s="62">
        <f ca="1">AVERAGE(OFFSET($CC$3,0,0,'Données projet'!$E$12+1,1))-AVERAGE(OFFSET($H$3,0,0,'Données projet'!$E$12+1,1))</f>
        <v>248.60758320902863</v>
      </c>
      <c r="CE126" s="62">
        <f t="shared" si="94"/>
        <v>222.23585883330111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23.092453317807138</v>
      </c>
      <c r="CL126" s="23">
        <f>EXP(-LN(2)/25)*CL125+(1-EXP(-LN(2)/25))/(LN(2)/25)*Calculateur!CG126*Calculateur!CI126*VLOOKUP('Données projet'!$B$12,Paramètres!$A$1:$I$89,3,0)*0.475*44/12</f>
        <v>2.1852411987443969</v>
      </c>
      <c r="CM126" s="23">
        <f>EXP(-LN(2)/2)*CM125+(1-EXP(-LN(2)/2))/(LN(2)/2)*CG126*CJ126*VLOOKUP('Données projet'!$B$12,Paramètres!$A$1:$I$89,3,0)*0.475*44/12</f>
        <v>6.3315119845913424E-7</v>
      </c>
      <c r="CN126" s="24">
        <f t="shared" si="66"/>
        <v>25.277695149702733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193.99999999999994</v>
      </c>
      <c r="CU126" s="18">
        <f>CT126*VLOOKUP('Données projet'!$B$13,Paramètres!$A$1:$I$89,3,0)*VLOOKUP('Données projet'!$B$13,Paramètres!$A$1:$I$89,5,0)</f>
        <v>105.92399999999998</v>
      </c>
      <c r="CV126" s="14">
        <f t="shared" si="95"/>
        <v>28.36854701055546</v>
      </c>
      <c r="CW126" s="22">
        <f t="shared" si="67"/>
        <v>233.89285271005073</v>
      </c>
      <c r="CX126" s="62">
        <f t="shared" si="68"/>
        <v>527.22618604338402</v>
      </c>
      <c r="CY126" s="62">
        <f ca="1">AVERAGE(OFFSET($CX$3,0,0,'Données projet'!$E$13+1,1))-AVERAGE(OFFSET($H$3,0,0,'Données projet'!$E$13+1,1))</f>
        <v>135.44138026609272</v>
      </c>
      <c r="CZ126" s="62">
        <f t="shared" si="96"/>
        <v>254.77247578425659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10.47565540965771</v>
      </c>
      <c r="DG126" s="23">
        <f>EXP(-LN(2)/25)*DG125+(1-EXP(-LN(2)/25))/(LN(2)/25)*Calculateur!DB126*Calculateur!DD126*VLOOKUP('Données projet'!$B$13,Paramètres!$A$1:$I$89,3,0)*0.475*44/12</f>
        <v>3.432891919845487</v>
      </c>
      <c r="DH126" s="23">
        <f>EXP(-LN(2)/2)*DH125+(1-EXP(-LN(2)/2))/(LN(2)/2)*DB126*DE126*VLOOKUP('Données projet'!$B$13,Paramètres!$A$1:$I$89,3,0)*0.475*44/12</f>
        <v>8.5464909768910908E-13</v>
      </c>
      <c r="DI126" s="24">
        <f t="shared" si="69"/>
        <v>13.908547329504051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273.00000000000023</v>
      </c>
      <c r="DP126" s="18">
        <f>DO126*VLOOKUP('Données projet'!$B$14,Paramètres!$A$1:$I$89,3,0)*VLOOKUP('Données projet'!$B$14,Paramètres!$A$1:$I$89,5,0)</f>
        <v>264.04560000000021</v>
      </c>
      <c r="DQ126" s="14">
        <f t="shared" si="97"/>
        <v>63.583959929973794</v>
      </c>
      <c r="DR126" s="22">
        <f t="shared" si="70"/>
        <v>570.6214835447048</v>
      </c>
      <c r="DS126" s="62">
        <f t="shared" si="71"/>
        <v>863.95481687803817</v>
      </c>
      <c r="DT126" s="62">
        <f ca="1">AVERAGE(OFFSET($DS$3,0,0,'Données projet'!$E$14+1,1))-AVERAGE(OFFSET($H$3,0,0,'Données projet'!$E$14+1,1))</f>
        <v>271.09447278906288</v>
      </c>
      <c r="DU126" s="62">
        <f t="shared" si="98"/>
        <v>325.1094067861851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11.623209365317724</v>
      </c>
      <c r="EB126" s="23">
        <f>EXP(-LN(2)/25)*EB125+(1-EXP(-LN(2)/25))/(LN(2)/25)*Calculateur!DW126*Calculateur!DY126*VLOOKUP('Données projet'!$B$14,Paramètres!$A$1:$I$89,3,0)*0.475*44/12</f>
        <v>1.2825245056003367</v>
      </c>
      <c r="EC126" s="23">
        <f>EXP(-LN(2)/2)*EC125+(1-EXP(-LN(2)/2))/(LN(2)/2)*DW126*DZ126*VLOOKUP('Données projet'!$B$14,Paramètres!$A$1:$I$89,3,0)*0.475*44/12</f>
        <v>2.0065065750503803E-9</v>
      </c>
      <c r="ED126" s="24">
        <f t="shared" si="72"/>
        <v>12.905733872924568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273.00000000000023</v>
      </c>
      <c r="EK126" s="18">
        <f>EJ126*VLOOKUP('Données projet'!$B$15,Paramètres!$A$1:$I$89,3,0)*VLOOKUP('Données projet'!$B$15,Paramètres!$A$1:$I$89,5,0)</f>
        <v>293.85720000000026</v>
      </c>
      <c r="EL126" s="14">
        <f t="shared" si="99"/>
        <v>69.887150190339895</v>
      </c>
      <c r="EM126" s="22">
        <f t="shared" si="73"/>
        <v>633.52140991484237</v>
      </c>
      <c r="EN126" s="62">
        <f t="shared" si="74"/>
        <v>926.85474324817574</v>
      </c>
      <c r="EO126" s="62">
        <f ca="1">AVERAGE(OFFSET($EN$3,0,0,'Données projet'!$E$15+1,1))-AVERAGE(OFFSET($H$3,0,0,'Données projet'!$E$15+1,1))</f>
        <v>306.50593475734655</v>
      </c>
      <c r="EP126" s="62">
        <f t="shared" si="100"/>
        <v>366.48643801375079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12.935507196885858</v>
      </c>
      <c r="EW126" s="23">
        <f>EXP(-LN(2)/25)*EW125+(1-EXP(-LN(2)/25))/(LN(2)/25)*Calculateur!ER126*Calculateur!ET126*VLOOKUP('Données projet'!$B$15,Paramètres!$A$1:$I$89,3,0)*0.475*44/12</f>
        <v>1.4273256594584383</v>
      </c>
      <c r="EX126" s="23">
        <f>EXP(-LN(2)/2)*EX125+(1-EXP(-LN(2)/2))/(LN(2)/2)*ER126*EU126*VLOOKUP('Données projet'!$B$15,Paramètres!$A$1:$I$89,3,0)*0.475*44/12</f>
        <v>2.2330476399754221E-9</v>
      </c>
      <c r="EY126" s="24">
        <f t="shared" si="75"/>
        <v>14.362832858577343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90.916799999999725</v>
      </c>
      <c r="D127" s="12">
        <f t="shared" si="86"/>
        <v>24.786204483471373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893.14599952153128</v>
      </c>
      <c r="H127" s="70">
        <f t="shared" si="56"/>
        <v>494.84939947537879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306.99999999999994</v>
      </c>
      <c r="O127" s="14">
        <f>N127*VLOOKUP('Données projet'!$B$9,Paramètres!$A$1:$I$89,3,0)*VLOOKUP('Données projet'!$B$9,Paramètres!$A$1:$I$89,5,0)</f>
        <v>277.77359999999993</v>
      </c>
      <c r="P127" s="14">
        <f t="shared" si="87"/>
        <v>66.496288176842356</v>
      </c>
      <c r="Q127" s="22">
        <f t="shared" si="107"/>
        <v>599.60338857466706</v>
      </c>
      <c r="R127" s="62">
        <f t="shared" si="55"/>
        <v>892.93672190800044</v>
      </c>
      <c r="S127" s="62">
        <f ca="1">AVERAGE(OFFSET($R$3,0,0,'Données projet'!$E$9+1,1))-AVERAGE(OFFSET($H$3,0,0,'Données projet'!$E$9+1,1))</f>
        <v>312.57314929661908</v>
      </c>
      <c r="T127" s="62">
        <f t="shared" si="88"/>
        <v>190.92100876773804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64.205195776092225</v>
      </c>
      <c r="AA127" s="23">
        <f>EXP(-LN(2)/25)*AA126+(1-EXP(-LN(2)/25))/(LN(2)/25)*Calculateur!V127*Calculateur!X127*VLOOKUP('Données projet'!$B$9,Paramètres!$A$1:$I$89,3,0)*0.475*44/12</f>
        <v>2.5845303473114378</v>
      </c>
      <c r="AB127" s="23">
        <f>EXP(-LN(2)/2)*AB126+(1-EXP(-LN(2)/2))/(LN(2)/2)*V127*Y127*VLOOKUP('Données projet'!$B$9,Paramètres!$A$1:$I$89,3,0)*0.475*44/12</f>
        <v>6.6585781012876044E-2</v>
      </c>
      <c r="AC127" s="24">
        <f t="shared" si="57"/>
        <v>66.856311904416543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306.99999999999994</v>
      </c>
      <c r="AJ127" s="14">
        <f>AI127*VLOOKUP('Données projet'!$B$10,Paramètres!$A$1:$I$89,3,0)*VLOOKUP('Données projet'!$B$10,Paramètres!$A$1:$I$89,5,0)</f>
        <v>311.298</v>
      </c>
      <c r="AK127" s="14">
        <f t="shared" si="89"/>
        <v>73.539838278528748</v>
      </c>
      <c r="AL127" s="22">
        <f t="shared" si="58"/>
        <v>670.25923500177089</v>
      </c>
      <c r="AM127" s="62">
        <f t="shared" si="59"/>
        <v>963.59256833510426</v>
      </c>
      <c r="AN127" s="62">
        <f ca="1">AVERAGE(OFFSET($AM$3,0,0,'Données projet'!$E$10+1,1))-AVERAGE(OFFSET($H$3,0,0,'Données projet'!$E$10+1,1))</f>
        <v>360.56293184044779</v>
      </c>
      <c r="AO127" s="62">
        <f t="shared" si="90"/>
        <v>219.32252911220542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71.954098714586095</v>
      </c>
      <c r="AV127" s="23">
        <f>EXP(-LN(2)/25)*AV126+(1-EXP(-LN(2)/25))/(LN(2)/25)*Calculateur!AQ127*Calculateur!AS127*VLOOKUP('Données projet'!$B$10,Paramètres!$A$1:$I$89,3,0)*0.475*44/12</f>
        <v>2.8964564237110952</v>
      </c>
      <c r="AW127" s="23">
        <f>EXP(-LN(2)/2)*AW126+(1-EXP(-LN(2)/2))/(LN(2)/2)*AQ127*AT127*VLOOKUP('Données projet'!$B$10,Paramètres!$A$1:$I$89,3,0)*0.475*44/12</f>
        <v>7.4621995962705925E-2</v>
      </c>
      <c r="AX127" s="23">
        <f t="shared" si="60"/>
        <v>74.925177134259897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1.1368683772161603E-13</v>
      </c>
      <c r="BE127" s="14">
        <f>BD127*VLOOKUP('Données projet'!$B$11,Paramètres!$A$1:$I$89,3,0)*VLOOKUP('Données projet'!$B$11,Paramètres!$A$1:$I$89,5,0)</f>
        <v>8.3355189417488869E-14</v>
      </c>
      <c r="BF127" s="14">
        <f t="shared" si="91"/>
        <v>1.2790518435140618E-12</v>
      </c>
      <c r="BG127" s="22">
        <f t="shared" si="61"/>
        <v>2.3728589156891171E-12</v>
      </c>
      <c r="BH127" s="62">
        <f t="shared" si="62"/>
        <v>293.3333333333357</v>
      </c>
      <c r="BI127" s="62">
        <f ca="1">AVERAGE(OFFSET($BH$3,0,0,'Données projet'!$E$11+1,1))-AVERAGE(OFFSET($H$3,0,0,'Données projet'!$E$11+1,1))</f>
        <v>182.06733089745194</v>
      </c>
      <c r="BJ127" s="62">
        <f t="shared" si="92"/>
        <v>320.36755413886021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9.2863755450351846</v>
      </c>
      <c r="BQ127" s="23">
        <f>EXP(-LN(2)/25)*BQ126+(1-EXP(-LN(2)/25))/(LN(2)/25)*Calculateur!BL127*Calculateur!BN127*VLOOKUP('Données projet'!$B$11,Paramètres!$A$1:$I$89,3,0)*0.475*44/12</f>
        <v>0.93792591354322075</v>
      </c>
      <c r="BR127" s="23">
        <f>EXP(-LN(2)/2)*BR126+(1-EXP(-LN(2)/2))/(LN(2)/2)*BL127*BO127*VLOOKUP('Données projet'!$B$11,Paramètres!$A$1:$I$89,3,0)*0.475*44/12</f>
        <v>5.2607458379591735E-12</v>
      </c>
      <c r="BS127" s="24">
        <f t="shared" si="63"/>
        <v>10.224301458583668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319.99999999999972</v>
      </c>
      <c r="BZ127" s="14">
        <f>BY127*VLOOKUP('Données projet'!$B$12,Paramètres!$A$1:$I$89,3,0)*VLOOKUP('Données projet'!$B$12,Paramètres!$A$1:$I$89,5,0)</f>
        <v>279.55199999999979</v>
      </c>
      <c r="CA127" s="14">
        <f t="shared" si="93"/>
        <v>66.872324781216591</v>
      </c>
      <c r="CB127" s="22">
        <f t="shared" si="64"/>
        <v>603.35569899395182</v>
      </c>
      <c r="CC127" s="62">
        <f t="shared" si="65"/>
        <v>896.68903232728508</v>
      </c>
      <c r="CD127" s="62">
        <f ca="1">AVERAGE(OFFSET($CC$3,0,0,'Données projet'!$E$12+1,1))-AVERAGE(OFFSET($H$3,0,0,'Données projet'!$E$12+1,1))</f>
        <v>248.60758320902863</v>
      </c>
      <c r="CE127" s="62">
        <f t="shared" si="94"/>
        <v>222.23585883330111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22.639624393250685</v>
      </c>
      <c r="CL127" s="23">
        <f>EXP(-LN(2)/25)*CL126+(1-EXP(-LN(2)/25))/(LN(2)/25)*Calculateur!CG127*Calculateur!CI127*VLOOKUP('Données projet'!$B$12,Paramètres!$A$1:$I$89,3,0)*0.475*44/12</f>
        <v>2.1254856632478911</v>
      </c>
      <c r="CM127" s="23">
        <f>EXP(-LN(2)/2)*CM126+(1-EXP(-LN(2)/2))/(LN(2)/2)*CG127*CJ127*VLOOKUP('Données projet'!$B$12,Paramètres!$A$1:$I$89,3,0)*0.475*44/12</f>
        <v>4.4770550594684337E-7</v>
      </c>
      <c r="CN127" s="24">
        <f t="shared" si="66"/>
        <v>24.765110504204081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193.99999999999994</v>
      </c>
      <c r="CU127" s="18">
        <f>CT127*VLOOKUP('Données projet'!$B$13,Paramètres!$A$1:$I$89,3,0)*VLOOKUP('Données projet'!$B$13,Paramètres!$A$1:$I$89,5,0)</f>
        <v>105.92399999999998</v>
      </c>
      <c r="CV127" s="14">
        <f t="shared" si="95"/>
        <v>28.36854701055546</v>
      </c>
      <c r="CW127" s="22">
        <f t="shared" si="67"/>
        <v>233.89285271005073</v>
      </c>
      <c r="CX127" s="62">
        <f t="shared" si="68"/>
        <v>527.22618604338402</v>
      </c>
      <c r="CY127" s="62">
        <f ca="1">AVERAGE(OFFSET($CX$3,0,0,'Données projet'!$E$13+1,1))-AVERAGE(OFFSET($H$3,0,0,'Données projet'!$E$13+1,1))</f>
        <v>135.44138026609272</v>
      </c>
      <c r="CZ127" s="62">
        <f t="shared" si="96"/>
        <v>254.77247578425659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10.27023419659321</v>
      </c>
      <c r="DG127" s="23">
        <f>EXP(-LN(2)/25)*DG126+(1-EXP(-LN(2)/25))/(LN(2)/25)*Calculateur!DB127*Calculateur!DD127*VLOOKUP('Données projet'!$B$13,Paramètres!$A$1:$I$89,3,0)*0.475*44/12</f>
        <v>3.3390193097693719</v>
      </c>
      <c r="DH127" s="23">
        <f>EXP(-LN(2)/2)*DH126+(1-EXP(-LN(2)/2))/(LN(2)/2)*DB127*DE127*VLOOKUP('Données projet'!$B$13,Paramètres!$A$1:$I$89,3,0)*0.475*44/12</f>
        <v>6.0432817251093313E-13</v>
      </c>
      <c r="DI127" s="24">
        <f t="shared" si="69"/>
        <v>13.609253506363185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273.00000000000023</v>
      </c>
      <c r="DP127" s="18">
        <f>DO127*VLOOKUP('Données projet'!$B$14,Paramètres!$A$1:$I$89,3,0)*VLOOKUP('Données projet'!$B$14,Paramètres!$A$1:$I$89,5,0)</f>
        <v>264.04560000000021</v>
      </c>
      <c r="DQ127" s="14">
        <f t="shared" si="97"/>
        <v>63.583959929973794</v>
      </c>
      <c r="DR127" s="22">
        <f t="shared" si="70"/>
        <v>570.6214835447048</v>
      </c>
      <c r="DS127" s="62">
        <f t="shared" si="71"/>
        <v>863.95481687803817</v>
      </c>
      <c r="DT127" s="62">
        <f ca="1">AVERAGE(OFFSET($DS$3,0,0,'Données projet'!$E$14+1,1))-AVERAGE(OFFSET($H$3,0,0,'Données projet'!$E$14+1,1))</f>
        <v>271.09447278906288</v>
      </c>
      <c r="DU127" s="62">
        <f t="shared" si="98"/>
        <v>325.1094067861851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11.39528531912153</v>
      </c>
      <c r="EB127" s="23">
        <f>EXP(-LN(2)/25)*EB126+(1-EXP(-LN(2)/25))/(LN(2)/25)*Calculateur!DW127*Calculateur!DY127*VLOOKUP('Données projet'!$B$14,Paramètres!$A$1:$I$89,3,0)*0.475*44/12</f>
        <v>1.2474538055496629</v>
      </c>
      <c r="EC127" s="23">
        <f>EXP(-LN(2)/2)*EC126+(1-EXP(-LN(2)/2))/(LN(2)/2)*DW127*DZ127*VLOOKUP('Données projet'!$B$14,Paramètres!$A$1:$I$89,3,0)*0.475*44/12</f>
        <v>1.4188144057135182E-9</v>
      </c>
      <c r="ED127" s="24">
        <f t="shared" si="72"/>
        <v>12.642739126090008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273.00000000000023</v>
      </c>
      <c r="EK127" s="18">
        <f>EJ127*VLOOKUP('Données projet'!$B$15,Paramètres!$A$1:$I$89,3,0)*VLOOKUP('Données projet'!$B$15,Paramètres!$A$1:$I$89,5,0)</f>
        <v>293.85720000000026</v>
      </c>
      <c r="EL127" s="14">
        <f t="shared" si="99"/>
        <v>69.887150190339895</v>
      </c>
      <c r="EM127" s="22">
        <f t="shared" si="73"/>
        <v>633.52140991484237</v>
      </c>
      <c r="EN127" s="62">
        <f t="shared" si="74"/>
        <v>926.85474324817574</v>
      </c>
      <c r="EO127" s="62">
        <f ca="1">AVERAGE(OFFSET($EN$3,0,0,'Données projet'!$E$15+1,1))-AVERAGE(OFFSET($H$3,0,0,'Données projet'!$E$15+1,1))</f>
        <v>306.50593475734655</v>
      </c>
      <c r="EP127" s="62">
        <f t="shared" si="100"/>
        <v>366.48643801375079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12.681849790635255</v>
      </c>
      <c r="EW127" s="23">
        <f>EXP(-LN(2)/25)*EW126+(1-EXP(-LN(2)/25))/(LN(2)/25)*Calculateur!ER127*Calculateur!ET127*VLOOKUP('Données projet'!$B$15,Paramètres!$A$1:$I$89,3,0)*0.475*44/12</f>
        <v>1.3882953642407529</v>
      </c>
      <c r="EX127" s="23">
        <f>EXP(-LN(2)/2)*EX126+(1-EXP(-LN(2)/2))/(LN(2)/2)*ER127*EU127*VLOOKUP('Données projet'!$B$15,Paramètres!$A$1:$I$89,3,0)*0.475*44/12</f>
        <v>1.5790031289392371E-9</v>
      </c>
      <c r="EY127" s="24">
        <f t="shared" si="75"/>
        <v>14.070145156455011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91.649999999999721</v>
      </c>
      <c r="D128" s="12">
        <f t="shared" si="86"/>
        <v>24.96274352877078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900.16854653787743</v>
      </c>
      <c r="H128" s="70">
        <f t="shared" si="56"/>
        <v>496.43386164594193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306.99999999999994</v>
      </c>
      <c r="O128" s="14">
        <f>N128*VLOOKUP('Données projet'!$B$9,Paramètres!$A$1:$I$89,3,0)*VLOOKUP('Données projet'!$B$9,Paramètres!$A$1:$I$89,5,0)</f>
        <v>277.77359999999993</v>
      </c>
      <c r="P128" s="14">
        <f t="shared" si="87"/>
        <v>66.496288176842356</v>
      </c>
      <c r="Q128" s="22">
        <f t="shared" si="107"/>
        <v>599.60338857466706</v>
      </c>
      <c r="R128" s="62">
        <f t="shared" si="55"/>
        <v>892.93672190800044</v>
      </c>
      <c r="S128" s="62">
        <f ca="1">AVERAGE(OFFSET($R$3,0,0,'Données projet'!$E$9+1,1))-AVERAGE(OFFSET($H$3,0,0,'Données projet'!$E$9+1,1))</f>
        <v>312.57314929661908</v>
      </c>
      <c r="T128" s="62">
        <f t="shared" si="88"/>
        <v>190.92100876773804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62.946171048225622</v>
      </c>
      <c r="AA128" s="23">
        <f>EXP(-LN(2)/25)*AA127+(1-EXP(-LN(2)/25))/(LN(2)/25)*Calculateur!V128*Calculateur!X128*VLOOKUP('Données projet'!$B$9,Paramètres!$A$1:$I$89,3,0)*0.475*44/12</f>
        <v>2.5138562290496624</v>
      </c>
      <c r="AB128" s="23">
        <f>EXP(-LN(2)/2)*AB127+(1-EXP(-LN(2)/2))/(LN(2)/2)*V128*Y128*VLOOKUP('Données projet'!$B$9,Paramètres!$A$1:$I$89,3,0)*0.475*44/12</f>
        <v>4.7083257284807112E-2</v>
      </c>
      <c r="AC128" s="24">
        <f t="shared" si="57"/>
        <v>65.507110534560098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306.99999999999994</v>
      </c>
      <c r="AJ128" s="14">
        <f>AI128*VLOOKUP('Données projet'!$B$10,Paramètres!$A$1:$I$89,3,0)*VLOOKUP('Données projet'!$B$10,Paramètres!$A$1:$I$89,5,0)</f>
        <v>311.298</v>
      </c>
      <c r="AK128" s="14">
        <f t="shared" si="89"/>
        <v>73.539838278528748</v>
      </c>
      <c r="AL128" s="22">
        <f t="shared" si="58"/>
        <v>670.25923500177089</v>
      </c>
      <c r="AM128" s="62">
        <f t="shared" si="59"/>
        <v>963.59256833510426</v>
      </c>
      <c r="AN128" s="62">
        <f ca="1">AVERAGE(OFFSET($AM$3,0,0,'Données projet'!$E$10+1,1))-AVERAGE(OFFSET($H$3,0,0,'Données projet'!$E$10+1,1))</f>
        <v>360.56293184044779</v>
      </c>
      <c r="AO128" s="62">
        <f t="shared" si="90"/>
        <v>219.32252911220542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70.543122726459728</v>
      </c>
      <c r="AV128" s="23">
        <f>EXP(-LN(2)/25)*AV127+(1-EXP(-LN(2)/25))/(LN(2)/25)*Calculateur!AQ128*Calculateur!AS128*VLOOKUP('Données projet'!$B$10,Paramètres!$A$1:$I$89,3,0)*0.475*44/12</f>
        <v>2.8172526704866918</v>
      </c>
      <c r="AW128" s="23">
        <f>EXP(-LN(2)/2)*AW127+(1-EXP(-LN(2)/2))/(LN(2)/2)*AQ128*AT128*VLOOKUP('Données projet'!$B$10,Paramètres!$A$1:$I$89,3,0)*0.475*44/12</f>
        <v>5.2765719370904532E-2</v>
      </c>
      <c r="AX128" s="23">
        <f t="shared" si="60"/>
        <v>73.413141116317334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1.1368683772161603E-13</v>
      </c>
      <c r="BE128" s="14">
        <f>BD128*VLOOKUP('Données projet'!$B$11,Paramètres!$A$1:$I$89,3,0)*VLOOKUP('Données projet'!$B$11,Paramètres!$A$1:$I$89,5,0)</f>
        <v>8.3355189417488869E-14</v>
      </c>
      <c r="BF128" s="14">
        <f t="shared" si="91"/>
        <v>1.2790518435140618E-12</v>
      </c>
      <c r="BG128" s="22">
        <f t="shared" si="61"/>
        <v>2.3728589156891171E-12</v>
      </c>
      <c r="BH128" s="62">
        <f t="shared" si="62"/>
        <v>293.3333333333357</v>
      </c>
      <c r="BI128" s="62">
        <f ca="1">AVERAGE(OFFSET($BH$3,0,0,'Données projet'!$E$11+1,1))-AVERAGE(OFFSET($H$3,0,0,'Données projet'!$E$11+1,1))</f>
        <v>182.06733089745194</v>
      </c>
      <c r="BJ128" s="62">
        <f t="shared" si="92"/>
        <v>320.36755413886021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9.1042753847268401</v>
      </c>
      <c r="BQ128" s="23">
        <f>EXP(-LN(2)/25)*BQ127+(1-EXP(-LN(2)/25))/(LN(2)/25)*Calculateur!BL128*Calculateur!BN128*VLOOKUP('Données projet'!$B$11,Paramètres!$A$1:$I$89,3,0)*0.475*44/12</f>
        <v>0.91227828011400125</v>
      </c>
      <c r="BR128" s="23">
        <f>EXP(-LN(2)/2)*BR127+(1-EXP(-LN(2)/2))/(LN(2)/2)*BL128*BO128*VLOOKUP('Données projet'!$B$11,Paramètres!$A$1:$I$89,3,0)*0.475*44/12</f>
        <v>3.7199090561198379E-12</v>
      </c>
      <c r="BS128" s="24">
        <f t="shared" si="63"/>
        <v>10.016553664844562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319.99999999999972</v>
      </c>
      <c r="BZ128" s="14">
        <f>BY128*VLOOKUP('Données projet'!$B$12,Paramètres!$A$1:$I$89,3,0)*VLOOKUP('Données projet'!$B$12,Paramètres!$A$1:$I$89,5,0)</f>
        <v>279.55199999999979</v>
      </c>
      <c r="CA128" s="14">
        <f t="shared" si="93"/>
        <v>66.872324781216591</v>
      </c>
      <c r="CB128" s="22">
        <f t="shared" si="64"/>
        <v>603.35569899395182</v>
      </c>
      <c r="CC128" s="62">
        <f t="shared" si="65"/>
        <v>896.68903232728508</v>
      </c>
      <c r="CD128" s="62">
        <f ca="1">AVERAGE(OFFSET($CC$3,0,0,'Données projet'!$E$12+1,1))-AVERAGE(OFFSET($H$3,0,0,'Données projet'!$E$12+1,1))</f>
        <v>248.60758320902863</v>
      </c>
      <c r="CE128" s="62">
        <f t="shared" si="94"/>
        <v>222.23585883330111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22.195675167706412</v>
      </c>
      <c r="CL128" s="23">
        <f>EXP(-LN(2)/25)*CL127+(1-EXP(-LN(2)/25))/(LN(2)/25)*Calculateur!CG128*Calculateur!CI128*VLOOKUP('Données projet'!$B$12,Paramètres!$A$1:$I$89,3,0)*0.475*44/12</f>
        <v>2.0673641460119443</v>
      </c>
      <c r="CM128" s="23">
        <f>EXP(-LN(2)/2)*CM127+(1-EXP(-LN(2)/2))/(LN(2)/2)*CG128*CJ128*VLOOKUP('Données projet'!$B$12,Paramètres!$A$1:$I$89,3,0)*0.475*44/12</f>
        <v>3.1657559922956712E-7</v>
      </c>
      <c r="CN128" s="24">
        <f t="shared" si="66"/>
        <v>24.263039630293953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193.99999999999994</v>
      </c>
      <c r="CU128" s="18">
        <f>CT128*VLOOKUP('Données projet'!$B$13,Paramètres!$A$1:$I$89,3,0)*VLOOKUP('Données projet'!$B$13,Paramètres!$A$1:$I$89,5,0)</f>
        <v>105.92399999999998</v>
      </c>
      <c r="CV128" s="14">
        <f t="shared" si="95"/>
        <v>28.36854701055546</v>
      </c>
      <c r="CW128" s="22">
        <f t="shared" si="67"/>
        <v>233.89285271005073</v>
      </c>
      <c r="CX128" s="62">
        <f t="shared" si="68"/>
        <v>527.22618604338402</v>
      </c>
      <c r="CY128" s="62">
        <f ca="1">AVERAGE(OFFSET($CX$3,0,0,'Données projet'!$E$13+1,1))-AVERAGE(OFFSET($H$3,0,0,'Données projet'!$E$13+1,1))</f>
        <v>135.44138026609272</v>
      </c>
      <c r="CZ128" s="62">
        <f t="shared" si="96"/>
        <v>254.77247578425659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10.068841168222336</v>
      </c>
      <c r="DG128" s="23">
        <f>EXP(-LN(2)/25)*DG127+(1-EXP(-LN(2)/25))/(LN(2)/25)*Calculateur!DB128*Calculateur!DD128*VLOOKUP('Données projet'!$B$13,Paramètres!$A$1:$I$89,3,0)*0.475*44/12</f>
        <v>3.2477136511523343</v>
      </c>
      <c r="DH128" s="23">
        <f>EXP(-LN(2)/2)*DH127+(1-EXP(-LN(2)/2))/(LN(2)/2)*DB128*DE128*VLOOKUP('Données projet'!$B$13,Paramètres!$A$1:$I$89,3,0)*0.475*44/12</f>
        <v>4.2732454884455454E-13</v>
      </c>
      <c r="DI128" s="24">
        <f t="shared" si="69"/>
        <v>13.316554819375099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273.00000000000023</v>
      </c>
      <c r="DP128" s="18">
        <f>DO128*VLOOKUP('Données projet'!$B$14,Paramètres!$A$1:$I$89,3,0)*VLOOKUP('Données projet'!$B$14,Paramètres!$A$1:$I$89,5,0)</f>
        <v>264.04560000000021</v>
      </c>
      <c r="DQ128" s="14">
        <f t="shared" si="97"/>
        <v>63.583959929973794</v>
      </c>
      <c r="DR128" s="22">
        <f t="shared" si="70"/>
        <v>570.6214835447048</v>
      </c>
      <c r="DS128" s="62">
        <f t="shared" si="71"/>
        <v>863.95481687803817</v>
      </c>
      <c r="DT128" s="62">
        <f ca="1">AVERAGE(OFFSET($DS$3,0,0,'Données projet'!$E$14+1,1))-AVERAGE(OFFSET($H$3,0,0,'Données projet'!$E$14+1,1))</f>
        <v>271.09447278906288</v>
      </c>
      <c r="DU128" s="62">
        <f t="shared" si="98"/>
        <v>325.1094067861851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11.171830724451302</v>
      </c>
      <c r="EB128" s="23">
        <f>EXP(-LN(2)/25)*EB127+(1-EXP(-LN(2)/25))/(LN(2)/25)*Calculateur!DW128*Calculateur!DY128*VLOOKUP('Données projet'!$B$14,Paramètres!$A$1:$I$89,3,0)*0.475*44/12</f>
        <v>1.2133421156361628</v>
      </c>
      <c r="EC128" s="23">
        <f>EXP(-LN(2)/2)*EC127+(1-EXP(-LN(2)/2))/(LN(2)/2)*DW128*DZ128*VLOOKUP('Données projet'!$B$14,Paramètres!$A$1:$I$89,3,0)*0.475*44/12</f>
        <v>1.0032532875251902E-9</v>
      </c>
      <c r="ED128" s="24">
        <f t="shared" si="72"/>
        <v>12.385172841090718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273.00000000000023</v>
      </c>
      <c r="EK128" s="18">
        <f>EJ128*VLOOKUP('Données projet'!$B$15,Paramètres!$A$1:$I$89,3,0)*VLOOKUP('Données projet'!$B$15,Paramètres!$A$1:$I$89,5,0)</f>
        <v>293.85720000000026</v>
      </c>
      <c r="EL128" s="14">
        <f t="shared" si="99"/>
        <v>69.887150190339895</v>
      </c>
      <c r="EM128" s="22">
        <f t="shared" si="73"/>
        <v>633.52140991484237</v>
      </c>
      <c r="EN128" s="62">
        <f t="shared" si="74"/>
        <v>926.85474324817574</v>
      </c>
      <c r="EO128" s="62">
        <f ca="1">AVERAGE(OFFSET($EN$3,0,0,'Données projet'!$E$15+1,1))-AVERAGE(OFFSET($H$3,0,0,'Données projet'!$E$15+1,1))</f>
        <v>306.50593475734655</v>
      </c>
      <c r="EP128" s="62">
        <f t="shared" si="100"/>
        <v>366.48643801375079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12.433166451405485</v>
      </c>
      <c r="EW128" s="23">
        <f>EXP(-LN(2)/25)*EW127+(1-EXP(-LN(2)/25))/(LN(2)/25)*Calculateur!ER128*Calculateur!ET128*VLOOKUP('Données projet'!$B$15,Paramètres!$A$1:$I$89,3,0)*0.475*44/12</f>
        <v>1.3503323544983092</v>
      </c>
      <c r="EX128" s="23">
        <f>EXP(-LN(2)/2)*EX127+(1-EXP(-LN(2)/2))/(LN(2)/2)*ER128*EU128*VLOOKUP('Données projet'!$B$15,Paramètres!$A$1:$I$89,3,0)*0.475*44/12</f>
        <v>1.116523819987711E-9</v>
      </c>
      <c r="EY128" s="24">
        <f t="shared" si="75"/>
        <v>13.783498807020319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92.383199999999718</v>
      </c>
      <c r="D129" s="12">
        <f t="shared" si="86"/>
        <v>25.139118255575003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907.18982513075218</v>
      </c>
      <c r="H129" s="70">
        <f t="shared" si="56"/>
        <v>498.0180376284593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306.99999999999994</v>
      </c>
      <c r="O129" s="14">
        <f>N129*VLOOKUP('Données projet'!$B$9,Paramètres!$A$1:$I$89,3,0)*VLOOKUP('Données projet'!$B$9,Paramètres!$A$1:$I$89,5,0)</f>
        <v>277.77359999999993</v>
      </c>
      <c r="P129" s="14">
        <f t="shared" si="87"/>
        <v>66.496288176842356</v>
      </c>
      <c r="Q129" s="22">
        <f t="shared" si="107"/>
        <v>599.60338857466706</v>
      </c>
      <c r="R129" s="62">
        <f t="shared" si="55"/>
        <v>892.93672190800044</v>
      </c>
      <c r="S129" s="62">
        <f ca="1">AVERAGE(OFFSET($R$3,0,0,'Données projet'!$E$9+1,1))-AVERAGE(OFFSET($H$3,0,0,'Données projet'!$E$9+1,1))</f>
        <v>312.57314929661908</v>
      </c>
      <c r="T129" s="62">
        <f t="shared" si="88"/>
        <v>190.92100876773804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61.711835027343227</v>
      </c>
      <c r="AA129" s="23">
        <f>EXP(-LN(2)/25)*AA128+(1-EXP(-LN(2)/25))/(LN(2)/25)*Calculateur!V129*Calculateur!X129*VLOOKUP('Données projet'!$B$9,Paramètres!$A$1:$I$89,3,0)*0.475*44/12</f>
        <v>2.445114698268346</v>
      </c>
      <c r="AB129" s="23">
        <f>EXP(-LN(2)/2)*AB128+(1-EXP(-LN(2)/2))/(LN(2)/2)*V129*Y129*VLOOKUP('Données projet'!$B$9,Paramètres!$A$1:$I$89,3,0)*0.475*44/12</f>
        <v>3.3292890506438022E-2</v>
      </c>
      <c r="AC129" s="24">
        <f t="shared" si="57"/>
        <v>64.190242616118013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306.99999999999994</v>
      </c>
      <c r="AJ129" s="14">
        <f>AI129*VLOOKUP('Données projet'!$B$10,Paramètres!$A$1:$I$89,3,0)*VLOOKUP('Données projet'!$B$10,Paramètres!$A$1:$I$89,5,0)</f>
        <v>311.298</v>
      </c>
      <c r="AK129" s="14">
        <f t="shared" si="89"/>
        <v>73.539838278528748</v>
      </c>
      <c r="AL129" s="22">
        <f t="shared" si="58"/>
        <v>670.25923500177089</v>
      </c>
      <c r="AM129" s="62">
        <f t="shared" si="59"/>
        <v>963.59256833510426</v>
      </c>
      <c r="AN129" s="62">
        <f ca="1">AVERAGE(OFFSET($AM$3,0,0,'Données projet'!$E$10+1,1))-AVERAGE(OFFSET($H$3,0,0,'Données projet'!$E$10+1,1))</f>
        <v>360.56293184044779</v>
      </c>
      <c r="AO129" s="62">
        <f t="shared" si="90"/>
        <v>219.32252911220542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69.15981511685014</v>
      </c>
      <c r="AV129" s="23">
        <f>EXP(-LN(2)/25)*AV128+(1-EXP(-LN(2)/25))/(LN(2)/25)*Calculateur!AQ129*Calculateur!AS129*VLOOKUP('Données projet'!$B$10,Paramètres!$A$1:$I$89,3,0)*0.475*44/12</f>
        <v>2.7402147480593544</v>
      </c>
      <c r="AW129" s="23">
        <f>EXP(-LN(2)/2)*AW128+(1-EXP(-LN(2)/2))/(LN(2)/2)*AQ129*AT129*VLOOKUP('Données projet'!$B$10,Paramètres!$A$1:$I$89,3,0)*0.475*44/12</f>
        <v>3.7310997981352963E-2</v>
      </c>
      <c r="AX129" s="23">
        <f t="shared" si="60"/>
        <v>71.937340862890849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1.1368683772161603E-13</v>
      </c>
      <c r="BE129" s="14">
        <f>BD129*VLOOKUP('Données projet'!$B$11,Paramètres!$A$1:$I$89,3,0)*VLOOKUP('Données projet'!$B$11,Paramètres!$A$1:$I$89,5,0)</f>
        <v>8.3355189417488869E-14</v>
      </c>
      <c r="BF129" s="14">
        <f t="shared" si="91"/>
        <v>1.2790518435140618E-12</v>
      </c>
      <c r="BG129" s="22">
        <f t="shared" si="61"/>
        <v>2.3728589156891171E-12</v>
      </c>
      <c r="BH129" s="62">
        <f t="shared" si="62"/>
        <v>293.3333333333357</v>
      </c>
      <c r="BI129" s="62">
        <f ca="1">AVERAGE(OFFSET($BH$3,0,0,'Données projet'!$E$11+1,1))-AVERAGE(OFFSET($H$3,0,0,'Données projet'!$E$11+1,1))</f>
        <v>182.06733089745194</v>
      </c>
      <c r="BJ129" s="62">
        <f t="shared" si="92"/>
        <v>320.36755413886021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8.9257460974920129</v>
      </c>
      <c r="BQ129" s="23">
        <f>EXP(-LN(2)/25)*BQ128+(1-EXP(-LN(2)/25))/(LN(2)/25)*Calculateur!BL129*Calculateur!BN129*VLOOKUP('Données projet'!$B$11,Paramètres!$A$1:$I$89,3,0)*0.475*44/12</f>
        <v>0.88733198256965418</v>
      </c>
      <c r="BR129" s="23">
        <f>EXP(-LN(2)/2)*BR128+(1-EXP(-LN(2)/2))/(LN(2)/2)*BL129*BO129*VLOOKUP('Données projet'!$B$11,Paramètres!$A$1:$I$89,3,0)*0.475*44/12</f>
        <v>2.6303729189795867E-12</v>
      </c>
      <c r="BS129" s="24">
        <f t="shared" si="63"/>
        <v>9.8130780800642974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319.99999999999972</v>
      </c>
      <c r="BZ129" s="14">
        <f>BY129*VLOOKUP('Données projet'!$B$12,Paramètres!$A$1:$I$89,3,0)*VLOOKUP('Données projet'!$B$12,Paramètres!$A$1:$I$89,5,0)</f>
        <v>279.55199999999979</v>
      </c>
      <c r="CA129" s="14">
        <f t="shared" si="93"/>
        <v>66.872324781216591</v>
      </c>
      <c r="CB129" s="22">
        <f t="shared" si="64"/>
        <v>603.35569899395182</v>
      </c>
      <c r="CC129" s="62">
        <f t="shared" si="65"/>
        <v>896.68903232728508</v>
      </c>
      <c r="CD129" s="62">
        <f ca="1">AVERAGE(OFFSET($CC$3,0,0,'Données projet'!$E$12+1,1))-AVERAGE(OFFSET($H$3,0,0,'Données projet'!$E$12+1,1))</f>
        <v>248.60758320902863</v>
      </c>
      <c r="CE129" s="62">
        <f t="shared" si="94"/>
        <v>222.23585883330111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21.760431515692773</v>
      </c>
      <c r="CL129" s="23">
        <f>EXP(-LN(2)/25)*CL128+(1-EXP(-LN(2)/25))/(LN(2)/25)*Calculateur!CG129*Calculateur!CI129*VLOOKUP('Données projet'!$B$12,Paramètres!$A$1:$I$89,3,0)*0.475*44/12</f>
        <v>2.0108319647212922</v>
      </c>
      <c r="CM129" s="23">
        <f>EXP(-LN(2)/2)*CM128+(1-EXP(-LN(2)/2))/(LN(2)/2)*CG129*CJ129*VLOOKUP('Données projet'!$B$12,Paramètres!$A$1:$I$89,3,0)*0.475*44/12</f>
        <v>2.2385275297342168E-7</v>
      </c>
      <c r="CN129" s="24">
        <f t="shared" si="66"/>
        <v>23.771263704266815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193.99999999999994</v>
      </c>
      <c r="CU129" s="18">
        <f>CT129*VLOOKUP('Données projet'!$B$13,Paramètres!$A$1:$I$89,3,0)*VLOOKUP('Données projet'!$B$13,Paramètres!$A$1:$I$89,5,0)</f>
        <v>105.92399999999998</v>
      </c>
      <c r="CV129" s="14">
        <f t="shared" si="95"/>
        <v>28.36854701055546</v>
      </c>
      <c r="CW129" s="22">
        <f t="shared" si="67"/>
        <v>233.89285271005073</v>
      </c>
      <c r="CX129" s="62">
        <f t="shared" si="68"/>
        <v>527.22618604338402</v>
      </c>
      <c r="CY129" s="62">
        <f ca="1">AVERAGE(OFFSET($CX$3,0,0,'Données projet'!$E$13+1,1))-AVERAGE(OFFSET($H$3,0,0,'Données projet'!$E$13+1,1))</f>
        <v>135.44138026609272</v>
      </c>
      <c r="CZ129" s="62">
        <f t="shared" si="96"/>
        <v>254.77247578425659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9.8713973343001982</v>
      </c>
      <c r="DG129" s="23">
        <f>EXP(-LN(2)/25)*DG128+(1-EXP(-LN(2)/25))/(LN(2)/25)*Calculateur!DB129*Calculateur!DD129*VLOOKUP('Données projet'!$B$13,Paramètres!$A$1:$I$89,3,0)*0.475*44/12</f>
        <v>3.1589047505717356</v>
      </c>
      <c r="DH129" s="23">
        <f>EXP(-LN(2)/2)*DH128+(1-EXP(-LN(2)/2))/(LN(2)/2)*DB129*DE129*VLOOKUP('Données projet'!$B$13,Paramètres!$A$1:$I$89,3,0)*0.475*44/12</f>
        <v>3.0216408625546656E-13</v>
      </c>
      <c r="DI129" s="24">
        <f t="shared" si="69"/>
        <v>13.030302084872236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273.00000000000023</v>
      </c>
      <c r="DP129" s="18">
        <f>DO129*VLOOKUP('Données projet'!$B$14,Paramètres!$A$1:$I$89,3,0)*VLOOKUP('Données projet'!$B$14,Paramètres!$A$1:$I$89,5,0)</f>
        <v>264.04560000000021</v>
      </c>
      <c r="DQ129" s="14">
        <f t="shared" si="97"/>
        <v>63.583959929973794</v>
      </c>
      <c r="DR129" s="22">
        <f t="shared" si="70"/>
        <v>570.6214835447048</v>
      </c>
      <c r="DS129" s="62">
        <f t="shared" si="71"/>
        <v>863.95481687803817</v>
      </c>
      <c r="DT129" s="62">
        <f ca="1">AVERAGE(OFFSET($DS$3,0,0,'Données projet'!$E$14+1,1))-AVERAGE(OFFSET($H$3,0,0,'Données projet'!$E$14+1,1))</f>
        <v>271.09447278906288</v>
      </c>
      <c r="DU129" s="62">
        <f t="shared" si="98"/>
        <v>325.1094067861851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10.952757938088714</v>
      </c>
      <c r="EB129" s="23">
        <f>EXP(-LN(2)/25)*EB128+(1-EXP(-LN(2)/25))/(LN(2)/25)*Calculateur!DW129*Calculateur!DY129*VLOOKUP('Données projet'!$B$14,Paramètres!$A$1:$I$89,3,0)*0.475*44/12</f>
        <v>1.1801632116772032</v>
      </c>
      <c r="EC129" s="23">
        <f>EXP(-LN(2)/2)*EC128+(1-EXP(-LN(2)/2))/(LN(2)/2)*DW129*DZ129*VLOOKUP('Données projet'!$B$14,Paramètres!$A$1:$I$89,3,0)*0.475*44/12</f>
        <v>7.094072028567591E-10</v>
      </c>
      <c r="ED129" s="24">
        <f t="shared" si="72"/>
        <v>12.132921150475324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273.00000000000023</v>
      </c>
      <c r="EK129" s="18">
        <f>EJ129*VLOOKUP('Données projet'!$B$15,Paramètres!$A$1:$I$89,3,0)*VLOOKUP('Données projet'!$B$15,Paramètres!$A$1:$I$89,5,0)</f>
        <v>293.85720000000026</v>
      </c>
      <c r="EL129" s="14">
        <f t="shared" si="99"/>
        <v>69.887150190339895</v>
      </c>
      <c r="EM129" s="22">
        <f t="shared" si="73"/>
        <v>633.52140991484237</v>
      </c>
      <c r="EN129" s="62">
        <f t="shared" si="74"/>
        <v>926.85474324817574</v>
      </c>
      <c r="EO129" s="62">
        <f ca="1">AVERAGE(OFFSET($EN$3,0,0,'Données projet'!$E$15+1,1))-AVERAGE(OFFSET($H$3,0,0,'Données projet'!$E$15+1,1))</f>
        <v>306.50593475734655</v>
      </c>
      <c r="EP129" s="62">
        <f t="shared" si="100"/>
        <v>366.48643801375079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12.189359640776152</v>
      </c>
      <c r="EW129" s="23">
        <f>EXP(-LN(2)/25)*EW128+(1-EXP(-LN(2)/25))/(LN(2)/25)*Calculateur!ER129*Calculateur!ET129*VLOOKUP('Données projet'!$B$15,Paramètres!$A$1:$I$89,3,0)*0.475*44/12</f>
        <v>1.3134074452536606</v>
      </c>
      <c r="EX129" s="23">
        <f>EXP(-LN(2)/2)*EX128+(1-EXP(-LN(2)/2))/(LN(2)/2)*ER129*EU129*VLOOKUP('Données projet'!$B$15,Paramètres!$A$1:$I$89,3,0)*0.475*44/12</f>
        <v>7.8950156446961857E-10</v>
      </c>
      <c r="EY129" s="24">
        <f t="shared" si="75"/>
        <v>13.502767086819315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93.116399999999715</v>
      </c>
      <c r="D130" s="12">
        <f t="shared" si="86"/>
        <v>25.31533011915646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914.20984653383709</v>
      </c>
      <c r="H130" s="70">
        <f t="shared" si="56"/>
        <v>499.60192995753027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306.99999999999994</v>
      </c>
      <c r="O130" s="14">
        <f>N130*VLOOKUP('Données projet'!$B$9,Paramètres!$A$1:$I$89,3,0)*VLOOKUP('Données projet'!$B$9,Paramètres!$A$1:$I$89,5,0)</f>
        <v>277.77359999999993</v>
      </c>
      <c r="P130" s="14">
        <f t="shared" si="87"/>
        <v>66.496288176842356</v>
      </c>
      <c r="Q130" s="22">
        <f t="shared" si="107"/>
        <v>599.60338857466706</v>
      </c>
      <c r="R130" s="62">
        <f t="shared" si="55"/>
        <v>892.93672190800044</v>
      </c>
      <c r="S130" s="62">
        <f ca="1">AVERAGE(OFFSET($R$3,0,0,'Données projet'!$E$9+1,1))-AVERAGE(OFFSET($H$3,0,0,'Données projet'!$E$9+1,1))</f>
        <v>312.57314929661908</v>
      </c>
      <c r="T130" s="62">
        <f t="shared" si="88"/>
        <v>190.92100876773804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60.501703582959699</v>
      </c>
      <c r="AA130" s="23">
        <f>EXP(-LN(2)/25)*AA129+(1-EXP(-LN(2)/25))/(LN(2)/25)*Calculateur!V130*Calculateur!X130*VLOOKUP('Données projet'!$B$9,Paramètres!$A$1:$I$89,3,0)*0.475*44/12</f>
        <v>2.3782529082612047</v>
      </c>
      <c r="AB130" s="23">
        <f>EXP(-LN(2)/2)*AB129+(1-EXP(-LN(2)/2))/(LN(2)/2)*V130*Y130*VLOOKUP('Données projet'!$B$9,Paramètres!$A$1:$I$89,3,0)*0.475*44/12</f>
        <v>2.3541628642403556E-2</v>
      </c>
      <c r="AC130" s="24">
        <f t="shared" si="57"/>
        <v>62.903498119863308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306.99999999999994</v>
      </c>
      <c r="AJ130" s="14">
        <f>AI130*VLOOKUP('Données projet'!$B$10,Paramètres!$A$1:$I$89,3,0)*VLOOKUP('Données projet'!$B$10,Paramètres!$A$1:$I$89,5,0)</f>
        <v>311.298</v>
      </c>
      <c r="AK130" s="14">
        <f t="shared" si="89"/>
        <v>73.539838278528748</v>
      </c>
      <c r="AL130" s="22">
        <f t="shared" si="58"/>
        <v>670.25923500177089</v>
      </c>
      <c r="AM130" s="62">
        <f t="shared" si="59"/>
        <v>963.59256833510426</v>
      </c>
      <c r="AN130" s="62">
        <f ca="1">AVERAGE(OFFSET($AM$3,0,0,'Données projet'!$E$10+1,1))-AVERAGE(OFFSET($H$3,0,0,'Données projet'!$E$10+1,1))</f>
        <v>360.56293184044779</v>
      </c>
      <c r="AO130" s="62">
        <f t="shared" si="90"/>
        <v>219.32252911220542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67.803633325730672</v>
      </c>
      <c r="AV130" s="23">
        <f>EXP(-LN(2)/25)*AV129+(1-EXP(-LN(2)/25))/(LN(2)/25)*Calculateur!AQ130*Calculateur!AS130*VLOOKUP('Données projet'!$B$10,Paramètres!$A$1:$I$89,3,0)*0.475*44/12</f>
        <v>2.6652834316720404</v>
      </c>
      <c r="AW130" s="23">
        <f>EXP(-LN(2)/2)*AW129+(1-EXP(-LN(2)/2))/(LN(2)/2)*AQ130*AT130*VLOOKUP('Données projet'!$B$10,Paramètres!$A$1:$I$89,3,0)*0.475*44/12</f>
        <v>2.6382859685452266E-2</v>
      </c>
      <c r="AX130" s="23">
        <f t="shared" si="60"/>
        <v>70.495299617088165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1.1368683772161603E-13</v>
      </c>
      <c r="BE130" s="14">
        <f>BD130*VLOOKUP('Données projet'!$B$11,Paramètres!$A$1:$I$89,3,0)*VLOOKUP('Données projet'!$B$11,Paramètres!$A$1:$I$89,5,0)</f>
        <v>8.3355189417488869E-14</v>
      </c>
      <c r="BF130" s="14">
        <f t="shared" si="91"/>
        <v>1.2790518435140618E-12</v>
      </c>
      <c r="BG130" s="22">
        <f t="shared" si="61"/>
        <v>2.3728589156891171E-12</v>
      </c>
      <c r="BH130" s="62">
        <f t="shared" si="62"/>
        <v>293.3333333333357</v>
      </c>
      <c r="BI130" s="62">
        <f ca="1">AVERAGE(OFFSET($BH$3,0,0,'Données projet'!$E$11+1,1))-AVERAGE(OFFSET($H$3,0,0,'Données projet'!$E$11+1,1))</f>
        <v>182.06733089745194</v>
      </c>
      <c r="BJ130" s="62">
        <f t="shared" si="92"/>
        <v>320.36755413886021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8.7507176606877479</v>
      </c>
      <c r="BQ130" s="23">
        <f>EXP(-LN(2)/25)*BQ129+(1-EXP(-LN(2)/25))/(LN(2)/25)*Calculateur!BL130*Calculateur!BN130*VLOOKUP('Données projet'!$B$11,Paramètres!$A$1:$I$89,3,0)*0.475*44/12</f>
        <v>0.863067842843526</v>
      </c>
      <c r="BR130" s="23">
        <f>EXP(-LN(2)/2)*BR129+(1-EXP(-LN(2)/2))/(LN(2)/2)*BL130*BO130*VLOOKUP('Données projet'!$B$11,Paramètres!$A$1:$I$89,3,0)*0.475*44/12</f>
        <v>1.859954528059919E-12</v>
      </c>
      <c r="BS130" s="24">
        <f t="shared" si="63"/>
        <v>9.6137855035331334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319.99999999999972</v>
      </c>
      <c r="BZ130" s="14">
        <f>BY130*VLOOKUP('Données projet'!$B$12,Paramètres!$A$1:$I$89,3,0)*VLOOKUP('Données projet'!$B$12,Paramètres!$A$1:$I$89,5,0)</f>
        <v>279.55199999999979</v>
      </c>
      <c r="CA130" s="14">
        <f t="shared" si="93"/>
        <v>66.872324781216591</v>
      </c>
      <c r="CB130" s="22">
        <f t="shared" si="64"/>
        <v>603.35569899395182</v>
      </c>
      <c r="CC130" s="62">
        <f t="shared" si="65"/>
        <v>896.68903232728508</v>
      </c>
      <c r="CD130" s="62">
        <f ca="1">AVERAGE(OFFSET($CC$3,0,0,'Données projet'!$E$12+1,1))-AVERAGE(OFFSET($H$3,0,0,'Données projet'!$E$12+1,1))</f>
        <v>248.60758320902863</v>
      </c>
      <c r="CE130" s="62">
        <f t="shared" si="94"/>
        <v>222.23585883330111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21.333722726222707</v>
      </c>
      <c r="CL130" s="23">
        <f>EXP(-LN(2)/25)*CL129+(1-EXP(-LN(2)/25))/(LN(2)/25)*Calculateur!CG130*Calculateur!CI130*VLOOKUP('Données projet'!$B$12,Paramètres!$A$1:$I$89,3,0)*0.475*44/12</f>
        <v>1.9558456589009312</v>
      </c>
      <c r="CM130" s="23">
        <f>EXP(-LN(2)/2)*CM129+(1-EXP(-LN(2)/2))/(LN(2)/2)*CG130*CJ130*VLOOKUP('Données projet'!$B$12,Paramètres!$A$1:$I$89,3,0)*0.475*44/12</f>
        <v>1.5828779961478356E-7</v>
      </c>
      <c r="CN130" s="24">
        <f t="shared" si="66"/>
        <v>23.289568543411438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193.99999999999994</v>
      </c>
      <c r="CU130" s="18">
        <f>CT130*VLOOKUP('Données projet'!$B$13,Paramètres!$A$1:$I$89,3,0)*VLOOKUP('Données projet'!$B$13,Paramètres!$A$1:$I$89,5,0)</f>
        <v>105.92399999999998</v>
      </c>
      <c r="CV130" s="14">
        <f t="shared" si="95"/>
        <v>28.36854701055546</v>
      </c>
      <c r="CW130" s="22">
        <f t="shared" si="67"/>
        <v>233.89285271005073</v>
      </c>
      <c r="CX130" s="62">
        <f t="shared" si="68"/>
        <v>527.22618604338402</v>
      </c>
      <c r="CY130" s="62">
        <f ca="1">AVERAGE(OFFSET($CX$3,0,0,'Données projet'!$E$13+1,1))-AVERAGE(OFFSET($H$3,0,0,'Données projet'!$E$13+1,1))</f>
        <v>135.44138026609272</v>
      </c>
      <c r="CZ130" s="62">
        <f t="shared" si="96"/>
        <v>254.77247578425659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9.6778252535324256</v>
      </c>
      <c r="DG130" s="23">
        <f>EXP(-LN(2)/25)*DG129+(1-EXP(-LN(2)/25))/(LN(2)/25)*Calculateur!DB130*Calculateur!DD130*VLOOKUP('Données projet'!$B$13,Paramètres!$A$1:$I$89,3,0)*0.475*44/12</f>
        <v>3.0725243340477704</v>
      </c>
      <c r="DH130" s="23">
        <f>EXP(-LN(2)/2)*DH129+(1-EXP(-LN(2)/2))/(LN(2)/2)*DB130*DE130*VLOOKUP('Données projet'!$B$13,Paramètres!$A$1:$I$89,3,0)*0.475*44/12</f>
        <v>2.1366227442227727E-13</v>
      </c>
      <c r="DI130" s="24">
        <f t="shared" si="69"/>
        <v>12.750349587580409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273.00000000000023</v>
      </c>
      <c r="DP130" s="18">
        <f>DO130*VLOOKUP('Données projet'!$B$14,Paramètres!$A$1:$I$89,3,0)*VLOOKUP('Données projet'!$B$14,Paramètres!$A$1:$I$89,5,0)</f>
        <v>264.04560000000021</v>
      </c>
      <c r="DQ130" s="14">
        <f t="shared" si="97"/>
        <v>63.583959929973794</v>
      </c>
      <c r="DR130" s="22">
        <f t="shared" si="70"/>
        <v>570.6214835447048</v>
      </c>
      <c r="DS130" s="62">
        <f t="shared" si="71"/>
        <v>863.95481687803817</v>
      </c>
      <c r="DT130" s="62">
        <f ca="1">AVERAGE(OFFSET($DS$3,0,0,'Données projet'!$E$14+1,1))-AVERAGE(OFFSET($H$3,0,0,'Données projet'!$E$14+1,1))</f>
        <v>271.09447278906288</v>
      </c>
      <c r="DU130" s="62">
        <f t="shared" si="98"/>
        <v>325.1094067861851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10.73798103544549</v>
      </c>
      <c r="EB130" s="23">
        <f>EXP(-LN(2)/25)*EB129+(1-EXP(-LN(2)/25))/(LN(2)/25)*Calculateur!DW130*Calculateur!DY130*VLOOKUP('Données projet'!$B$14,Paramètres!$A$1:$I$89,3,0)*0.475*44/12</f>
        <v>1.147891586591804</v>
      </c>
      <c r="EC130" s="23">
        <f>EXP(-LN(2)/2)*EC129+(1-EXP(-LN(2)/2))/(LN(2)/2)*DW130*DZ130*VLOOKUP('Données projet'!$B$14,Paramètres!$A$1:$I$89,3,0)*0.475*44/12</f>
        <v>5.0162664376259509E-10</v>
      </c>
      <c r="ED130" s="24">
        <f t="shared" si="72"/>
        <v>11.885872622538921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273.00000000000023</v>
      </c>
      <c r="EK130" s="18">
        <f>EJ130*VLOOKUP('Données projet'!$B$15,Paramètres!$A$1:$I$89,3,0)*VLOOKUP('Données projet'!$B$15,Paramètres!$A$1:$I$89,5,0)</f>
        <v>293.85720000000026</v>
      </c>
      <c r="EL130" s="14">
        <f t="shared" si="99"/>
        <v>69.887150190339895</v>
      </c>
      <c r="EM130" s="22">
        <f t="shared" si="73"/>
        <v>633.52140991484237</v>
      </c>
      <c r="EN130" s="62">
        <f t="shared" si="74"/>
        <v>926.85474324817574</v>
      </c>
      <c r="EO130" s="62">
        <f ca="1">AVERAGE(OFFSET($EN$3,0,0,'Données projet'!$E$15+1,1))-AVERAGE(OFFSET($H$3,0,0,'Données projet'!$E$15+1,1))</f>
        <v>306.50593475734655</v>
      </c>
      <c r="EP130" s="62">
        <f t="shared" si="100"/>
        <v>366.48643801375079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11.950333732995789</v>
      </c>
      <c r="EW130" s="23">
        <f>EXP(-LN(2)/25)*EW129+(1-EXP(-LN(2)/25))/(LN(2)/25)*Calculateur!ER130*Calculateur!ET130*VLOOKUP('Données projet'!$B$15,Paramètres!$A$1:$I$89,3,0)*0.475*44/12</f>
        <v>1.2774922495941035</v>
      </c>
      <c r="EX130" s="23">
        <f>EXP(-LN(2)/2)*EX129+(1-EXP(-LN(2)/2))/(LN(2)/2)*ER130*EU130*VLOOKUP('Données projet'!$B$15,Paramètres!$A$1:$I$89,3,0)*0.475*44/12</f>
        <v>5.5826190999385552E-10</v>
      </c>
      <c r="EY130" s="24">
        <f t="shared" si="75"/>
        <v>13.227825983148156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93.849599999999711</v>
      </c>
      <c r="D131" s="12">
        <f t="shared" si="86"/>
        <v>25.491380550546399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921.22862179368929</v>
      </c>
      <c r="H131" s="70">
        <f t="shared" si="56"/>
        <v>501.18554112553443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306.99999999999994</v>
      </c>
      <c r="O131" s="14">
        <f>N131*VLOOKUP('Données projet'!$B$9,Paramètres!$A$1:$I$89,3,0)*VLOOKUP('Données projet'!$B$9,Paramètres!$A$1:$I$89,5,0)</f>
        <v>277.77359999999993</v>
      </c>
      <c r="P131" s="14">
        <f t="shared" si="87"/>
        <v>66.496288176842356</v>
      </c>
      <c r="Q131" s="22">
        <f t="shared" ref="Q131:Q153" si="108">(O131+P131)*0.475*44/12</f>
        <v>599.60338857466706</v>
      </c>
      <c r="R131" s="62">
        <f t="shared" ref="R131:R194" si="109">Q131+(I131+J131)*44/12</f>
        <v>892.93672190800044</v>
      </c>
      <c r="S131" s="62">
        <f ca="1">AVERAGE(OFFSET($R$3,0,0,'Données projet'!$E$9+1,1))-AVERAGE(OFFSET($H$3,0,0,'Données projet'!$E$9+1,1))</f>
        <v>312.57314929661908</v>
      </c>
      <c r="T131" s="62">
        <f t="shared" si="88"/>
        <v>190.92100876773804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59.315302078093239</v>
      </c>
      <c r="AA131" s="23">
        <f>EXP(-LN(2)/25)*AA130+(1-EXP(-LN(2)/25))/(LN(2)/25)*Calculateur!V131*Calculateur!X131*VLOOKUP('Données projet'!$B$9,Paramètres!$A$1:$I$89,3,0)*0.475*44/12</f>
        <v>2.313219457417917</v>
      </c>
      <c r="AB131" s="23">
        <f>EXP(-LN(2)/2)*AB130+(1-EXP(-LN(2)/2))/(LN(2)/2)*V131*Y131*VLOOKUP('Données projet'!$B$9,Paramètres!$A$1:$I$89,3,0)*0.475*44/12</f>
        <v>1.6646445253219011E-2</v>
      </c>
      <c r="AC131" s="24">
        <f t="shared" si="57"/>
        <v>61.645167980764377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306.99999999999994</v>
      </c>
      <c r="AJ131" s="14">
        <f>AI131*VLOOKUP('Données projet'!$B$10,Paramètres!$A$1:$I$89,3,0)*VLOOKUP('Données projet'!$B$10,Paramètres!$A$1:$I$89,5,0)</f>
        <v>311.298</v>
      </c>
      <c r="AK131" s="14">
        <f t="shared" si="89"/>
        <v>73.539838278528748</v>
      </c>
      <c r="AL131" s="22">
        <f t="shared" si="58"/>
        <v>670.25923500177089</v>
      </c>
      <c r="AM131" s="62">
        <f t="shared" si="59"/>
        <v>963.59256833510426</v>
      </c>
      <c r="AN131" s="62">
        <f ca="1">AVERAGE(OFFSET($AM$3,0,0,'Données projet'!$E$10+1,1))-AVERAGE(OFFSET($H$3,0,0,'Données projet'!$E$10+1,1))</f>
        <v>360.56293184044779</v>
      </c>
      <c r="AO131" s="62">
        <f t="shared" si="90"/>
        <v>219.32252911220542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66.474045432345847</v>
      </c>
      <c r="AV131" s="23">
        <f>EXP(-LN(2)/25)*AV130+(1-EXP(-LN(2)/25))/(LN(2)/25)*Calculateur!AQ131*Calculateur!AS131*VLOOKUP('Données projet'!$B$10,Paramètres!$A$1:$I$89,3,0)*0.475*44/12</f>
        <v>2.5924011160718043</v>
      </c>
      <c r="AW131" s="23">
        <f>EXP(-LN(2)/2)*AW130+(1-EXP(-LN(2)/2))/(LN(2)/2)*AQ131*AT131*VLOOKUP('Données projet'!$B$10,Paramètres!$A$1:$I$89,3,0)*0.475*44/12</f>
        <v>1.8655498990676481E-2</v>
      </c>
      <c r="AX131" s="23">
        <f t="shared" si="60"/>
        <v>69.085102047408327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1.1368683772161603E-13</v>
      </c>
      <c r="BE131" s="14">
        <f>BD131*VLOOKUP('Données projet'!$B$11,Paramètres!$A$1:$I$89,3,0)*VLOOKUP('Données projet'!$B$11,Paramètres!$A$1:$I$89,5,0)</f>
        <v>8.3355189417488869E-14</v>
      </c>
      <c r="BF131" s="14">
        <f t="shared" si="91"/>
        <v>1.2790518435140618E-12</v>
      </c>
      <c r="BG131" s="22">
        <f t="shared" si="61"/>
        <v>2.3728589156891171E-12</v>
      </c>
      <c r="BH131" s="62">
        <f t="shared" si="62"/>
        <v>293.3333333333357</v>
      </c>
      <c r="BI131" s="62">
        <f ca="1">AVERAGE(OFFSET($BH$3,0,0,'Données projet'!$E$11+1,1))-AVERAGE(OFFSET($H$3,0,0,'Données projet'!$E$11+1,1))</f>
        <v>182.06733089745194</v>
      </c>
      <c r="BJ131" s="62">
        <f t="shared" si="92"/>
        <v>320.36755413886021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8.5791214247724081</v>
      </c>
      <c r="BQ131" s="23">
        <f>EXP(-LN(2)/25)*BQ130+(1-EXP(-LN(2)/25))/(LN(2)/25)*Calculateur!BL131*Calculateur!BN131*VLOOKUP('Données projet'!$B$11,Paramètres!$A$1:$I$89,3,0)*0.475*44/12</f>
        <v>0.83946720729420454</v>
      </c>
      <c r="BR131" s="23">
        <f>EXP(-LN(2)/2)*BR130+(1-EXP(-LN(2)/2))/(LN(2)/2)*BL131*BO131*VLOOKUP('Données projet'!$B$11,Paramètres!$A$1:$I$89,3,0)*0.475*44/12</f>
        <v>1.3151864594897934E-12</v>
      </c>
      <c r="BS131" s="24">
        <f t="shared" si="63"/>
        <v>9.4185886320679266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319.99999999999972</v>
      </c>
      <c r="BZ131" s="14">
        <f>BY131*VLOOKUP('Données projet'!$B$12,Paramètres!$A$1:$I$89,3,0)*VLOOKUP('Données projet'!$B$12,Paramètres!$A$1:$I$89,5,0)</f>
        <v>279.55199999999979</v>
      </c>
      <c r="CA131" s="14">
        <f t="shared" si="93"/>
        <v>66.872324781216591</v>
      </c>
      <c r="CB131" s="22">
        <f t="shared" si="64"/>
        <v>603.35569899395182</v>
      </c>
      <c r="CC131" s="62">
        <f t="shared" si="65"/>
        <v>896.68903232728508</v>
      </c>
      <c r="CD131" s="62">
        <f ca="1">AVERAGE(OFFSET($CC$3,0,0,'Données projet'!$E$12+1,1))-AVERAGE(OFFSET($H$3,0,0,'Données projet'!$E$12+1,1))</f>
        <v>248.60758320902863</v>
      </c>
      <c r="CE131" s="62">
        <f t="shared" si="94"/>
        <v>222.23585883330111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20.915381435847486</v>
      </c>
      <c r="CL131" s="23">
        <f>EXP(-LN(2)/25)*CL130+(1-EXP(-LN(2)/25))/(LN(2)/25)*Calculateur!CG131*Calculateur!CI131*VLOOKUP('Données projet'!$B$12,Paramètres!$A$1:$I$89,3,0)*0.475*44/12</f>
        <v>1.9023629565048321</v>
      </c>
      <c r="CM131" s="23">
        <f>EXP(-LN(2)/2)*CM130+(1-EXP(-LN(2)/2))/(LN(2)/2)*CG131*CJ131*VLOOKUP('Données projet'!$B$12,Paramètres!$A$1:$I$89,3,0)*0.475*44/12</f>
        <v>1.1192637648671084E-7</v>
      </c>
      <c r="CN131" s="24">
        <f t="shared" si="66"/>
        <v>22.817744504278693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193.99999999999994</v>
      </c>
      <c r="CU131" s="18">
        <f>CT131*VLOOKUP('Données projet'!$B$13,Paramètres!$A$1:$I$89,3,0)*VLOOKUP('Données projet'!$B$13,Paramètres!$A$1:$I$89,5,0)</f>
        <v>105.92399999999998</v>
      </c>
      <c r="CV131" s="14">
        <f t="shared" si="95"/>
        <v>28.36854701055546</v>
      </c>
      <c r="CW131" s="22">
        <f t="shared" si="67"/>
        <v>233.89285271005073</v>
      </c>
      <c r="CX131" s="62">
        <f t="shared" si="68"/>
        <v>527.22618604338402</v>
      </c>
      <c r="CY131" s="62">
        <f ca="1">AVERAGE(OFFSET($CX$3,0,0,'Données projet'!$E$13+1,1))-AVERAGE(OFFSET($H$3,0,0,'Données projet'!$E$13+1,1))</f>
        <v>135.44138026609272</v>
      </c>
      <c r="CZ131" s="62">
        <f t="shared" si="96"/>
        <v>254.77247578425659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9.4880490032011977</v>
      </c>
      <c r="DG131" s="23">
        <f>EXP(-LN(2)/25)*DG130+(1-EXP(-LN(2)/25))/(LN(2)/25)*Calculateur!DB131*Calculateur!DD131*VLOOKUP('Données projet'!$B$13,Paramètres!$A$1:$I$89,3,0)*0.475*44/12</f>
        <v>2.9885059945562018</v>
      </c>
      <c r="DH131" s="23">
        <f>EXP(-LN(2)/2)*DH130+(1-EXP(-LN(2)/2))/(LN(2)/2)*DB131*DE131*VLOOKUP('Données projet'!$B$13,Paramètres!$A$1:$I$89,3,0)*0.475*44/12</f>
        <v>1.5108204312773328E-13</v>
      </c>
      <c r="DI131" s="24">
        <f t="shared" si="69"/>
        <v>12.476554997757551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273.00000000000023</v>
      </c>
      <c r="DP131" s="18">
        <f>DO131*VLOOKUP('Données projet'!$B$14,Paramètres!$A$1:$I$89,3,0)*VLOOKUP('Données projet'!$B$14,Paramètres!$A$1:$I$89,5,0)</f>
        <v>264.04560000000021</v>
      </c>
      <c r="DQ131" s="14">
        <f t="shared" si="97"/>
        <v>63.583959929973794</v>
      </c>
      <c r="DR131" s="22">
        <f t="shared" si="70"/>
        <v>570.6214835447048</v>
      </c>
      <c r="DS131" s="62">
        <f t="shared" si="71"/>
        <v>863.95481687803817</v>
      </c>
      <c r="DT131" s="62">
        <f ca="1">AVERAGE(OFFSET($DS$3,0,0,'Données projet'!$E$14+1,1))-AVERAGE(OFFSET($H$3,0,0,'Données projet'!$E$14+1,1))</f>
        <v>271.09447278906288</v>
      </c>
      <c r="DU131" s="62">
        <f t="shared" si="98"/>
        <v>325.1094067861851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10.527415776862124</v>
      </c>
      <c r="EB131" s="23">
        <f>EXP(-LN(2)/25)*EB130+(1-EXP(-LN(2)/25))/(LN(2)/25)*Calculateur!DW131*Calculateur!DY131*VLOOKUP('Données projet'!$B$14,Paramètres!$A$1:$I$89,3,0)*0.475*44/12</f>
        <v>1.1165024307914562</v>
      </c>
      <c r="EC131" s="23">
        <f>EXP(-LN(2)/2)*EC130+(1-EXP(-LN(2)/2))/(LN(2)/2)*DW131*DZ131*VLOOKUP('Données projet'!$B$14,Paramètres!$A$1:$I$89,3,0)*0.475*44/12</f>
        <v>3.5470360142837955E-10</v>
      </c>
      <c r="ED131" s="24">
        <f t="shared" si="72"/>
        <v>11.643918208008284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273.00000000000023</v>
      </c>
      <c r="EK131" s="18">
        <f>EJ131*VLOOKUP('Données projet'!$B$15,Paramètres!$A$1:$I$89,3,0)*VLOOKUP('Données projet'!$B$15,Paramètres!$A$1:$I$89,5,0)</f>
        <v>293.85720000000026</v>
      </c>
      <c r="EL131" s="14">
        <f t="shared" si="99"/>
        <v>69.887150190339895</v>
      </c>
      <c r="EM131" s="22">
        <f t="shared" si="73"/>
        <v>633.52140991484237</v>
      </c>
      <c r="EN131" s="62">
        <f t="shared" si="74"/>
        <v>926.85474324817574</v>
      </c>
      <c r="EO131" s="62">
        <f ca="1">AVERAGE(OFFSET($EN$3,0,0,'Données projet'!$E$15+1,1))-AVERAGE(OFFSET($H$3,0,0,'Données projet'!$E$15+1,1))</f>
        <v>306.50593475734655</v>
      </c>
      <c r="EP131" s="62">
        <f t="shared" si="100"/>
        <v>366.48643801375079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11.715994977475592</v>
      </c>
      <c r="EW131" s="23">
        <f>EXP(-LN(2)/25)*EW130+(1-EXP(-LN(2)/25))/(LN(2)/25)*Calculateur!ER131*Calculateur!ET131*VLOOKUP('Données projet'!$B$15,Paramètres!$A$1:$I$89,3,0)*0.475*44/12</f>
        <v>1.242559156848555</v>
      </c>
      <c r="EX131" s="23">
        <f>EXP(-LN(2)/2)*EX130+(1-EXP(-LN(2)/2))/(LN(2)/2)*ER131*EU131*VLOOKUP('Données projet'!$B$15,Paramètres!$A$1:$I$89,3,0)*0.475*44/12</f>
        <v>3.9475078223480928E-10</v>
      </c>
      <c r="EY131" s="24">
        <f t="shared" si="75"/>
        <v>12.958554134718899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94.582799999999708</v>
      </c>
      <c r="D132" s="12">
        <f t="shared" si="86"/>
        <v>25.667270957125002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928.24616177429607</v>
      </c>
      <c r="H132" s="70">
        <f t="shared" ref="H132:H195" si="110">(B132+E132+F132)*44/12+(C132+D132)*0.475*44/12</f>
        <v>502.76887358365883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306.99999999999994</v>
      </c>
      <c r="O132" s="14">
        <f>N132*VLOOKUP('Données projet'!$B$9,Paramètres!$A$1:$I$89,3,0)*VLOOKUP('Données projet'!$B$9,Paramètres!$A$1:$I$89,5,0)</f>
        <v>277.77359999999993</v>
      </c>
      <c r="P132" s="14">
        <f t="shared" si="87"/>
        <v>66.496288176842356</v>
      </c>
      <c r="Q132" s="22">
        <f t="shared" si="108"/>
        <v>599.60338857466706</v>
      </c>
      <c r="R132" s="62">
        <f t="shared" si="109"/>
        <v>892.93672190800044</v>
      </c>
      <c r="S132" s="62">
        <f ca="1">AVERAGE(OFFSET($R$3,0,0,'Données projet'!$E$9+1,1))-AVERAGE(OFFSET($H$3,0,0,'Données projet'!$E$9+1,1))</f>
        <v>312.57314929661908</v>
      </c>
      <c r="T132" s="62">
        <f t="shared" si="88"/>
        <v>190.92100876773804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58.15216518310374</v>
      </c>
      <c r="AA132" s="23">
        <f>EXP(-LN(2)/25)*AA131+(1-EXP(-LN(2)/25))/(LN(2)/25)*Calculateur!V132*Calculateur!X132*VLOOKUP('Données projet'!$B$9,Paramètres!$A$1:$I$89,3,0)*0.475*44/12</f>
        <v>2.2499643497078998</v>
      </c>
      <c r="AB132" s="23">
        <f>EXP(-LN(2)/2)*AB131+(1-EXP(-LN(2)/2))/(LN(2)/2)*V132*Y132*VLOOKUP('Données projet'!$B$9,Paramètres!$A$1:$I$89,3,0)*0.475*44/12</f>
        <v>1.1770814321201778E-2</v>
      </c>
      <c r="AC132" s="24">
        <f t="shared" ref="AC132:AC153" si="111">SUM(Z132:AB132)</f>
        <v>60.413900347132845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306.99999999999994</v>
      </c>
      <c r="AJ132" s="14">
        <f>AI132*VLOOKUP('Données projet'!$B$10,Paramètres!$A$1:$I$89,3,0)*VLOOKUP('Données projet'!$B$10,Paramètres!$A$1:$I$89,5,0)</f>
        <v>311.298</v>
      </c>
      <c r="AK132" s="14">
        <f t="shared" si="89"/>
        <v>73.539838278528748</v>
      </c>
      <c r="AL132" s="22">
        <f t="shared" ref="AL132:AL153" si="112">(AJ132+AK132)*0.475*44/12</f>
        <v>670.25923500177089</v>
      </c>
      <c r="AM132" s="62">
        <f t="shared" ref="AM132:AM195" si="113">AL132+(AD132+AE132)*44/12</f>
        <v>963.59256833510426</v>
      </c>
      <c r="AN132" s="62">
        <f ca="1">AVERAGE(OFFSET($AM$3,0,0,'Données projet'!$E$10+1,1))-AVERAGE(OFFSET($H$3,0,0,'Données projet'!$E$10+1,1))</f>
        <v>360.56293184044779</v>
      </c>
      <c r="AO132" s="62">
        <f t="shared" si="90"/>
        <v>219.32252911220542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65.170529946581752</v>
      </c>
      <c r="AV132" s="23">
        <f>EXP(-LN(2)/25)*AV131+(1-EXP(-LN(2)/25))/(LN(2)/25)*Calculateur!AQ132*Calculateur!AS132*VLOOKUP('Données projet'!$B$10,Paramètres!$A$1:$I$89,3,0)*0.475*44/12</f>
        <v>2.5215117712243713</v>
      </c>
      <c r="AW132" s="23">
        <f>EXP(-LN(2)/2)*AW131+(1-EXP(-LN(2)/2))/(LN(2)/2)*AQ132*AT132*VLOOKUP('Données projet'!$B$10,Paramètres!$A$1:$I$89,3,0)*0.475*44/12</f>
        <v>1.3191429842726133E-2</v>
      </c>
      <c r="AX132" s="23">
        <f t="shared" ref="AX132:AX153" si="114">SUM(AU132:AW132)</f>
        <v>67.70523314764884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1.1368683772161603E-13</v>
      </c>
      <c r="BE132" s="14">
        <f>BD132*VLOOKUP('Données projet'!$B$11,Paramètres!$A$1:$I$89,3,0)*VLOOKUP('Données projet'!$B$11,Paramètres!$A$1:$I$89,5,0)</f>
        <v>8.3355189417488869E-14</v>
      </c>
      <c r="BF132" s="14">
        <f t="shared" si="91"/>
        <v>1.2790518435140618E-12</v>
      </c>
      <c r="BG132" s="22">
        <f t="shared" ref="BG132:BG153" si="115">(BE132+BF132)*0.475*44/12</f>
        <v>2.3728589156891171E-12</v>
      </c>
      <c r="BH132" s="62">
        <f t="shared" ref="BH132:BH195" si="116">BG132+(AY132+AZ132)*44/12</f>
        <v>293.3333333333357</v>
      </c>
      <c r="BI132" s="62">
        <f ca="1">AVERAGE(OFFSET($BH$3,0,0,'Données projet'!$E$11+1,1))-AVERAGE(OFFSET($H$3,0,0,'Données projet'!$E$11+1,1))</f>
        <v>182.06733089745194</v>
      </c>
      <c r="BJ132" s="62">
        <f t="shared" si="92"/>
        <v>320.36755413886021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8.4108900863800002</v>
      </c>
      <c r="BQ132" s="23">
        <f>EXP(-LN(2)/25)*BQ131+(1-EXP(-LN(2)/25))/(LN(2)/25)*Calculateur!BL132*Calculateur!BN132*VLOOKUP('Données projet'!$B$11,Paramètres!$A$1:$I$89,3,0)*0.475*44/12</f>
        <v>0.81651193236508268</v>
      </c>
      <c r="BR132" s="23">
        <f>EXP(-LN(2)/2)*BR131+(1-EXP(-LN(2)/2))/(LN(2)/2)*BL132*BO132*VLOOKUP('Données projet'!$B$11,Paramètres!$A$1:$I$89,3,0)*0.475*44/12</f>
        <v>9.2997726402995948E-13</v>
      </c>
      <c r="BS132" s="24">
        <f t="shared" ref="BS132:BS153" si="117">SUM(BP132:BR132)</f>
        <v>9.2274020187460142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319.99999999999972</v>
      </c>
      <c r="BZ132" s="14">
        <f>BY132*VLOOKUP('Données projet'!$B$12,Paramètres!$A$1:$I$89,3,0)*VLOOKUP('Données projet'!$B$12,Paramètres!$A$1:$I$89,5,0)</f>
        <v>279.55199999999979</v>
      </c>
      <c r="CA132" s="14">
        <f t="shared" si="93"/>
        <v>66.872324781216591</v>
      </c>
      <c r="CB132" s="22">
        <f t="shared" ref="CB132:CB153" si="118">(BZ132+CA132)*0.475*44/12</f>
        <v>603.35569899395182</v>
      </c>
      <c r="CC132" s="62">
        <f t="shared" ref="CC132:CC195" si="119">CB132+(BT132+BU132)*44/12</f>
        <v>896.68903232728508</v>
      </c>
      <c r="CD132" s="62">
        <f ca="1">AVERAGE(OFFSET($CC$3,0,0,'Données projet'!$E$12+1,1))-AVERAGE(OFFSET($H$3,0,0,'Données projet'!$E$12+1,1))</f>
        <v>248.60758320902863</v>
      </c>
      <c r="CE132" s="62">
        <f t="shared" si="94"/>
        <v>222.23585883330111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20.505243563013533</v>
      </c>
      <c r="CL132" s="23">
        <f>EXP(-LN(2)/25)*CL131+(1-EXP(-LN(2)/25))/(LN(2)/25)*Calculateur!CG132*Calculateur!CI132*VLOOKUP('Données projet'!$B$12,Paramètres!$A$1:$I$89,3,0)*0.475*44/12</f>
        <v>1.8503427414182876</v>
      </c>
      <c r="CM132" s="23">
        <f>EXP(-LN(2)/2)*CM131+(1-EXP(-LN(2)/2))/(LN(2)/2)*CG132*CJ132*VLOOKUP('Données projet'!$B$12,Paramètres!$A$1:$I$89,3,0)*0.475*44/12</f>
        <v>7.914389980739178E-8</v>
      </c>
      <c r="CN132" s="24">
        <f t="shared" ref="CN132:CN153" si="120">SUM(CK132:CM132)</f>
        <v>22.355586383575719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193.99999999999994</v>
      </c>
      <c r="CU132" s="18">
        <f>CT132*VLOOKUP('Données projet'!$B$13,Paramètres!$A$1:$I$89,3,0)*VLOOKUP('Données projet'!$B$13,Paramètres!$A$1:$I$89,5,0)</f>
        <v>105.92399999999998</v>
      </c>
      <c r="CV132" s="14">
        <f t="shared" si="95"/>
        <v>28.36854701055546</v>
      </c>
      <c r="CW132" s="22">
        <f t="shared" ref="CW132:CW153" si="121">(CU132+CV132)*0.475*44/12</f>
        <v>233.89285271005073</v>
      </c>
      <c r="CX132" s="62">
        <f t="shared" ref="CX132:CX195" si="122">CW132+(CO132+CP132)*44/12</f>
        <v>527.22618604338402</v>
      </c>
      <c r="CY132" s="62">
        <f ca="1">AVERAGE(OFFSET($CX$3,0,0,'Données projet'!$E$13+1,1))-AVERAGE(OFFSET($H$3,0,0,'Données projet'!$E$13+1,1))</f>
        <v>135.44138026609272</v>
      </c>
      <c r="CZ132" s="62">
        <f t="shared" si="96"/>
        <v>254.77247578425659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9.3019941493868821</v>
      </c>
      <c r="DG132" s="23">
        <f>EXP(-LN(2)/25)*DG131+(1-EXP(-LN(2)/25))/(LN(2)/25)*Calculateur!DB132*Calculateur!DD132*VLOOKUP('Données projet'!$B$13,Paramètres!$A$1:$I$89,3,0)*0.475*44/12</f>
        <v>2.9067851409763628</v>
      </c>
      <c r="DH132" s="23">
        <f>EXP(-LN(2)/2)*DH131+(1-EXP(-LN(2)/2))/(LN(2)/2)*DB132*DE132*VLOOKUP('Données projet'!$B$13,Paramètres!$A$1:$I$89,3,0)*0.475*44/12</f>
        <v>1.0683113721113864E-13</v>
      </c>
      <c r="DI132" s="24">
        <f t="shared" ref="DI132:DI153" si="123">SUM(DF132:DH132)</f>
        <v>12.208779290363351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273.00000000000023</v>
      </c>
      <c r="DP132" s="18">
        <f>DO132*VLOOKUP('Données projet'!$B$14,Paramètres!$A$1:$I$89,3,0)*VLOOKUP('Données projet'!$B$14,Paramètres!$A$1:$I$89,5,0)</f>
        <v>264.04560000000021</v>
      </c>
      <c r="DQ132" s="14">
        <f t="shared" si="97"/>
        <v>63.583959929973794</v>
      </c>
      <c r="DR132" s="22">
        <f t="shared" ref="DR132:DR153" si="124">(DP132+DQ132)*0.475*44/12</f>
        <v>570.6214835447048</v>
      </c>
      <c r="DS132" s="62">
        <f t="shared" ref="DS132:DS195" si="125">DR132+(DJ132+DK132)*44/12</f>
        <v>863.95481687803817</v>
      </c>
      <c r="DT132" s="62">
        <f ca="1">AVERAGE(OFFSET($DS$3,0,0,'Données projet'!$E$14+1,1))-AVERAGE(OFFSET($H$3,0,0,'Données projet'!$E$14+1,1))</f>
        <v>271.09447278906288</v>
      </c>
      <c r="DU132" s="62">
        <f t="shared" si="98"/>
        <v>325.1094067861851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10.320979574567453</v>
      </c>
      <c r="EB132" s="23">
        <f>EXP(-LN(2)/25)*EB131+(1-EXP(-LN(2)/25))/(LN(2)/25)*Calculateur!DW132*Calculateur!DY132*VLOOKUP('Données projet'!$B$14,Paramètres!$A$1:$I$89,3,0)*0.475*44/12</f>
        <v>1.0859716131071528</v>
      </c>
      <c r="EC132" s="23">
        <f>EXP(-LN(2)/2)*EC131+(1-EXP(-LN(2)/2))/(LN(2)/2)*DW132*DZ132*VLOOKUP('Données projet'!$B$14,Paramètres!$A$1:$I$89,3,0)*0.475*44/12</f>
        <v>2.5081332188129754E-10</v>
      </c>
      <c r="ED132" s="24">
        <f t="shared" ref="ED132:ED153" si="126">SUM(EA132:EC132)</f>
        <v>11.406951187925419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273.00000000000023</v>
      </c>
      <c r="EK132" s="18">
        <f>EJ132*VLOOKUP('Données projet'!$B$15,Paramètres!$A$1:$I$89,3,0)*VLOOKUP('Données projet'!$B$15,Paramètres!$A$1:$I$89,5,0)</f>
        <v>293.85720000000026</v>
      </c>
      <c r="EL132" s="14">
        <f t="shared" si="99"/>
        <v>69.887150190339895</v>
      </c>
      <c r="EM132" s="22">
        <f t="shared" ref="EM132:EM153" si="127">(EK132+EL132)*0.475*44/12</f>
        <v>633.52140991484237</v>
      </c>
      <c r="EN132" s="62">
        <f t="shared" ref="EN132:EN195" si="128">EM132+(EE132+EF132)*44/12</f>
        <v>926.85474324817574</v>
      </c>
      <c r="EO132" s="62">
        <f ca="1">AVERAGE(OFFSET($EN$3,0,0,'Données projet'!$E$15+1,1))-AVERAGE(OFFSET($H$3,0,0,'Données projet'!$E$15+1,1))</f>
        <v>306.50593475734655</v>
      </c>
      <c r="EP132" s="62">
        <f t="shared" si="100"/>
        <v>366.48643801375079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11.486251462018618</v>
      </c>
      <c r="EW132" s="23">
        <f>EXP(-LN(2)/25)*EW131+(1-EXP(-LN(2)/25))/(LN(2)/25)*Calculateur!ER132*Calculateur!ET132*VLOOKUP('Données projet'!$B$15,Paramètres!$A$1:$I$89,3,0)*0.475*44/12</f>
        <v>1.2085813113611852</v>
      </c>
      <c r="EX132" s="23">
        <f>EXP(-LN(2)/2)*EX131+(1-EXP(-LN(2)/2))/(LN(2)/2)*ER132*EU132*VLOOKUP('Données projet'!$B$15,Paramètres!$A$1:$I$89,3,0)*0.475*44/12</f>
        <v>2.7913095499692776E-10</v>
      </c>
      <c r="EY132" s="24">
        <f t="shared" ref="EY132:EY153" si="129">SUM(EV132:EX132)</f>
        <v>12.694832773658934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95.315999999999704</v>
      </c>
      <c r="D133" s="12">
        <f t="shared" ref="D133:D196" si="140">IFERROR(EXP(-1.0587+0.8836*LN(C133)+0.284),0)</f>
        <v>25.843002723192335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935.26247716148237</v>
      </c>
      <c r="H133" s="70">
        <f t="shared" si="110"/>
        <v>504.35192974289276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306.99999999999994</v>
      </c>
      <c r="O133" s="14">
        <f>N133*VLOOKUP('Données projet'!$B$9,Paramètres!$A$1:$I$89,3,0)*VLOOKUP('Données projet'!$B$9,Paramètres!$A$1:$I$89,5,0)</f>
        <v>277.77359999999993</v>
      </c>
      <c r="P133" s="14">
        <f t="shared" ref="P133:P196" si="141">EXP(-1.0587+0.8836*LN(O133)+0.284)</f>
        <v>66.496288176842356</v>
      </c>
      <c r="Q133" s="22">
        <f t="shared" si="108"/>
        <v>599.60338857466706</v>
      </c>
      <c r="R133" s="62">
        <f t="shared" si="109"/>
        <v>892.93672190800044</v>
      </c>
      <c r="S133" s="62">
        <f ca="1">AVERAGE(OFFSET($R$3,0,0,'Données projet'!$E$9+1,1))-AVERAGE(OFFSET($H$3,0,0,'Données projet'!$E$9+1,1))</f>
        <v>312.57314929661908</v>
      </c>
      <c r="T133" s="62">
        <f t="shared" ref="T133:T196" si="142">$T$3</f>
        <v>190.92100876773804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57.011836693181536</v>
      </c>
      <c r="AA133" s="23">
        <f>EXP(-LN(2)/25)*AA132+(1-EXP(-LN(2)/25))/(LN(2)/25)*Calculateur!V133*Calculateur!X133*VLOOKUP('Données projet'!$B$9,Paramètres!$A$1:$I$89,3,0)*0.475*44/12</f>
        <v>2.1884389562446547</v>
      </c>
      <c r="AB133" s="23">
        <f>EXP(-LN(2)/2)*AB132+(1-EXP(-LN(2)/2))/(LN(2)/2)*V133*Y133*VLOOKUP('Données projet'!$B$9,Paramètres!$A$1:$I$89,3,0)*0.475*44/12</f>
        <v>8.3232226266095055E-3</v>
      </c>
      <c r="AC133" s="24">
        <f t="shared" si="111"/>
        <v>59.208598872052796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306.99999999999994</v>
      </c>
      <c r="AJ133" s="14">
        <f>AI133*VLOOKUP('Données projet'!$B$10,Paramètres!$A$1:$I$89,3,0)*VLOOKUP('Données projet'!$B$10,Paramètres!$A$1:$I$89,5,0)</f>
        <v>311.298</v>
      </c>
      <c r="AK133" s="14">
        <f t="shared" ref="AK133:AK153" si="143">EXP(-1.0587+0.8836*LN(AJ133)+0.284)</f>
        <v>73.539838278528748</v>
      </c>
      <c r="AL133" s="22">
        <f t="shared" si="112"/>
        <v>670.25923500177089</v>
      </c>
      <c r="AM133" s="62">
        <f t="shared" si="113"/>
        <v>963.59256833510426</v>
      </c>
      <c r="AN133" s="62">
        <f ca="1">AVERAGE(OFFSET($AM$3,0,0,'Données projet'!$E$10+1,1))-AVERAGE(OFFSET($H$3,0,0,'Données projet'!$E$10+1,1))</f>
        <v>360.56293184044779</v>
      </c>
      <c r="AO133" s="62">
        <f t="shared" ref="AO133:AO196" si="144">$AO$3</f>
        <v>219.32252911220542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63.892575604427556</v>
      </c>
      <c r="AV133" s="23">
        <f>EXP(-LN(2)/25)*AV132+(1-EXP(-LN(2)/25))/(LN(2)/25)*Calculateur!AQ133*Calculateur!AS133*VLOOKUP('Données projet'!$B$10,Paramètres!$A$1:$I$89,3,0)*0.475*44/12</f>
        <v>2.4525608992396997</v>
      </c>
      <c r="AW133" s="23">
        <f>EXP(-LN(2)/2)*AW132+(1-EXP(-LN(2)/2))/(LN(2)/2)*AQ133*AT133*VLOOKUP('Données projet'!$B$10,Paramètres!$A$1:$I$89,3,0)*0.475*44/12</f>
        <v>9.3277494953382407E-3</v>
      </c>
      <c r="AX133" s="23">
        <f t="shared" si="114"/>
        <v>66.35446425316259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1.1368683772161603E-13</v>
      </c>
      <c r="BE133" s="14">
        <f>BD133*VLOOKUP('Données projet'!$B$11,Paramètres!$A$1:$I$89,3,0)*VLOOKUP('Données projet'!$B$11,Paramètres!$A$1:$I$89,5,0)</f>
        <v>8.3355189417488869E-14</v>
      </c>
      <c r="BF133" s="14">
        <f t="shared" ref="BF133:BF153" si="145">EXP(-1.0587+0.8836*LN(BE133)+0.284)</f>
        <v>1.2790518435140618E-12</v>
      </c>
      <c r="BG133" s="22">
        <f t="shared" si="115"/>
        <v>2.3728589156891171E-12</v>
      </c>
      <c r="BH133" s="62">
        <f t="shared" si="116"/>
        <v>293.3333333333357</v>
      </c>
      <c r="BI133" s="62">
        <f ca="1">AVERAGE(OFFSET($BH$3,0,0,'Données projet'!$E$11+1,1))-AVERAGE(OFFSET($H$3,0,0,'Données projet'!$E$11+1,1))</f>
        <v>182.06733089745194</v>
      </c>
      <c r="BJ133" s="62">
        <f t="shared" ref="BJ133:BJ196" si="146">$BJ$3</f>
        <v>320.36755413886021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8.2459576619224819</v>
      </c>
      <c r="BQ133" s="23">
        <f>EXP(-LN(2)/25)*BQ132+(1-EXP(-LN(2)/25))/(LN(2)/25)*Calculateur!BL133*Calculateur!BN133*VLOOKUP('Données projet'!$B$11,Paramètres!$A$1:$I$89,3,0)*0.475*44/12</f>
        <v>0.79418437063606317</v>
      </c>
      <c r="BR133" s="23">
        <f>EXP(-LN(2)/2)*BR132+(1-EXP(-LN(2)/2))/(LN(2)/2)*BL133*BO133*VLOOKUP('Données projet'!$B$11,Paramètres!$A$1:$I$89,3,0)*0.475*44/12</f>
        <v>6.5759322974489669E-13</v>
      </c>
      <c r="BS133" s="24">
        <f t="shared" si="117"/>
        <v>9.0401420325592028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319.99999999999972</v>
      </c>
      <c r="BZ133" s="14">
        <f>BY133*VLOOKUP('Données projet'!$B$12,Paramètres!$A$1:$I$89,3,0)*VLOOKUP('Données projet'!$B$12,Paramètres!$A$1:$I$89,5,0)</f>
        <v>279.55199999999979</v>
      </c>
      <c r="CA133" s="14">
        <f t="shared" ref="CA133:CA153" si="147">EXP(-1.0587+0.8836*LN(BZ133)+0.284)</f>
        <v>66.872324781216591</v>
      </c>
      <c r="CB133" s="22">
        <f t="shared" si="118"/>
        <v>603.35569899395182</v>
      </c>
      <c r="CC133" s="62">
        <f t="shared" si="119"/>
        <v>896.68903232728508</v>
      </c>
      <c r="CD133" s="62">
        <f ca="1">AVERAGE(OFFSET($CC$3,0,0,'Données projet'!$E$12+1,1))-AVERAGE(OFFSET($H$3,0,0,'Données projet'!$E$12+1,1))</f>
        <v>248.60758320902863</v>
      </c>
      <c r="CE133" s="62">
        <f t="shared" ref="CE133:CE196" si="148">$CE$3</f>
        <v>222.23585883330111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20.10314824370645</v>
      </c>
      <c r="CL133" s="23">
        <f>EXP(-LN(2)/25)*CL132+(1-EXP(-LN(2)/25))/(LN(2)/25)*Calculateur!CG133*Calculateur!CI133*VLOOKUP('Données projet'!$B$12,Paramètres!$A$1:$I$89,3,0)*0.475*44/12</f>
        <v>1.7997450218489088</v>
      </c>
      <c r="CM133" s="23">
        <f>EXP(-LN(2)/2)*CM132+(1-EXP(-LN(2)/2))/(LN(2)/2)*CG133*CJ133*VLOOKUP('Données projet'!$B$12,Paramètres!$A$1:$I$89,3,0)*0.475*44/12</f>
        <v>5.5963188243355421E-8</v>
      </c>
      <c r="CN133" s="24">
        <f t="shared" si="120"/>
        <v>21.902893321518548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193.99999999999994</v>
      </c>
      <c r="CU133" s="18">
        <f>CT133*VLOOKUP('Données projet'!$B$13,Paramètres!$A$1:$I$89,3,0)*VLOOKUP('Données projet'!$B$13,Paramètres!$A$1:$I$89,5,0)</f>
        <v>105.92399999999998</v>
      </c>
      <c r="CV133" s="14">
        <f t="shared" ref="CV133:CV153" si="149">EXP(-1.0587+0.8836*LN(CU133)+0.284)</f>
        <v>28.36854701055546</v>
      </c>
      <c r="CW133" s="22">
        <f t="shared" si="121"/>
        <v>233.89285271005073</v>
      </c>
      <c r="CX133" s="62">
        <f t="shared" si="122"/>
        <v>527.22618604338402</v>
      </c>
      <c r="CY133" s="62">
        <f ca="1">AVERAGE(OFFSET($CX$3,0,0,'Données projet'!$E$13+1,1))-AVERAGE(OFFSET($H$3,0,0,'Données projet'!$E$13+1,1))</f>
        <v>135.44138026609272</v>
      </c>
      <c r="CZ133" s="62">
        <f t="shared" ref="CZ133:CZ196" si="150">$CZ$3</f>
        <v>254.77247578425659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9.1195877177736087</v>
      </c>
      <c r="DG133" s="23">
        <f>EXP(-LN(2)/25)*DG132+(1-EXP(-LN(2)/25))/(LN(2)/25)*Calculateur!DB133*Calculateur!DD133*VLOOKUP('Données projet'!$B$13,Paramètres!$A$1:$I$89,3,0)*0.475*44/12</f>
        <v>2.8272989484351769</v>
      </c>
      <c r="DH133" s="23">
        <f>EXP(-LN(2)/2)*DH132+(1-EXP(-LN(2)/2))/(LN(2)/2)*DB133*DE133*VLOOKUP('Données projet'!$B$13,Paramètres!$A$1:$I$89,3,0)*0.475*44/12</f>
        <v>7.5541021563866641E-14</v>
      </c>
      <c r="DI133" s="24">
        <f t="shared" si="123"/>
        <v>11.946886666208862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273.00000000000023</v>
      </c>
      <c r="DP133" s="18">
        <f>DO133*VLOOKUP('Données projet'!$B$14,Paramètres!$A$1:$I$89,3,0)*VLOOKUP('Données projet'!$B$14,Paramètres!$A$1:$I$89,5,0)</f>
        <v>264.04560000000021</v>
      </c>
      <c r="DQ133" s="14">
        <f t="shared" ref="DQ133:DQ153" si="151">EXP(-1.0587+0.8836*LN(DP133)+0.284)</f>
        <v>63.583959929973794</v>
      </c>
      <c r="DR133" s="22">
        <f t="shared" si="124"/>
        <v>570.6214835447048</v>
      </c>
      <c r="DS133" s="62">
        <f t="shared" si="125"/>
        <v>863.95481687803817</v>
      </c>
      <c r="DT133" s="62">
        <f ca="1">AVERAGE(OFFSET($DS$3,0,0,'Données projet'!$E$14+1,1))-AVERAGE(OFFSET($H$3,0,0,'Données projet'!$E$14+1,1))</f>
        <v>271.09447278906288</v>
      </c>
      <c r="DU133" s="62">
        <f t="shared" ref="DU133:DU196" si="152">$DU$3</f>
        <v>325.1094067861851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10.118591460286128</v>
      </c>
      <c r="EB133" s="23">
        <f>EXP(-LN(2)/25)*EB132+(1-EXP(-LN(2)/25))/(LN(2)/25)*Calculateur!DW133*Calculateur!DY133*VLOOKUP('Données projet'!$B$14,Paramètres!$A$1:$I$89,3,0)*0.475*44/12</f>
        <v>1.0562756622379725</v>
      </c>
      <c r="EC133" s="23">
        <f>EXP(-LN(2)/2)*EC132+(1-EXP(-LN(2)/2))/(LN(2)/2)*DW133*DZ133*VLOOKUP('Données projet'!$B$14,Paramètres!$A$1:$I$89,3,0)*0.475*44/12</f>
        <v>1.7735180071418978E-10</v>
      </c>
      <c r="ED133" s="24">
        <f t="shared" si="126"/>
        <v>11.174867122701452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273.00000000000023</v>
      </c>
      <c r="EK133" s="18">
        <f>EJ133*VLOOKUP('Données projet'!$B$15,Paramètres!$A$1:$I$89,3,0)*VLOOKUP('Données projet'!$B$15,Paramètres!$A$1:$I$89,5,0)</f>
        <v>293.85720000000026</v>
      </c>
      <c r="EL133" s="14">
        <f t="shared" ref="EL133:EL153" si="153">EXP(-1.0587+0.8836*LN(EK133)+0.284)</f>
        <v>69.887150190339895</v>
      </c>
      <c r="EM133" s="22">
        <f t="shared" si="127"/>
        <v>633.52140991484237</v>
      </c>
      <c r="EN133" s="62">
        <f t="shared" si="128"/>
        <v>926.85474324817574</v>
      </c>
      <c r="EO133" s="62">
        <f ca="1">AVERAGE(OFFSET($EN$3,0,0,'Données projet'!$E$15+1,1))-AVERAGE(OFFSET($H$3,0,0,'Données projet'!$E$15+1,1))</f>
        <v>306.50593475734655</v>
      </c>
      <c r="EP133" s="62">
        <f t="shared" ref="EP133:EP196" si="154">$EP$3</f>
        <v>366.48643801375079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11.261013076770048</v>
      </c>
      <c r="EW133" s="23">
        <f>EXP(-LN(2)/25)*EW132+(1-EXP(-LN(2)/25))/(LN(2)/25)*Calculateur!ER133*Calculateur!ET133*VLOOKUP('Données projet'!$B$15,Paramètres!$A$1:$I$89,3,0)*0.475*44/12</f>
        <v>1.1755325918454846</v>
      </c>
      <c r="EX133" s="23">
        <f>EXP(-LN(2)/2)*EX132+(1-EXP(-LN(2)/2))/(LN(2)/2)*ER133*EU133*VLOOKUP('Données projet'!$B$15,Paramètres!$A$1:$I$89,3,0)*0.475*44/12</f>
        <v>1.9737539111740464E-10</v>
      </c>
      <c r="EY133" s="24">
        <f t="shared" si="129"/>
        <v>12.436545668812908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96.049199999999701</v>
      </c>
      <c r="D134" s="12">
        <f t="shared" si="140"/>
        <v>26.018577210521507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942.27757846718123</v>
      </c>
      <c r="H134" s="70">
        <f t="shared" si="110"/>
        <v>505.93471197499105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306.99999999999994</v>
      </c>
      <c r="O134" s="14">
        <f>N134*VLOOKUP('Données projet'!$B$9,Paramètres!$A$1:$I$89,3,0)*VLOOKUP('Données projet'!$B$9,Paramètres!$A$1:$I$89,5,0)</f>
        <v>277.77359999999993</v>
      </c>
      <c r="P134" s="14">
        <f t="shared" si="141"/>
        <v>66.496288176842356</v>
      </c>
      <c r="Q134" s="22">
        <f t="shared" si="108"/>
        <v>599.60338857466706</v>
      </c>
      <c r="R134" s="62">
        <f t="shared" si="109"/>
        <v>892.93672190800044</v>
      </c>
      <c r="S134" s="62">
        <f ca="1">AVERAGE(OFFSET($R$3,0,0,'Données projet'!$E$9+1,1))-AVERAGE(OFFSET($H$3,0,0,'Données projet'!$E$9+1,1))</f>
        <v>312.57314929661908</v>
      </c>
      <c r="T134" s="62">
        <f t="shared" si="142"/>
        <v>190.92100876773804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55.893869349415006</v>
      </c>
      <c r="AA134" s="23">
        <f>EXP(-LN(2)/25)*AA133+(1-EXP(-LN(2)/25))/(LN(2)/25)*Calculateur!V134*Calculateur!X134*VLOOKUP('Données projet'!$B$9,Paramètres!$A$1:$I$89,3,0)*0.475*44/12</f>
        <v>2.1285959779011416</v>
      </c>
      <c r="AB134" s="23">
        <f>EXP(-LN(2)/2)*AB133+(1-EXP(-LN(2)/2))/(LN(2)/2)*V134*Y134*VLOOKUP('Données projet'!$B$9,Paramètres!$A$1:$I$89,3,0)*0.475*44/12</f>
        <v>5.885407160600889E-3</v>
      </c>
      <c r="AC134" s="24">
        <f t="shared" si="111"/>
        <v>58.028350734476746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306.99999999999994</v>
      </c>
      <c r="AJ134" s="14">
        <f>AI134*VLOOKUP('Données projet'!$B$10,Paramètres!$A$1:$I$89,3,0)*VLOOKUP('Données projet'!$B$10,Paramètres!$A$1:$I$89,5,0)</f>
        <v>311.298</v>
      </c>
      <c r="AK134" s="14">
        <f t="shared" si="143"/>
        <v>73.539838278528748</v>
      </c>
      <c r="AL134" s="22">
        <f t="shared" si="112"/>
        <v>670.25923500177089</v>
      </c>
      <c r="AM134" s="62">
        <f t="shared" si="113"/>
        <v>963.59256833510426</v>
      </c>
      <c r="AN134" s="62">
        <f ca="1">AVERAGE(OFFSET($AM$3,0,0,'Données projet'!$E$10+1,1))-AVERAGE(OFFSET($H$3,0,0,'Données projet'!$E$10+1,1))</f>
        <v>360.56293184044779</v>
      </c>
      <c r="AO134" s="62">
        <f t="shared" si="144"/>
        <v>219.32252911220542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62.639681167447819</v>
      </c>
      <c r="AV134" s="23">
        <f>EXP(-LN(2)/25)*AV133+(1-EXP(-LN(2)/25))/(LN(2)/25)*Calculateur!AQ134*Calculateur!AS134*VLOOKUP('Données projet'!$B$10,Paramètres!$A$1:$I$89,3,0)*0.475*44/12</f>
        <v>2.3854954924754179</v>
      </c>
      <c r="AW134" s="23">
        <f>EXP(-LN(2)/2)*AW133+(1-EXP(-LN(2)/2))/(LN(2)/2)*AQ134*AT134*VLOOKUP('Données projet'!$B$10,Paramètres!$A$1:$I$89,3,0)*0.475*44/12</f>
        <v>6.5957149213630665E-3</v>
      </c>
      <c r="AX134" s="23">
        <f t="shared" si="114"/>
        <v>65.031772374844593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1.1368683772161603E-13</v>
      </c>
      <c r="BE134" s="14">
        <f>BD134*VLOOKUP('Données projet'!$B$11,Paramètres!$A$1:$I$89,3,0)*VLOOKUP('Données projet'!$B$11,Paramètres!$A$1:$I$89,5,0)</f>
        <v>8.3355189417488869E-14</v>
      </c>
      <c r="BF134" s="14">
        <f t="shared" si="145"/>
        <v>1.2790518435140618E-12</v>
      </c>
      <c r="BG134" s="22">
        <f t="shared" si="115"/>
        <v>2.3728589156891171E-12</v>
      </c>
      <c r="BH134" s="62">
        <f t="shared" si="116"/>
        <v>293.3333333333357</v>
      </c>
      <c r="BI134" s="62">
        <f ca="1">AVERAGE(OFFSET($BH$3,0,0,'Données projet'!$E$11+1,1))-AVERAGE(OFFSET($H$3,0,0,'Données projet'!$E$11+1,1))</f>
        <v>182.06733089745194</v>
      </c>
      <c r="BJ134" s="62">
        <f t="shared" si="146"/>
        <v>320.36755413886021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8.0842594617097294</v>
      </c>
      <c r="BQ134" s="23">
        <f>EXP(-LN(2)/25)*BQ133+(1-EXP(-LN(2)/25))/(LN(2)/25)*Calculateur!BL134*Calculateur!BN134*VLOOKUP('Données projet'!$B$11,Paramètres!$A$1:$I$89,3,0)*0.475*44/12</f>
        <v>0.77246735725667914</v>
      </c>
      <c r="BR134" s="23">
        <f>EXP(-LN(2)/2)*BR133+(1-EXP(-LN(2)/2))/(LN(2)/2)*BL134*BO134*VLOOKUP('Données projet'!$B$11,Paramètres!$A$1:$I$89,3,0)*0.475*44/12</f>
        <v>4.6498863201497974E-13</v>
      </c>
      <c r="BS134" s="24">
        <f t="shared" si="117"/>
        <v>8.8567268189668731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319.99999999999972</v>
      </c>
      <c r="BZ134" s="14">
        <f>BY134*VLOOKUP('Données projet'!$B$12,Paramètres!$A$1:$I$89,3,0)*VLOOKUP('Données projet'!$B$12,Paramètres!$A$1:$I$89,5,0)</f>
        <v>279.55199999999979</v>
      </c>
      <c r="CA134" s="14">
        <f t="shared" si="147"/>
        <v>66.872324781216591</v>
      </c>
      <c r="CB134" s="22">
        <f t="shared" si="118"/>
        <v>603.35569899395182</v>
      </c>
      <c r="CC134" s="62">
        <f t="shared" si="119"/>
        <v>896.68903232728508</v>
      </c>
      <c r="CD134" s="62">
        <f ca="1">AVERAGE(OFFSET($CC$3,0,0,'Données projet'!$E$12+1,1))-AVERAGE(OFFSET($H$3,0,0,'Données projet'!$E$12+1,1))</f>
        <v>248.60758320902863</v>
      </c>
      <c r="CE134" s="62">
        <f t="shared" si="148"/>
        <v>222.23585883330111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19.708937768357053</v>
      </c>
      <c r="CL134" s="23">
        <f>EXP(-LN(2)/25)*CL133+(1-EXP(-LN(2)/25))/(LN(2)/25)*Calculateur!CG134*Calculateur!CI134*VLOOKUP('Données projet'!$B$12,Paramètres!$A$1:$I$89,3,0)*0.475*44/12</f>
        <v>1.7505308995819731</v>
      </c>
      <c r="CM134" s="23">
        <f>EXP(-LN(2)/2)*CM133+(1-EXP(-LN(2)/2))/(LN(2)/2)*CG134*CJ134*VLOOKUP('Données projet'!$B$12,Paramètres!$A$1:$I$89,3,0)*0.475*44/12</f>
        <v>3.957194990369589E-8</v>
      </c>
      <c r="CN134" s="24">
        <f t="shared" si="120"/>
        <v>21.459468707510979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193.99999999999994</v>
      </c>
      <c r="CU134" s="18">
        <f>CT134*VLOOKUP('Données projet'!$B$13,Paramètres!$A$1:$I$89,3,0)*VLOOKUP('Données projet'!$B$13,Paramètres!$A$1:$I$89,5,0)</f>
        <v>105.92399999999998</v>
      </c>
      <c r="CV134" s="14">
        <f t="shared" si="149"/>
        <v>28.36854701055546</v>
      </c>
      <c r="CW134" s="22">
        <f t="shared" si="121"/>
        <v>233.89285271005073</v>
      </c>
      <c r="CX134" s="62">
        <f t="shared" si="122"/>
        <v>527.22618604338402</v>
      </c>
      <c r="CY134" s="62">
        <f ca="1">AVERAGE(OFFSET($CX$3,0,0,'Données projet'!$E$13+1,1))-AVERAGE(OFFSET($H$3,0,0,'Données projet'!$E$13+1,1))</f>
        <v>135.44138026609272</v>
      </c>
      <c r="CZ134" s="62">
        <f t="shared" si="150"/>
        <v>254.77247578425659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8.9407581650273347</v>
      </c>
      <c r="DG134" s="23">
        <f>EXP(-LN(2)/25)*DG133+(1-EXP(-LN(2)/25))/(LN(2)/25)*Calculateur!DB134*Calculateur!DD134*VLOOKUP('Données projet'!$B$13,Paramètres!$A$1:$I$89,3,0)*0.475*44/12</f>
        <v>2.7499863100090272</v>
      </c>
      <c r="DH134" s="23">
        <f>EXP(-LN(2)/2)*DH133+(1-EXP(-LN(2)/2))/(LN(2)/2)*DB134*DE134*VLOOKUP('Données projet'!$B$13,Paramètres!$A$1:$I$89,3,0)*0.475*44/12</f>
        <v>5.3415568605569318E-14</v>
      </c>
      <c r="DI134" s="24">
        <f t="shared" si="123"/>
        <v>11.690744475036414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273.00000000000023</v>
      </c>
      <c r="DP134" s="18">
        <f>DO134*VLOOKUP('Données projet'!$B$14,Paramètres!$A$1:$I$89,3,0)*VLOOKUP('Données projet'!$B$14,Paramètres!$A$1:$I$89,5,0)</f>
        <v>264.04560000000021</v>
      </c>
      <c r="DQ134" s="14">
        <f t="shared" si="151"/>
        <v>63.583959929973794</v>
      </c>
      <c r="DR134" s="22">
        <f t="shared" si="124"/>
        <v>570.6214835447048</v>
      </c>
      <c r="DS134" s="62">
        <f t="shared" si="125"/>
        <v>863.95481687803817</v>
      </c>
      <c r="DT134" s="62">
        <f ca="1">AVERAGE(OFFSET($DS$3,0,0,'Données projet'!$E$14+1,1))-AVERAGE(OFFSET($H$3,0,0,'Données projet'!$E$14+1,1))</f>
        <v>271.09447278906288</v>
      </c>
      <c r="DU134" s="62">
        <f t="shared" si="152"/>
        <v>325.1094067861851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9.9201720534813003</v>
      </c>
      <c r="EB134" s="23">
        <f>EXP(-LN(2)/25)*EB133+(1-EXP(-LN(2)/25))/(LN(2)/25)*Calculateur!DW134*Calculateur!DY134*VLOOKUP('Données projet'!$B$14,Paramètres!$A$1:$I$89,3,0)*0.475*44/12</f>
        <v>1.0273917487069522</v>
      </c>
      <c r="EC134" s="23">
        <f>EXP(-LN(2)/2)*EC133+(1-EXP(-LN(2)/2))/(LN(2)/2)*DW134*DZ134*VLOOKUP('Données projet'!$B$14,Paramètres!$A$1:$I$89,3,0)*0.475*44/12</f>
        <v>1.2540666094064877E-10</v>
      </c>
      <c r="ED134" s="24">
        <f t="shared" si="126"/>
        <v>10.94756380231366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273.00000000000023</v>
      </c>
      <c r="EK134" s="18">
        <f>EJ134*VLOOKUP('Données projet'!$B$15,Paramètres!$A$1:$I$89,3,0)*VLOOKUP('Données projet'!$B$15,Paramètres!$A$1:$I$89,5,0)</f>
        <v>293.85720000000026</v>
      </c>
      <c r="EL134" s="14">
        <f t="shared" si="153"/>
        <v>69.887150190339895</v>
      </c>
      <c r="EM134" s="22">
        <f t="shared" si="127"/>
        <v>633.52140991484237</v>
      </c>
      <c r="EN134" s="62">
        <f t="shared" si="128"/>
        <v>926.85474324817574</v>
      </c>
      <c r="EO134" s="62">
        <f ca="1">AVERAGE(OFFSET($EN$3,0,0,'Données projet'!$E$15+1,1))-AVERAGE(OFFSET($H$3,0,0,'Données projet'!$E$15+1,1))</f>
        <v>306.50593475734655</v>
      </c>
      <c r="EP134" s="62">
        <f t="shared" si="154"/>
        <v>366.48643801375079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11.040191478874352</v>
      </c>
      <c r="EW134" s="23">
        <f>EXP(-LN(2)/25)*EW133+(1-EXP(-LN(2)/25))/(LN(2)/25)*Calculateur!ER134*Calculateur!ET134*VLOOKUP('Données projet'!$B$15,Paramètres!$A$1:$I$89,3,0)*0.475*44/12</f>
        <v>1.1433875913028975</v>
      </c>
      <c r="EX134" s="23">
        <f>EXP(-LN(2)/2)*EX133+(1-EXP(-LN(2)/2))/(LN(2)/2)*ER134*EU134*VLOOKUP('Données projet'!$B$15,Paramètres!$A$1:$I$89,3,0)*0.475*44/12</f>
        <v>1.3956547749846388E-10</v>
      </c>
      <c r="EY134" s="24">
        <f t="shared" si="129"/>
        <v>12.183579070316814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96.782399999999697</v>
      </c>
      <c r="D135" s="12">
        <f t="shared" si="140"/>
        <v>26.193995758894371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949.2914760335683</v>
      </c>
      <c r="H135" s="70">
        <f t="shared" si="110"/>
        <v>507.51722261340717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306.99999999999994</v>
      </c>
      <c r="O135" s="14">
        <f>N135*VLOOKUP('Données projet'!$B$9,Paramètres!$A$1:$I$89,3,0)*VLOOKUP('Données projet'!$B$9,Paramètres!$A$1:$I$89,5,0)</f>
        <v>277.77359999999993</v>
      </c>
      <c r="P135" s="14">
        <f t="shared" si="141"/>
        <v>66.496288176842356</v>
      </c>
      <c r="Q135" s="22">
        <f t="shared" si="108"/>
        <v>599.60338857466706</v>
      </c>
      <c r="R135" s="62">
        <f t="shared" si="109"/>
        <v>892.93672190800044</v>
      </c>
      <c r="S135" s="62">
        <f ca="1">AVERAGE(OFFSET($R$3,0,0,'Données projet'!$E$9+1,1))-AVERAGE(OFFSET($H$3,0,0,'Données projet'!$E$9+1,1))</f>
        <v>312.57314929661908</v>
      </c>
      <c r="T135" s="62">
        <f t="shared" si="142"/>
        <v>190.92100876773804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54.797824663366988</v>
      </c>
      <c r="AA135" s="23">
        <f>EXP(-LN(2)/25)*AA134+(1-EXP(-LN(2)/25))/(LN(2)/25)*Calculateur!V135*Calculateur!X135*VLOOKUP('Données projet'!$B$9,Paramètres!$A$1:$I$89,3,0)*0.475*44/12</f>
        <v>2.0703894089474373</v>
      </c>
      <c r="AB135" s="23">
        <f>EXP(-LN(2)/2)*AB134+(1-EXP(-LN(2)/2))/(LN(2)/2)*V135*Y135*VLOOKUP('Données projet'!$B$9,Paramètres!$A$1:$I$89,3,0)*0.475*44/12</f>
        <v>4.1616113133047528E-3</v>
      </c>
      <c r="AC135" s="24">
        <f t="shared" si="111"/>
        <v>56.87237568362773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306.99999999999994</v>
      </c>
      <c r="AJ135" s="14">
        <f>AI135*VLOOKUP('Données projet'!$B$10,Paramètres!$A$1:$I$89,3,0)*VLOOKUP('Données projet'!$B$10,Paramètres!$A$1:$I$89,5,0)</f>
        <v>311.298</v>
      </c>
      <c r="AK135" s="14">
        <f t="shared" si="143"/>
        <v>73.539838278528748</v>
      </c>
      <c r="AL135" s="22">
        <f t="shared" si="112"/>
        <v>670.25923500177089</v>
      </c>
      <c r="AM135" s="62">
        <f t="shared" si="113"/>
        <v>963.59256833510426</v>
      </c>
      <c r="AN135" s="62">
        <f ca="1">AVERAGE(OFFSET($AM$3,0,0,'Données projet'!$E$10+1,1))-AVERAGE(OFFSET($H$3,0,0,'Données projet'!$E$10+1,1))</f>
        <v>360.56293184044779</v>
      </c>
      <c r="AO135" s="62">
        <f t="shared" si="144"/>
        <v>219.32252911220542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61.411355226187105</v>
      </c>
      <c r="AV135" s="23">
        <f>EXP(-LN(2)/25)*AV134+(1-EXP(-LN(2)/25))/(LN(2)/25)*Calculateur!AQ135*Calculateur!AS135*VLOOKUP('Données projet'!$B$10,Paramètres!$A$1:$I$89,3,0)*0.475*44/12</f>
        <v>2.3202639927859217</v>
      </c>
      <c r="AW135" s="23">
        <f>EXP(-LN(2)/2)*AW134+(1-EXP(-LN(2)/2))/(LN(2)/2)*AQ135*AT135*VLOOKUP('Données projet'!$B$10,Paramètres!$A$1:$I$89,3,0)*0.475*44/12</f>
        <v>4.6638747476691203E-3</v>
      </c>
      <c r="AX135" s="23">
        <f t="shared" si="114"/>
        <v>63.736283093720694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1.1368683772161603E-13</v>
      </c>
      <c r="BE135" s="14">
        <f>BD135*VLOOKUP('Données projet'!$B$11,Paramètres!$A$1:$I$89,3,0)*VLOOKUP('Données projet'!$B$11,Paramètres!$A$1:$I$89,5,0)</f>
        <v>8.3355189417488869E-14</v>
      </c>
      <c r="BF135" s="14">
        <f t="shared" si="145"/>
        <v>1.2790518435140618E-12</v>
      </c>
      <c r="BG135" s="22">
        <f t="shared" si="115"/>
        <v>2.3728589156891171E-12</v>
      </c>
      <c r="BH135" s="62">
        <f t="shared" si="116"/>
        <v>293.3333333333357</v>
      </c>
      <c r="BI135" s="62">
        <f ca="1">AVERAGE(OFFSET($BH$3,0,0,'Données projet'!$E$11+1,1))-AVERAGE(OFFSET($H$3,0,0,'Données projet'!$E$11+1,1))</f>
        <v>182.06733089745194</v>
      </c>
      <c r="BJ135" s="62">
        <f t="shared" si="146"/>
        <v>320.36755413886021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7.9257320645769864</v>
      </c>
      <c r="BQ135" s="23">
        <f>EXP(-LN(2)/25)*BQ134+(1-EXP(-LN(2)/25))/(LN(2)/25)*Calculateur!BL135*Calculateur!BN135*VLOOKUP('Données projet'!$B$11,Paramètres!$A$1:$I$89,3,0)*0.475*44/12</f>
        <v>0.75134419675020248</v>
      </c>
      <c r="BR135" s="23">
        <f>EXP(-LN(2)/2)*BR134+(1-EXP(-LN(2)/2))/(LN(2)/2)*BL135*BO135*VLOOKUP('Données projet'!$B$11,Paramètres!$A$1:$I$89,3,0)*0.475*44/12</f>
        <v>3.2879661487244834E-13</v>
      </c>
      <c r="BS135" s="24">
        <f t="shared" si="117"/>
        <v>8.6770762613275174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319.99999999999972</v>
      </c>
      <c r="BZ135" s="14">
        <f>BY135*VLOOKUP('Données projet'!$B$12,Paramètres!$A$1:$I$89,3,0)*VLOOKUP('Données projet'!$B$12,Paramètres!$A$1:$I$89,5,0)</f>
        <v>279.55199999999979</v>
      </c>
      <c r="CA135" s="14">
        <f t="shared" si="147"/>
        <v>66.872324781216591</v>
      </c>
      <c r="CB135" s="22">
        <f t="shared" si="118"/>
        <v>603.35569899395182</v>
      </c>
      <c r="CC135" s="62">
        <f t="shared" si="119"/>
        <v>896.68903232728508</v>
      </c>
      <c r="CD135" s="62">
        <f ca="1">AVERAGE(OFFSET($CC$3,0,0,'Données projet'!$E$12+1,1))-AVERAGE(OFFSET($H$3,0,0,'Données projet'!$E$12+1,1))</f>
        <v>248.60758320902863</v>
      </c>
      <c r="CE135" s="62">
        <f t="shared" si="148"/>
        <v>222.23585883330111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19.32245751998461</v>
      </c>
      <c r="CL135" s="23">
        <f>EXP(-LN(2)/25)*CL134+(1-EXP(-LN(2)/25))/(LN(2)/25)*Calculateur!CG135*Calculateur!CI135*VLOOKUP('Données projet'!$B$12,Paramètres!$A$1:$I$89,3,0)*0.475*44/12</f>
        <v>1.702662540076485</v>
      </c>
      <c r="CM135" s="23">
        <f>EXP(-LN(2)/2)*CM134+(1-EXP(-LN(2)/2))/(LN(2)/2)*CG135*CJ135*VLOOKUP('Données projet'!$B$12,Paramètres!$A$1:$I$89,3,0)*0.475*44/12</f>
        <v>2.7981594121677711E-8</v>
      </c>
      <c r="CN135" s="24">
        <f t="shared" si="120"/>
        <v>21.025120088042691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193.99999999999994</v>
      </c>
      <c r="CU135" s="18">
        <f>CT135*VLOOKUP('Données projet'!$B$13,Paramètres!$A$1:$I$89,3,0)*VLOOKUP('Données projet'!$B$13,Paramètres!$A$1:$I$89,5,0)</f>
        <v>105.92399999999998</v>
      </c>
      <c r="CV135" s="14">
        <f t="shared" si="149"/>
        <v>28.36854701055546</v>
      </c>
      <c r="CW135" s="22">
        <f t="shared" si="121"/>
        <v>233.89285271005073</v>
      </c>
      <c r="CX135" s="62">
        <f t="shared" si="122"/>
        <v>527.22618604338402</v>
      </c>
      <c r="CY135" s="62">
        <f ca="1">AVERAGE(OFFSET($CX$3,0,0,'Données projet'!$E$13+1,1))-AVERAGE(OFFSET($H$3,0,0,'Données projet'!$E$13+1,1))</f>
        <v>135.44138026609272</v>
      </c>
      <c r="CZ135" s="62">
        <f t="shared" si="150"/>
        <v>254.77247578425659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8.7654353507351583</v>
      </c>
      <c r="DG135" s="23">
        <f>EXP(-LN(2)/25)*DG134+(1-EXP(-LN(2)/25))/(LN(2)/25)*Calculateur!DB135*Calculateur!DD135*VLOOKUP('Données projet'!$B$13,Paramètres!$A$1:$I$89,3,0)*0.475*44/12</f>
        <v>2.6747877897463352</v>
      </c>
      <c r="DH135" s="23">
        <f>EXP(-LN(2)/2)*DH134+(1-EXP(-LN(2)/2))/(LN(2)/2)*DB135*DE135*VLOOKUP('Données projet'!$B$13,Paramètres!$A$1:$I$89,3,0)*0.475*44/12</f>
        <v>3.7770510781933321E-14</v>
      </c>
      <c r="DI135" s="24">
        <f t="shared" si="123"/>
        <v>11.44022314048153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273.00000000000023</v>
      </c>
      <c r="DP135" s="18">
        <f>DO135*VLOOKUP('Données projet'!$B$14,Paramètres!$A$1:$I$89,3,0)*VLOOKUP('Données projet'!$B$14,Paramètres!$A$1:$I$89,5,0)</f>
        <v>264.04560000000021</v>
      </c>
      <c r="DQ135" s="14">
        <f t="shared" si="151"/>
        <v>63.583959929973794</v>
      </c>
      <c r="DR135" s="22">
        <f t="shared" si="124"/>
        <v>570.6214835447048</v>
      </c>
      <c r="DS135" s="62">
        <f t="shared" si="125"/>
        <v>863.95481687803817</v>
      </c>
      <c r="DT135" s="62">
        <f ca="1">AVERAGE(OFFSET($DS$3,0,0,'Données projet'!$E$14+1,1))-AVERAGE(OFFSET($H$3,0,0,'Données projet'!$E$14+1,1))</f>
        <v>271.09447278906288</v>
      </c>
      <c r="DU135" s="62">
        <f t="shared" si="152"/>
        <v>325.1094067861851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9.7256435302200277</v>
      </c>
      <c r="EB135" s="23">
        <f>EXP(-LN(2)/25)*EB134+(1-EXP(-LN(2)/25))/(LN(2)/25)*Calculateur!DW135*Calculateur!DY135*VLOOKUP('Données projet'!$B$14,Paramètres!$A$1:$I$89,3,0)*0.475*44/12</f>
        <v>0.99929766731037661</v>
      </c>
      <c r="EC135" s="23">
        <f>EXP(-LN(2)/2)*EC134+(1-EXP(-LN(2)/2))/(LN(2)/2)*DW135*DZ135*VLOOKUP('Données projet'!$B$14,Paramètres!$A$1:$I$89,3,0)*0.475*44/12</f>
        <v>8.8675900357094888E-11</v>
      </c>
      <c r="ED135" s="24">
        <f t="shared" si="126"/>
        <v>10.72494119761908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273.00000000000023</v>
      </c>
      <c r="EK135" s="18">
        <f>EJ135*VLOOKUP('Données projet'!$B$15,Paramètres!$A$1:$I$89,3,0)*VLOOKUP('Données projet'!$B$15,Paramètres!$A$1:$I$89,5,0)</f>
        <v>293.85720000000026</v>
      </c>
      <c r="EL135" s="14">
        <f t="shared" si="153"/>
        <v>69.887150190339895</v>
      </c>
      <c r="EM135" s="22">
        <f t="shared" si="127"/>
        <v>633.52140991484237</v>
      </c>
      <c r="EN135" s="62">
        <f t="shared" si="128"/>
        <v>926.85474324817574</v>
      </c>
      <c r="EO135" s="62">
        <f ca="1">AVERAGE(OFFSET($EN$3,0,0,'Données projet'!$E$15+1,1))-AVERAGE(OFFSET($H$3,0,0,'Données projet'!$E$15+1,1))</f>
        <v>306.50593475734655</v>
      </c>
      <c r="EP135" s="62">
        <f t="shared" si="154"/>
        <v>366.48643801375079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10.823700057825516</v>
      </c>
      <c r="EW135" s="23">
        <f>EXP(-LN(2)/25)*EW134+(1-EXP(-LN(2)/25))/(LN(2)/25)*Calculateur!ER135*Calculateur!ET135*VLOOKUP('Données projet'!$B$15,Paramètres!$A$1:$I$89,3,0)*0.475*44/12</f>
        <v>1.1121215974905796</v>
      </c>
      <c r="EX135" s="23">
        <f>EXP(-LN(2)/2)*EX134+(1-EXP(-LN(2)/2))/(LN(2)/2)*ER135*EU135*VLOOKUP('Données projet'!$B$15,Paramètres!$A$1:$I$89,3,0)*0.475*44/12</f>
        <v>9.8687695558702321E-11</v>
      </c>
      <c r="EY135" s="24">
        <f t="shared" si="129"/>
        <v>11.935821655414783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97.515599999999694</v>
      </c>
      <c r="D136" s="12">
        <f t="shared" si="140"/>
        <v>26.369259686620403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956.30418003706757</v>
      </c>
      <c r="H136" s="70">
        <f t="shared" si="110"/>
        <v>509.09946395419666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306.99999999999994</v>
      </c>
      <c r="O136" s="14">
        <f>N136*VLOOKUP('Données projet'!$B$9,Paramètres!$A$1:$I$89,3,0)*VLOOKUP('Données projet'!$B$9,Paramètres!$A$1:$I$89,5,0)</f>
        <v>277.77359999999993</v>
      </c>
      <c r="P136" s="14">
        <f t="shared" si="141"/>
        <v>66.496288176842356</v>
      </c>
      <c r="Q136" s="22">
        <f t="shared" si="108"/>
        <v>599.60338857466706</v>
      </c>
      <c r="R136" s="62">
        <f t="shared" si="109"/>
        <v>892.93672190800044</v>
      </c>
      <c r="S136" s="62">
        <f ca="1">AVERAGE(OFFSET($R$3,0,0,'Données projet'!$E$9+1,1))-AVERAGE(OFFSET($H$3,0,0,'Données projet'!$E$9+1,1))</f>
        <v>312.57314929661908</v>
      </c>
      <c r="T136" s="62">
        <f t="shared" si="142"/>
        <v>190.92100876773804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53.723272745091123</v>
      </c>
      <c r="AA136" s="23">
        <f>EXP(-LN(2)/25)*AA135+(1-EXP(-LN(2)/25))/(LN(2)/25)*Calculateur!V136*Calculateur!X136*VLOOKUP('Données projet'!$B$9,Paramètres!$A$1:$I$89,3,0)*0.475*44/12</f>
        <v>2.0137745016827227</v>
      </c>
      <c r="AB136" s="23">
        <f>EXP(-LN(2)/2)*AB135+(1-EXP(-LN(2)/2))/(LN(2)/2)*V136*Y136*VLOOKUP('Données projet'!$B$9,Paramètres!$A$1:$I$89,3,0)*0.475*44/12</f>
        <v>2.9427035803004445E-3</v>
      </c>
      <c r="AC136" s="24">
        <f t="shared" si="111"/>
        <v>55.73998995035415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306.99999999999994</v>
      </c>
      <c r="AJ136" s="14">
        <f>AI136*VLOOKUP('Données projet'!$B$10,Paramètres!$A$1:$I$89,3,0)*VLOOKUP('Données projet'!$B$10,Paramètres!$A$1:$I$89,5,0)</f>
        <v>311.298</v>
      </c>
      <c r="AK136" s="14">
        <f t="shared" si="143"/>
        <v>73.539838278528748</v>
      </c>
      <c r="AL136" s="22">
        <f t="shared" si="112"/>
        <v>670.25923500177089</v>
      </c>
      <c r="AM136" s="62">
        <f t="shared" si="113"/>
        <v>963.59256833510426</v>
      </c>
      <c r="AN136" s="62">
        <f ca="1">AVERAGE(OFFSET($AM$3,0,0,'Données projet'!$E$10+1,1))-AVERAGE(OFFSET($H$3,0,0,'Données projet'!$E$10+1,1))</f>
        <v>360.56293184044779</v>
      </c>
      <c r="AO136" s="62">
        <f t="shared" si="144"/>
        <v>219.32252911220542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60.207116007429669</v>
      </c>
      <c r="AV136" s="23">
        <f>EXP(-LN(2)/25)*AV135+(1-EXP(-LN(2)/25))/(LN(2)/25)*Calculateur!AQ136*Calculateur!AS136*VLOOKUP('Données projet'!$B$10,Paramètres!$A$1:$I$89,3,0)*0.475*44/12</f>
        <v>2.2568162518858101</v>
      </c>
      <c r="AW136" s="23">
        <f>EXP(-LN(2)/2)*AW135+(1-EXP(-LN(2)/2))/(LN(2)/2)*AQ136*AT136*VLOOKUP('Données projet'!$B$10,Paramètres!$A$1:$I$89,3,0)*0.475*44/12</f>
        <v>3.2978574606815332E-3</v>
      </c>
      <c r="AX136" s="23">
        <f t="shared" si="114"/>
        <v>62.467230116776157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1.1368683772161603E-13</v>
      </c>
      <c r="BE136" s="14">
        <f>BD136*VLOOKUP('Données projet'!$B$11,Paramètres!$A$1:$I$89,3,0)*VLOOKUP('Données projet'!$B$11,Paramètres!$A$1:$I$89,5,0)</f>
        <v>8.3355189417488869E-14</v>
      </c>
      <c r="BF136" s="14">
        <f t="shared" si="145"/>
        <v>1.2790518435140618E-12</v>
      </c>
      <c r="BG136" s="22">
        <f t="shared" si="115"/>
        <v>2.3728589156891171E-12</v>
      </c>
      <c r="BH136" s="62">
        <f t="shared" si="116"/>
        <v>293.3333333333357</v>
      </c>
      <c r="BI136" s="62">
        <f ca="1">AVERAGE(OFFSET($BH$3,0,0,'Données projet'!$E$11+1,1))-AVERAGE(OFFSET($H$3,0,0,'Données projet'!$E$11+1,1))</f>
        <v>182.06733089745194</v>
      </c>
      <c r="BJ136" s="62">
        <f t="shared" si="146"/>
        <v>320.36755413886021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7.7703132930098517</v>
      </c>
      <c r="BQ136" s="23">
        <f>EXP(-LN(2)/25)*BQ135+(1-EXP(-LN(2)/25))/(LN(2)/25)*Calculateur!BL136*Calculateur!BN136*VLOOKUP('Données projet'!$B$11,Paramètres!$A$1:$I$89,3,0)*0.475*44/12</f>
        <v>0.73079865017859413</v>
      </c>
      <c r="BR136" s="23">
        <f>EXP(-LN(2)/2)*BR135+(1-EXP(-LN(2)/2))/(LN(2)/2)*BL136*BO136*VLOOKUP('Données projet'!$B$11,Paramètres!$A$1:$I$89,3,0)*0.475*44/12</f>
        <v>2.3249431600748987E-13</v>
      </c>
      <c r="BS136" s="24">
        <f t="shared" si="117"/>
        <v>8.501111943188679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319.99999999999972</v>
      </c>
      <c r="BZ136" s="14">
        <f>BY136*VLOOKUP('Données projet'!$B$12,Paramètres!$A$1:$I$89,3,0)*VLOOKUP('Données projet'!$B$12,Paramètres!$A$1:$I$89,5,0)</f>
        <v>279.55199999999979</v>
      </c>
      <c r="CA136" s="14">
        <f t="shared" si="147"/>
        <v>66.872324781216591</v>
      </c>
      <c r="CB136" s="22">
        <f t="shared" si="118"/>
        <v>603.35569899395182</v>
      </c>
      <c r="CC136" s="62">
        <f t="shared" si="119"/>
        <v>896.68903232728508</v>
      </c>
      <c r="CD136" s="62">
        <f ca="1">AVERAGE(OFFSET($CC$3,0,0,'Données projet'!$E$12+1,1))-AVERAGE(OFFSET($H$3,0,0,'Données projet'!$E$12+1,1))</f>
        <v>248.60758320902863</v>
      </c>
      <c r="CE136" s="62">
        <f t="shared" si="148"/>
        <v>222.23585883330111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18.943555913553073</v>
      </c>
      <c r="CL136" s="23">
        <f>EXP(-LN(2)/25)*CL135+(1-EXP(-LN(2)/25))/(LN(2)/25)*Calculateur!CG136*Calculateur!CI136*VLOOKUP('Données projet'!$B$12,Paramètres!$A$1:$I$89,3,0)*0.475*44/12</f>
        <v>1.6561031433789619</v>
      </c>
      <c r="CM136" s="23">
        <f>EXP(-LN(2)/2)*CM135+(1-EXP(-LN(2)/2))/(LN(2)/2)*CG136*CJ136*VLOOKUP('Données projet'!$B$12,Paramètres!$A$1:$I$89,3,0)*0.475*44/12</f>
        <v>1.9785974951847945E-8</v>
      </c>
      <c r="CN136" s="24">
        <f t="shared" si="120"/>
        <v>20.599659076718009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193.99999999999994</v>
      </c>
      <c r="CU136" s="18">
        <f>CT136*VLOOKUP('Données projet'!$B$13,Paramètres!$A$1:$I$89,3,0)*VLOOKUP('Données projet'!$B$13,Paramètres!$A$1:$I$89,5,0)</f>
        <v>105.92399999999998</v>
      </c>
      <c r="CV136" s="14">
        <f t="shared" si="149"/>
        <v>28.36854701055546</v>
      </c>
      <c r="CW136" s="22">
        <f t="shared" si="121"/>
        <v>233.89285271005073</v>
      </c>
      <c r="CX136" s="62">
        <f t="shared" si="122"/>
        <v>527.22618604338402</v>
      </c>
      <c r="CY136" s="62">
        <f ca="1">AVERAGE(OFFSET($CX$3,0,0,'Données projet'!$E$13+1,1))-AVERAGE(OFFSET($H$3,0,0,'Données projet'!$E$13+1,1))</f>
        <v>135.44138026609272</v>
      </c>
      <c r="CZ136" s="62">
        <f t="shared" si="150"/>
        <v>254.77247578425659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8.5935505098948948</v>
      </c>
      <c r="DG136" s="23">
        <f>EXP(-LN(2)/25)*DG135+(1-EXP(-LN(2)/25))/(LN(2)/25)*Calculateur!DB136*Calculateur!DD136*VLOOKUP('Données projet'!$B$13,Paramètres!$A$1:$I$89,3,0)*0.475*44/12</f>
        <v>2.6016455769747453</v>
      </c>
      <c r="DH136" s="23">
        <f>EXP(-LN(2)/2)*DH135+(1-EXP(-LN(2)/2))/(LN(2)/2)*DB136*DE136*VLOOKUP('Données projet'!$B$13,Paramètres!$A$1:$I$89,3,0)*0.475*44/12</f>
        <v>2.6707784302784659E-14</v>
      </c>
      <c r="DI136" s="24">
        <f t="shared" si="123"/>
        <v>11.195196086869666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273.00000000000023</v>
      </c>
      <c r="DP136" s="18">
        <f>DO136*VLOOKUP('Données projet'!$B$14,Paramètres!$A$1:$I$89,3,0)*VLOOKUP('Données projet'!$B$14,Paramètres!$A$1:$I$89,5,0)</f>
        <v>264.04560000000021</v>
      </c>
      <c r="DQ136" s="14">
        <f t="shared" si="151"/>
        <v>63.583959929973794</v>
      </c>
      <c r="DR136" s="22">
        <f t="shared" si="124"/>
        <v>570.6214835447048</v>
      </c>
      <c r="DS136" s="62">
        <f t="shared" si="125"/>
        <v>863.95481687803817</v>
      </c>
      <c r="DT136" s="62">
        <f ca="1">AVERAGE(OFFSET($DS$3,0,0,'Données projet'!$E$14+1,1))-AVERAGE(OFFSET($H$3,0,0,'Données projet'!$E$14+1,1))</f>
        <v>271.09447278906288</v>
      </c>
      <c r="DU136" s="62">
        <f t="shared" si="152"/>
        <v>325.1094067861851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9.5349295926492239</v>
      </c>
      <c r="EB136" s="23">
        <f>EXP(-LN(2)/25)*EB135+(1-EXP(-LN(2)/25))/(LN(2)/25)*Calculateur!DW136*Calculateur!DY136*VLOOKUP('Données projet'!$B$14,Paramètres!$A$1:$I$89,3,0)*0.475*44/12</f>
        <v>0.97197182004699401</v>
      </c>
      <c r="EC136" s="23">
        <f>EXP(-LN(2)/2)*EC135+(1-EXP(-LN(2)/2))/(LN(2)/2)*DW136*DZ136*VLOOKUP('Données projet'!$B$14,Paramètres!$A$1:$I$89,3,0)*0.475*44/12</f>
        <v>6.2703330470324386E-11</v>
      </c>
      <c r="ED136" s="24">
        <f t="shared" si="126"/>
        <v>10.506901412758921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273.00000000000023</v>
      </c>
      <c r="EK136" s="18">
        <f>EJ136*VLOOKUP('Données projet'!$B$15,Paramètres!$A$1:$I$89,3,0)*VLOOKUP('Données projet'!$B$15,Paramètres!$A$1:$I$89,5,0)</f>
        <v>293.85720000000026</v>
      </c>
      <c r="EL136" s="14">
        <f t="shared" si="153"/>
        <v>69.887150190339895</v>
      </c>
      <c r="EM136" s="22">
        <f t="shared" si="127"/>
        <v>633.52140991484237</v>
      </c>
      <c r="EN136" s="62">
        <f t="shared" si="128"/>
        <v>926.85474324817574</v>
      </c>
      <c r="EO136" s="62">
        <f ca="1">AVERAGE(OFFSET($EN$3,0,0,'Données projet'!$E$15+1,1))-AVERAGE(OFFSET($H$3,0,0,'Données projet'!$E$15+1,1))</f>
        <v>306.50593475734655</v>
      </c>
      <c r="EP136" s="62">
        <f t="shared" si="154"/>
        <v>366.48643801375079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10.611453901496718</v>
      </c>
      <c r="EW136" s="23">
        <f>EXP(-LN(2)/25)*EW135+(1-EXP(-LN(2)/25))/(LN(2)/25)*Calculateur!ER136*Calculateur!ET136*VLOOKUP('Données projet'!$B$15,Paramètres!$A$1:$I$89,3,0)*0.475*44/12</f>
        <v>1.0817105739232666</v>
      </c>
      <c r="EX136" s="23">
        <f>EXP(-LN(2)/2)*EX135+(1-EXP(-LN(2)/2))/(LN(2)/2)*ER136*EU136*VLOOKUP('Données projet'!$B$15,Paramètres!$A$1:$I$89,3,0)*0.475*44/12</f>
        <v>6.978273874923194E-11</v>
      </c>
      <c r="EY136" s="24">
        <f t="shared" si="129"/>
        <v>11.693164475489768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98.24879999999969</v>
      </c>
      <c r="D137" s="12">
        <f t="shared" si="140"/>
        <v>26.544370291039762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963.31570049223421</v>
      </c>
      <c r="H137" s="70">
        <f t="shared" si="110"/>
        <v>510.68143825689367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306.99999999999994</v>
      </c>
      <c r="O137" s="14">
        <f>N137*VLOOKUP('Données projet'!$B$9,Paramètres!$A$1:$I$89,3,0)*VLOOKUP('Données projet'!$B$9,Paramètres!$A$1:$I$89,5,0)</f>
        <v>277.77359999999993</v>
      </c>
      <c r="P137" s="14">
        <f t="shared" si="141"/>
        <v>66.496288176842356</v>
      </c>
      <c r="Q137" s="22">
        <f t="shared" si="108"/>
        <v>599.60338857466706</v>
      </c>
      <c r="R137" s="62">
        <f t="shared" si="109"/>
        <v>892.93672190800044</v>
      </c>
      <c r="S137" s="62">
        <f ca="1">AVERAGE(OFFSET($R$3,0,0,'Données projet'!$E$9+1,1))-AVERAGE(OFFSET($H$3,0,0,'Données projet'!$E$9+1,1))</f>
        <v>312.57314929661908</v>
      </c>
      <c r="T137" s="62">
        <f t="shared" si="142"/>
        <v>190.92100876773804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52.669792134520691</v>
      </c>
      <c r="AA137" s="23">
        <f>EXP(-LN(2)/25)*AA136+(1-EXP(-LN(2)/25))/(LN(2)/25)*Calculateur!V137*Calculateur!X137*VLOOKUP('Données projet'!$B$9,Paramètres!$A$1:$I$89,3,0)*0.475*44/12</f>
        <v>1.9587077320344102</v>
      </c>
      <c r="AB137" s="23">
        <f>EXP(-LN(2)/2)*AB136+(1-EXP(-LN(2)/2))/(LN(2)/2)*V137*Y137*VLOOKUP('Données projet'!$B$9,Paramètres!$A$1:$I$89,3,0)*0.475*44/12</f>
        <v>2.0808056566523764E-3</v>
      </c>
      <c r="AC137" s="24">
        <f t="shared" si="111"/>
        <v>54.630580672211757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306.99999999999994</v>
      </c>
      <c r="AJ137" s="14">
        <f>AI137*VLOOKUP('Données projet'!$B$10,Paramètres!$A$1:$I$89,3,0)*VLOOKUP('Données projet'!$B$10,Paramètres!$A$1:$I$89,5,0)</f>
        <v>311.298</v>
      </c>
      <c r="AK137" s="14">
        <f t="shared" si="143"/>
        <v>73.539838278528748</v>
      </c>
      <c r="AL137" s="22">
        <f t="shared" si="112"/>
        <v>670.25923500177089</v>
      </c>
      <c r="AM137" s="62">
        <f t="shared" si="113"/>
        <v>963.59256833510426</v>
      </c>
      <c r="AN137" s="62">
        <f ca="1">AVERAGE(OFFSET($AM$3,0,0,'Données projet'!$E$10+1,1))-AVERAGE(OFFSET($H$3,0,0,'Données projet'!$E$10+1,1))</f>
        <v>360.56293184044779</v>
      </c>
      <c r="AO137" s="62">
        <f t="shared" si="144"/>
        <v>219.32252911220542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59.026491185238669</v>
      </c>
      <c r="AV137" s="23">
        <f>EXP(-LN(2)/25)*AV136+(1-EXP(-LN(2)/25))/(LN(2)/25)*Calculateur!AQ137*Calculateur!AS137*VLOOKUP('Données projet'!$B$10,Paramètres!$A$1:$I$89,3,0)*0.475*44/12</f>
        <v>2.195103492797184</v>
      </c>
      <c r="AW137" s="23">
        <f>EXP(-LN(2)/2)*AW136+(1-EXP(-LN(2)/2))/(LN(2)/2)*AQ137*AT137*VLOOKUP('Données projet'!$B$10,Paramètres!$A$1:$I$89,3,0)*0.475*44/12</f>
        <v>2.3319373738345602E-3</v>
      </c>
      <c r="AX137" s="23">
        <f t="shared" si="114"/>
        <v>61.223926615409688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1.1368683772161603E-13</v>
      </c>
      <c r="BE137" s="14">
        <f>BD137*VLOOKUP('Données projet'!$B$11,Paramètres!$A$1:$I$89,3,0)*VLOOKUP('Données projet'!$B$11,Paramètres!$A$1:$I$89,5,0)</f>
        <v>8.3355189417488869E-14</v>
      </c>
      <c r="BF137" s="14">
        <f t="shared" si="145"/>
        <v>1.2790518435140618E-12</v>
      </c>
      <c r="BG137" s="22">
        <f t="shared" si="115"/>
        <v>2.3728589156891171E-12</v>
      </c>
      <c r="BH137" s="62">
        <f t="shared" si="116"/>
        <v>293.3333333333357</v>
      </c>
      <c r="BI137" s="62">
        <f ca="1">AVERAGE(OFFSET($BH$3,0,0,'Données projet'!$E$11+1,1))-AVERAGE(OFFSET($H$3,0,0,'Données projet'!$E$11+1,1))</f>
        <v>182.06733089745194</v>
      </c>
      <c r="BJ137" s="62">
        <f t="shared" si="146"/>
        <v>320.36755413886021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7.6179421887570582</v>
      </c>
      <c r="BQ137" s="23">
        <f>EXP(-LN(2)/25)*BQ136+(1-EXP(-LN(2)/25))/(LN(2)/25)*Calculateur!BL137*Calculateur!BN137*VLOOKUP('Données projet'!$B$11,Paramètres!$A$1:$I$89,3,0)*0.475*44/12</f>
        <v>0.71081492265842972</v>
      </c>
      <c r="BR137" s="23">
        <f>EXP(-LN(2)/2)*BR136+(1-EXP(-LN(2)/2))/(LN(2)/2)*BL137*BO137*VLOOKUP('Données projet'!$B$11,Paramètres!$A$1:$I$89,3,0)*0.475*44/12</f>
        <v>1.6439830743622417E-13</v>
      </c>
      <c r="BS137" s="24">
        <f t="shared" si="117"/>
        <v>8.3287571114156531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319.99999999999972</v>
      </c>
      <c r="BZ137" s="14">
        <f>BY137*VLOOKUP('Données projet'!$B$12,Paramètres!$A$1:$I$89,3,0)*VLOOKUP('Données projet'!$B$12,Paramètres!$A$1:$I$89,5,0)</f>
        <v>279.55199999999979</v>
      </c>
      <c r="CA137" s="14">
        <f t="shared" si="147"/>
        <v>66.872324781216591</v>
      </c>
      <c r="CB137" s="22">
        <f t="shared" si="118"/>
        <v>603.35569899395182</v>
      </c>
      <c r="CC137" s="62">
        <f t="shared" si="119"/>
        <v>896.68903232728508</v>
      </c>
      <c r="CD137" s="62">
        <f ca="1">AVERAGE(OFFSET($CC$3,0,0,'Données projet'!$E$12+1,1))-AVERAGE(OFFSET($H$3,0,0,'Données projet'!$E$12+1,1))</f>
        <v>248.60758320902863</v>
      </c>
      <c r="CE137" s="62">
        <f t="shared" si="148"/>
        <v>222.23585883330111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18.5720843365165</v>
      </c>
      <c r="CL137" s="23">
        <f>EXP(-LN(2)/25)*CL136+(1-EXP(-LN(2)/25))/(LN(2)/25)*Calculateur!CG137*Calculateur!CI137*VLOOKUP('Données projet'!$B$12,Paramètres!$A$1:$I$89,3,0)*0.475*44/12</f>
        <v>1.6108169158325849</v>
      </c>
      <c r="CM137" s="23">
        <f>EXP(-LN(2)/2)*CM136+(1-EXP(-LN(2)/2))/(LN(2)/2)*CG137*CJ137*VLOOKUP('Données projet'!$B$12,Paramètres!$A$1:$I$89,3,0)*0.475*44/12</f>
        <v>1.3990797060838855E-8</v>
      </c>
      <c r="CN137" s="24">
        <f t="shared" si="120"/>
        <v>20.182901266339883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193.99999999999994</v>
      </c>
      <c r="CU137" s="18">
        <f>CT137*VLOOKUP('Données projet'!$B$13,Paramètres!$A$1:$I$89,3,0)*VLOOKUP('Données projet'!$B$13,Paramètres!$A$1:$I$89,5,0)</f>
        <v>105.92399999999998</v>
      </c>
      <c r="CV137" s="14">
        <f t="shared" si="149"/>
        <v>28.36854701055546</v>
      </c>
      <c r="CW137" s="22">
        <f t="shared" si="121"/>
        <v>233.89285271005073</v>
      </c>
      <c r="CX137" s="62">
        <f t="shared" si="122"/>
        <v>527.22618604338402</v>
      </c>
      <c r="CY137" s="62">
        <f ca="1">AVERAGE(OFFSET($CX$3,0,0,'Données projet'!$E$13+1,1))-AVERAGE(OFFSET($H$3,0,0,'Données projet'!$E$13+1,1))</f>
        <v>135.44138026609272</v>
      </c>
      <c r="CZ137" s="62">
        <f t="shared" si="150"/>
        <v>254.77247578425659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8.4250362259441065</v>
      </c>
      <c r="DG137" s="23">
        <f>EXP(-LN(2)/25)*DG136+(1-EXP(-LN(2)/25))/(LN(2)/25)*Calculateur!DB137*Calculateur!DD137*VLOOKUP('Données projet'!$B$13,Paramètres!$A$1:$I$89,3,0)*0.475*44/12</f>
        <v>2.5305034418577761</v>
      </c>
      <c r="DH137" s="23">
        <f>EXP(-LN(2)/2)*DH136+(1-EXP(-LN(2)/2))/(LN(2)/2)*DB137*DE137*VLOOKUP('Données projet'!$B$13,Paramètres!$A$1:$I$89,3,0)*0.475*44/12</f>
        <v>1.888525539096666E-14</v>
      </c>
      <c r="DI137" s="24">
        <f t="shared" si="123"/>
        <v>10.955539667801903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273.00000000000023</v>
      </c>
      <c r="DP137" s="18">
        <f>DO137*VLOOKUP('Données projet'!$B$14,Paramètres!$A$1:$I$89,3,0)*VLOOKUP('Données projet'!$B$14,Paramètres!$A$1:$I$89,5,0)</f>
        <v>264.04560000000021</v>
      </c>
      <c r="DQ137" s="14">
        <f t="shared" si="151"/>
        <v>63.583959929973794</v>
      </c>
      <c r="DR137" s="22">
        <f t="shared" si="124"/>
        <v>570.6214835447048</v>
      </c>
      <c r="DS137" s="62">
        <f t="shared" si="125"/>
        <v>863.95481687803817</v>
      </c>
      <c r="DT137" s="62">
        <f ca="1">AVERAGE(OFFSET($DS$3,0,0,'Données projet'!$E$14+1,1))-AVERAGE(OFFSET($H$3,0,0,'Données projet'!$E$14+1,1))</f>
        <v>271.09447278906288</v>
      </c>
      <c r="DU137" s="62">
        <f t="shared" si="152"/>
        <v>325.1094067861851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9.3479554390701676</v>
      </c>
      <c r="EB137" s="23">
        <f>EXP(-LN(2)/25)*EB136+(1-EXP(-LN(2)/25))/(LN(2)/25)*Calculateur!DW137*Calculateur!DY137*VLOOKUP('Données projet'!$B$14,Paramètres!$A$1:$I$89,3,0)*0.475*44/12</f>
        <v>0.94539319951403245</v>
      </c>
      <c r="EC137" s="23">
        <f>EXP(-LN(2)/2)*EC136+(1-EXP(-LN(2)/2))/(LN(2)/2)*DW137*DZ137*VLOOKUP('Données projet'!$B$14,Paramètres!$A$1:$I$89,3,0)*0.475*44/12</f>
        <v>4.4337950178547444E-11</v>
      </c>
      <c r="ED137" s="24">
        <f t="shared" si="126"/>
        <v>10.293348638628538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273.00000000000023</v>
      </c>
      <c r="EK137" s="18">
        <f>EJ137*VLOOKUP('Données projet'!$B$15,Paramètres!$A$1:$I$89,3,0)*VLOOKUP('Données projet'!$B$15,Paramètres!$A$1:$I$89,5,0)</f>
        <v>293.85720000000026</v>
      </c>
      <c r="EL137" s="14">
        <f t="shared" si="153"/>
        <v>69.887150190339895</v>
      </c>
      <c r="EM137" s="22">
        <f t="shared" si="127"/>
        <v>633.52140991484237</v>
      </c>
      <c r="EN137" s="62">
        <f t="shared" si="128"/>
        <v>926.85474324817574</v>
      </c>
      <c r="EO137" s="62">
        <f ca="1">AVERAGE(OFFSET($EN$3,0,0,'Données projet'!$E$15+1,1))-AVERAGE(OFFSET($H$3,0,0,'Données projet'!$E$15+1,1))</f>
        <v>306.50593475734655</v>
      </c>
      <c r="EP137" s="62">
        <f t="shared" si="154"/>
        <v>366.48643801375079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10.403369762836157</v>
      </c>
      <c r="EW137" s="23">
        <f>EXP(-LN(2)/25)*EW136+(1-EXP(-LN(2)/25))/(LN(2)/25)*Calculateur!ER137*Calculateur!ET137*VLOOKUP('Données projet'!$B$15,Paramètres!$A$1:$I$89,3,0)*0.475*44/12</f>
        <v>1.0521311413946481</v>
      </c>
      <c r="EX137" s="23">
        <f>EXP(-LN(2)/2)*EX136+(1-EXP(-LN(2)/2))/(LN(2)/2)*ER137*EU137*VLOOKUP('Données projet'!$B$15,Paramètres!$A$1:$I$89,3,0)*0.475*44/12</f>
        <v>4.9343847779351161E-11</v>
      </c>
      <c r="EY137" s="24">
        <f t="shared" si="129"/>
        <v>11.455500904280148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98.981999999999687</v>
      </c>
      <c r="D138" s="12">
        <f t="shared" si="140"/>
        <v>26.719328849010672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970.3260472555188</v>
      </c>
      <c r="H138" s="70">
        <f t="shared" si="110"/>
        <v>512.26314774535967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306.99999999999994</v>
      </c>
      <c r="O138" s="14">
        <f>N138*VLOOKUP('Données projet'!$B$9,Paramètres!$A$1:$I$89,3,0)*VLOOKUP('Données projet'!$B$9,Paramètres!$A$1:$I$89,5,0)</f>
        <v>277.77359999999993</v>
      </c>
      <c r="P138" s="14">
        <f t="shared" si="141"/>
        <v>66.496288176842356</v>
      </c>
      <c r="Q138" s="22">
        <f t="shared" si="108"/>
        <v>599.60338857466706</v>
      </c>
      <c r="R138" s="62">
        <f t="shared" si="109"/>
        <v>892.93672190800044</v>
      </c>
      <c r="S138" s="62">
        <f ca="1">AVERAGE(OFFSET($R$3,0,0,'Données projet'!$E$9+1,1))-AVERAGE(OFFSET($H$3,0,0,'Données projet'!$E$9+1,1))</f>
        <v>312.57314929661908</v>
      </c>
      <c r="T138" s="62">
        <f t="shared" si="142"/>
        <v>190.92100876773804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51.636969636163819</v>
      </c>
      <c r="AA138" s="23">
        <f>EXP(-LN(2)/25)*AA137+(1-EXP(-LN(2)/25))/(LN(2)/25)*Calculateur!V138*Calculateur!X138*VLOOKUP('Données projet'!$B$9,Paramètres!$A$1:$I$89,3,0)*0.475*44/12</f>
        <v>1.9051467660979662</v>
      </c>
      <c r="AB138" s="23">
        <f>EXP(-LN(2)/2)*AB137+(1-EXP(-LN(2)/2))/(LN(2)/2)*V138*Y138*VLOOKUP('Données projet'!$B$9,Paramètres!$A$1:$I$89,3,0)*0.475*44/12</f>
        <v>1.4713517901502222E-3</v>
      </c>
      <c r="AC138" s="24">
        <f t="shared" si="111"/>
        <v>53.543587754051934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306.99999999999994</v>
      </c>
      <c r="AJ138" s="14">
        <f>AI138*VLOOKUP('Données projet'!$B$10,Paramètres!$A$1:$I$89,3,0)*VLOOKUP('Données projet'!$B$10,Paramètres!$A$1:$I$89,5,0)</f>
        <v>311.298</v>
      </c>
      <c r="AK138" s="14">
        <f t="shared" si="143"/>
        <v>73.539838278528748</v>
      </c>
      <c r="AL138" s="22">
        <f t="shared" si="112"/>
        <v>670.25923500177089</v>
      </c>
      <c r="AM138" s="62">
        <f t="shared" si="113"/>
        <v>963.59256833510426</v>
      </c>
      <c r="AN138" s="62">
        <f ca="1">AVERAGE(OFFSET($AM$3,0,0,'Données projet'!$E$10+1,1))-AVERAGE(OFFSET($H$3,0,0,'Données projet'!$E$10+1,1))</f>
        <v>360.56293184044779</v>
      </c>
      <c r="AO138" s="62">
        <f t="shared" si="144"/>
        <v>219.32252911220542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57.869017695700798</v>
      </c>
      <c r="AV138" s="23">
        <f>EXP(-LN(2)/25)*AV137+(1-EXP(-LN(2)/25))/(LN(2)/25)*Calculateur!AQ138*Calculateur!AS138*VLOOKUP('Données projet'!$B$10,Paramètres!$A$1:$I$89,3,0)*0.475*44/12</f>
        <v>2.1350782723511692</v>
      </c>
      <c r="AW138" s="23">
        <f>EXP(-LN(2)/2)*AW137+(1-EXP(-LN(2)/2))/(LN(2)/2)*AQ138*AT138*VLOOKUP('Données projet'!$B$10,Paramètres!$A$1:$I$89,3,0)*0.475*44/12</f>
        <v>1.6489287303407666E-3</v>
      </c>
      <c r="AX138" s="23">
        <f t="shared" si="114"/>
        <v>60.005744896782311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1.1368683772161603E-13</v>
      </c>
      <c r="BE138" s="14">
        <f>BD138*VLOOKUP('Données projet'!$B$11,Paramètres!$A$1:$I$89,3,0)*VLOOKUP('Données projet'!$B$11,Paramètres!$A$1:$I$89,5,0)</f>
        <v>8.3355189417488869E-14</v>
      </c>
      <c r="BF138" s="14">
        <f t="shared" si="145"/>
        <v>1.2790518435140618E-12</v>
      </c>
      <c r="BG138" s="22">
        <f t="shared" si="115"/>
        <v>2.3728589156891171E-12</v>
      </c>
      <c r="BH138" s="62">
        <f t="shared" si="116"/>
        <v>293.3333333333357</v>
      </c>
      <c r="BI138" s="62">
        <f ca="1">AVERAGE(OFFSET($BH$3,0,0,'Données projet'!$E$11+1,1))-AVERAGE(OFFSET($H$3,0,0,'Données projet'!$E$11+1,1))</f>
        <v>182.06733089745194</v>
      </c>
      <c r="BJ138" s="62">
        <f t="shared" si="146"/>
        <v>320.36755413886021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7.4685589889214654</v>
      </c>
      <c r="BQ138" s="23">
        <f>EXP(-LN(2)/25)*BQ137+(1-EXP(-LN(2)/25))/(LN(2)/25)*Calculateur!BL138*Calculateur!BN138*VLOOKUP('Données projet'!$B$11,Paramètres!$A$1:$I$89,3,0)*0.475*44/12</f>
        <v>0.69137765121820272</v>
      </c>
      <c r="BR138" s="23">
        <f>EXP(-LN(2)/2)*BR137+(1-EXP(-LN(2)/2))/(LN(2)/2)*BL138*BO138*VLOOKUP('Données projet'!$B$11,Paramètres!$A$1:$I$89,3,0)*0.475*44/12</f>
        <v>1.1624715800374493E-13</v>
      </c>
      <c r="BS138" s="24">
        <f t="shared" si="117"/>
        <v>8.159936640139783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319.99999999999972</v>
      </c>
      <c r="BZ138" s="14">
        <f>BY138*VLOOKUP('Données projet'!$B$12,Paramètres!$A$1:$I$89,3,0)*VLOOKUP('Données projet'!$B$12,Paramètres!$A$1:$I$89,5,0)</f>
        <v>279.55199999999979</v>
      </c>
      <c r="CA138" s="14">
        <f t="shared" si="147"/>
        <v>66.872324781216591</v>
      </c>
      <c r="CB138" s="22">
        <f t="shared" si="118"/>
        <v>603.35569899395182</v>
      </c>
      <c r="CC138" s="62">
        <f t="shared" si="119"/>
        <v>896.68903232728508</v>
      </c>
      <c r="CD138" s="62">
        <f ca="1">AVERAGE(OFFSET($CC$3,0,0,'Données projet'!$E$12+1,1))-AVERAGE(OFFSET($H$3,0,0,'Données projet'!$E$12+1,1))</f>
        <v>248.60758320902863</v>
      </c>
      <c r="CE138" s="62">
        <f t="shared" si="148"/>
        <v>222.23585883330111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18.207897090530324</v>
      </c>
      <c r="CL138" s="23">
        <f>EXP(-LN(2)/25)*CL137+(1-EXP(-LN(2)/25))/(LN(2)/25)*Calculateur!CG138*Calculateur!CI138*VLOOKUP('Données projet'!$B$12,Paramètres!$A$1:$I$89,3,0)*0.475*44/12</f>
        <v>1.5667690425599627</v>
      </c>
      <c r="CM138" s="23">
        <f>EXP(-LN(2)/2)*CM137+(1-EXP(-LN(2)/2))/(LN(2)/2)*CG138*CJ138*VLOOKUP('Données projet'!$B$12,Paramètres!$A$1:$I$89,3,0)*0.475*44/12</f>
        <v>9.8929874759239725E-9</v>
      </c>
      <c r="CN138" s="24">
        <f t="shared" si="120"/>
        <v>19.774666142983271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193.99999999999994</v>
      </c>
      <c r="CU138" s="18">
        <f>CT138*VLOOKUP('Données projet'!$B$13,Paramètres!$A$1:$I$89,3,0)*VLOOKUP('Données projet'!$B$13,Paramètres!$A$1:$I$89,5,0)</f>
        <v>105.92399999999998</v>
      </c>
      <c r="CV138" s="14">
        <f t="shared" si="149"/>
        <v>28.36854701055546</v>
      </c>
      <c r="CW138" s="22">
        <f t="shared" si="121"/>
        <v>233.89285271005073</v>
      </c>
      <c r="CX138" s="62">
        <f t="shared" si="122"/>
        <v>527.22618604338402</v>
      </c>
      <c r="CY138" s="62">
        <f ca="1">AVERAGE(OFFSET($CX$3,0,0,'Données projet'!$E$13+1,1))-AVERAGE(OFFSET($H$3,0,0,'Données projet'!$E$13+1,1))</f>
        <v>135.44138026609272</v>
      </c>
      <c r="CZ138" s="62">
        <f t="shared" si="150"/>
        <v>254.77247578425659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8.2598264043180301</v>
      </c>
      <c r="DG138" s="23">
        <f>EXP(-LN(2)/25)*DG137+(1-EXP(-LN(2)/25))/(LN(2)/25)*Calculateur!DB138*Calculateur!DD138*VLOOKUP('Données projet'!$B$13,Paramètres!$A$1:$I$89,3,0)*0.475*44/12</f>
        <v>2.4613066921667826</v>
      </c>
      <c r="DH138" s="23">
        <f>EXP(-LN(2)/2)*DH137+(1-EXP(-LN(2)/2))/(LN(2)/2)*DB138*DE138*VLOOKUP('Données projet'!$B$13,Paramètres!$A$1:$I$89,3,0)*0.475*44/12</f>
        <v>1.3353892151392329E-14</v>
      </c>
      <c r="DI138" s="24">
        <f t="shared" si="123"/>
        <v>10.721133096484827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273.00000000000023</v>
      </c>
      <c r="DP138" s="18">
        <f>DO138*VLOOKUP('Données projet'!$B$14,Paramètres!$A$1:$I$89,3,0)*VLOOKUP('Données projet'!$B$14,Paramètres!$A$1:$I$89,5,0)</f>
        <v>264.04560000000021</v>
      </c>
      <c r="DQ138" s="14">
        <f t="shared" si="151"/>
        <v>63.583959929973794</v>
      </c>
      <c r="DR138" s="22">
        <f t="shared" si="124"/>
        <v>570.6214835447048</v>
      </c>
      <c r="DS138" s="62">
        <f t="shared" si="125"/>
        <v>863.95481687803817</v>
      </c>
      <c r="DT138" s="62">
        <f ca="1">AVERAGE(OFFSET($DS$3,0,0,'Données projet'!$E$14+1,1))-AVERAGE(OFFSET($H$3,0,0,'Données projet'!$E$14+1,1))</f>
        <v>271.09447278906288</v>
      </c>
      <c r="DU138" s="62">
        <f t="shared" si="152"/>
        <v>325.1094067861851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9.164647734599825</v>
      </c>
      <c r="EB138" s="23">
        <f>EXP(-LN(2)/25)*EB137+(1-EXP(-LN(2)/25))/(LN(2)/25)*Calculateur!DW138*Calculateur!DY138*VLOOKUP('Données projet'!$B$14,Paramètres!$A$1:$I$89,3,0)*0.475*44/12</f>
        <v>0.91954137275725356</v>
      </c>
      <c r="EC138" s="23">
        <f>EXP(-LN(2)/2)*EC137+(1-EXP(-LN(2)/2))/(LN(2)/2)*DW138*DZ138*VLOOKUP('Données projet'!$B$14,Paramètres!$A$1:$I$89,3,0)*0.475*44/12</f>
        <v>3.1351665235162193E-11</v>
      </c>
      <c r="ED138" s="24">
        <f t="shared" si="126"/>
        <v>10.084189107388429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273.00000000000023</v>
      </c>
      <c r="EK138" s="18">
        <f>EJ138*VLOOKUP('Données projet'!$B$15,Paramètres!$A$1:$I$89,3,0)*VLOOKUP('Données projet'!$B$15,Paramètres!$A$1:$I$89,5,0)</f>
        <v>293.85720000000026</v>
      </c>
      <c r="EL138" s="14">
        <f t="shared" si="153"/>
        <v>69.887150190339895</v>
      </c>
      <c r="EM138" s="22">
        <f t="shared" si="127"/>
        <v>633.52140991484237</v>
      </c>
      <c r="EN138" s="62">
        <f t="shared" si="128"/>
        <v>926.85474324817574</v>
      </c>
      <c r="EO138" s="62">
        <f ca="1">AVERAGE(OFFSET($EN$3,0,0,'Données projet'!$E$15+1,1))-AVERAGE(OFFSET($H$3,0,0,'Données projet'!$E$15+1,1))</f>
        <v>306.50593475734655</v>
      </c>
      <c r="EP138" s="62">
        <f t="shared" si="154"/>
        <v>366.48643801375079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10.199366027215936</v>
      </c>
      <c r="EW138" s="23">
        <f>EXP(-LN(2)/25)*EW137+(1-EXP(-LN(2)/25))/(LN(2)/25)*Calculateur!ER138*Calculateur!ET138*VLOOKUP('Données projet'!$B$15,Paramètres!$A$1:$I$89,3,0)*0.475*44/12</f>
        <v>1.0233605600040394</v>
      </c>
      <c r="EX138" s="23">
        <f>EXP(-LN(2)/2)*EX137+(1-EXP(-LN(2)/2))/(LN(2)/2)*ER138*EU138*VLOOKUP('Données projet'!$B$15,Paramètres!$A$1:$I$89,3,0)*0.475*44/12</f>
        <v>3.489136937461597E-11</v>
      </c>
      <c r="EY138" s="24">
        <f t="shared" si="129"/>
        <v>11.222726587254867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99.715199999999683</v>
      </c>
      <c r="D139" s="12">
        <f t="shared" si="140"/>
        <v>26.894136617382109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977.33523002891206</v>
      </c>
      <c r="H139" s="70">
        <f t="shared" si="110"/>
        <v>513.8445946086066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306.99999999999994</v>
      </c>
      <c r="O139" s="14">
        <f>N139*VLOOKUP('Données projet'!$B$9,Paramètres!$A$1:$I$89,3,0)*VLOOKUP('Données projet'!$B$9,Paramètres!$A$1:$I$89,5,0)</f>
        <v>277.77359999999993</v>
      </c>
      <c r="P139" s="14">
        <f t="shared" si="141"/>
        <v>66.496288176842356</v>
      </c>
      <c r="Q139" s="22">
        <f t="shared" si="108"/>
        <v>599.60338857466706</v>
      </c>
      <c r="R139" s="62">
        <f t="shared" si="109"/>
        <v>892.93672190800044</v>
      </c>
      <c r="S139" s="62">
        <f ca="1">AVERAGE(OFFSET($R$3,0,0,'Données projet'!$E$9+1,1))-AVERAGE(OFFSET($H$3,0,0,'Données projet'!$E$9+1,1))</f>
        <v>312.57314929661908</v>
      </c>
      <c r="T139" s="62">
        <f t="shared" si="142"/>
        <v>190.92100876773804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50.624400157040206</v>
      </c>
      <c r="AA139" s="23">
        <f>EXP(-LN(2)/25)*AA138+(1-EXP(-LN(2)/25))/(LN(2)/25)*Calculateur!V139*Calculateur!X139*VLOOKUP('Données projet'!$B$9,Paramètres!$A$1:$I$89,3,0)*0.475*44/12</f>
        <v>1.8530504275917032</v>
      </c>
      <c r="AB139" s="23">
        <f>EXP(-LN(2)/2)*AB138+(1-EXP(-LN(2)/2))/(LN(2)/2)*V139*Y139*VLOOKUP('Données projet'!$B$9,Paramètres!$A$1:$I$89,3,0)*0.475*44/12</f>
        <v>1.0404028283261882E-3</v>
      </c>
      <c r="AC139" s="24">
        <f t="shared" si="111"/>
        <v>52.478490987460233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306.99999999999994</v>
      </c>
      <c r="AJ139" s="14">
        <f>AI139*VLOOKUP('Données projet'!$B$10,Paramètres!$A$1:$I$89,3,0)*VLOOKUP('Données projet'!$B$10,Paramètres!$A$1:$I$89,5,0)</f>
        <v>311.298</v>
      </c>
      <c r="AK139" s="14">
        <f t="shared" si="143"/>
        <v>73.539838278528748</v>
      </c>
      <c r="AL139" s="22">
        <f t="shared" si="112"/>
        <v>670.25923500177089</v>
      </c>
      <c r="AM139" s="62">
        <f t="shared" si="113"/>
        <v>963.59256833510426</v>
      </c>
      <c r="AN139" s="62">
        <f ca="1">AVERAGE(OFFSET($AM$3,0,0,'Données projet'!$E$10+1,1))-AVERAGE(OFFSET($H$3,0,0,'Données projet'!$E$10+1,1))</f>
        <v>360.56293184044779</v>
      </c>
      <c r="AO139" s="62">
        <f t="shared" si="144"/>
        <v>219.32252911220542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56.734241555303647</v>
      </c>
      <c r="AV139" s="23">
        <f>EXP(-LN(2)/25)*AV138+(1-EXP(-LN(2)/25))/(LN(2)/25)*Calculateur!AQ139*Calculateur!AS139*VLOOKUP('Données projet'!$B$10,Paramètres!$A$1:$I$89,3,0)*0.475*44/12</f>
        <v>2.0766944447148399</v>
      </c>
      <c r="AW139" s="23">
        <f>EXP(-LN(2)/2)*AW138+(1-EXP(-LN(2)/2))/(LN(2)/2)*AQ139*AT139*VLOOKUP('Données projet'!$B$10,Paramètres!$A$1:$I$89,3,0)*0.475*44/12</f>
        <v>1.1659686869172801E-3</v>
      </c>
      <c r="AX139" s="23">
        <f t="shared" si="114"/>
        <v>58.812101968705406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1.1368683772161603E-13</v>
      </c>
      <c r="BE139" s="14">
        <f>BD139*VLOOKUP('Données projet'!$B$11,Paramètres!$A$1:$I$89,3,0)*VLOOKUP('Données projet'!$B$11,Paramètres!$A$1:$I$89,5,0)</f>
        <v>8.3355189417488869E-14</v>
      </c>
      <c r="BF139" s="14">
        <f t="shared" si="145"/>
        <v>1.2790518435140618E-12</v>
      </c>
      <c r="BG139" s="22">
        <f t="shared" si="115"/>
        <v>2.3728589156891171E-12</v>
      </c>
      <c r="BH139" s="62">
        <f t="shared" si="116"/>
        <v>293.3333333333357</v>
      </c>
      <c r="BI139" s="62">
        <f ca="1">AVERAGE(OFFSET($BH$3,0,0,'Données projet'!$E$11+1,1))-AVERAGE(OFFSET($H$3,0,0,'Données projet'!$E$11+1,1))</f>
        <v>182.06733089745194</v>
      </c>
      <c r="BJ139" s="62">
        <f t="shared" si="146"/>
        <v>320.36755413886021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7.3221051025198935</v>
      </c>
      <c r="BQ139" s="23">
        <f>EXP(-LN(2)/25)*BQ138+(1-EXP(-LN(2)/25))/(LN(2)/25)*Calculateur!BL139*Calculateur!BN139*VLOOKUP('Données projet'!$B$11,Paramètres!$A$1:$I$89,3,0)*0.475*44/12</f>
        <v>0.67247189298767041</v>
      </c>
      <c r="BR139" s="23">
        <f>EXP(-LN(2)/2)*BR138+(1-EXP(-LN(2)/2))/(LN(2)/2)*BL139*BO139*VLOOKUP('Données projet'!$B$11,Paramètres!$A$1:$I$89,3,0)*0.475*44/12</f>
        <v>8.2199153718112086E-14</v>
      </c>
      <c r="BS139" s="24">
        <f t="shared" si="117"/>
        <v>7.9945769955076464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319.99999999999972</v>
      </c>
      <c r="BZ139" s="14">
        <f>BY139*VLOOKUP('Données projet'!$B$12,Paramètres!$A$1:$I$89,3,0)*VLOOKUP('Données projet'!$B$12,Paramètres!$A$1:$I$89,5,0)</f>
        <v>279.55199999999979</v>
      </c>
      <c r="CA139" s="14">
        <f t="shared" si="147"/>
        <v>66.872324781216591</v>
      </c>
      <c r="CB139" s="22">
        <f t="shared" si="118"/>
        <v>603.35569899395182</v>
      </c>
      <c r="CC139" s="62">
        <f t="shared" si="119"/>
        <v>896.68903232728508</v>
      </c>
      <c r="CD139" s="62">
        <f ca="1">AVERAGE(OFFSET($CC$3,0,0,'Données projet'!$E$12+1,1))-AVERAGE(OFFSET($H$3,0,0,'Données projet'!$E$12+1,1))</f>
        <v>248.60758320902863</v>
      </c>
      <c r="CE139" s="62">
        <f t="shared" si="148"/>
        <v>222.23585883330111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17.850851334305652</v>
      </c>
      <c r="CL139" s="23">
        <f>EXP(-LN(2)/25)*CL138+(1-EXP(-LN(2)/25))/(LN(2)/25)*Calculateur!CG139*Calculateur!CI139*VLOOKUP('Données projet'!$B$12,Paramètres!$A$1:$I$89,3,0)*0.475*44/12</f>
        <v>1.5239256606983576</v>
      </c>
      <c r="CM139" s="23">
        <f>EXP(-LN(2)/2)*CM138+(1-EXP(-LN(2)/2))/(LN(2)/2)*CG139*CJ139*VLOOKUP('Données projet'!$B$12,Paramètres!$A$1:$I$89,3,0)*0.475*44/12</f>
        <v>6.9953985304194276E-9</v>
      </c>
      <c r="CN139" s="24">
        <f t="shared" si="120"/>
        <v>19.374777001999409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193.99999999999994</v>
      </c>
      <c r="CU139" s="18">
        <f>CT139*VLOOKUP('Données projet'!$B$13,Paramètres!$A$1:$I$89,3,0)*VLOOKUP('Données projet'!$B$13,Paramètres!$A$1:$I$89,5,0)</f>
        <v>105.92399999999998</v>
      </c>
      <c r="CV139" s="14">
        <f t="shared" si="149"/>
        <v>28.36854701055546</v>
      </c>
      <c r="CW139" s="22">
        <f t="shared" si="121"/>
        <v>233.89285271005073</v>
      </c>
      <c r="CX139" s="62">
        <f t="shared" si="122"/>
        <v>527.22618604338402</v>
      </c>
      <c r="CY139" s="62">
        <f ca="1">AVERAGE(OFFSET($CX$3,0,0,'Données projet'!$E$13+1,1))-AVERAGE(OFFSET($H$3,0,0,'Données projet'!$E$13+1,1))</f>
        <v>135.44138026609272</v>
      </c>
      <c r="CZ139" s="62">
        <f t="shared" si="150"/>
        <v>254.77247578425659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8.0978562465259998</v>
      </c>
      <c r="DG139" s="23">
        <f>EXP(-LN(2)/25)*DG138+(1-EXP(-LN(2)/25))/(LN(2)/25)*Calculateur!DB139*Calculateur!DD139*VLOOKUP('Données projet'!$B$13,Paramètres!$A$1:$I$89,3,0)*0.475*44/12</f>
        <v>2.3940021312349882</v>
      </c>
      <c r="DH139" s="23">
        <f>EXP(-LN(2)/2)*DH138+(1-EXP(-LN(2)/2))/(LN(2)/2)*DB139*DE139*VLOOKUP('Données projet'!$B$13,Paramètres!$A$1:$I$89,3,0)*0.475*44/12</f>
        <v>9.4426276954833301E-15</v>
      </c>
      <c r="DI139" s="24">
        <f t="shared" si="123"/>
        <v>10.491858377760996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273.00000000000023</v>
      </c>
      <c r="DP139" s="18">
        <f>DO139*VLOOKUP('Données projet'!$B$14,Paramètres!$A$1:$I$89,3,0)*VLOOKUP('Données projet'!$B$14,Paramètres!$A$1:$I$89,5,0)</f>
        <v>264.04560000000021</v>
      </c>
      <c r="DQ139" s="14">
        <f t="shared" si="151"/>
        <v>63.583959929973794</v>
      </c>
      <c r="DR139" s="22">
        <f t="shared" si="124"/>
        <v>570.6214835447048</v>
      </c>
      <c r="DS139" s="62">
        <f t="shared" si="125"/>
        <v>863.95481687803817</v>
      </c>
      <c r="DT139" s="62">
        <f ca="1">AVERAGE(OFFSET($DS$3,0,0,'Données projet'!$E$14+1,1))-AVERAGE(OFFSET($H$3,0,0,'Données projet'!$E$14+1,1))</f>
        <v>271.09447278906288</v>
      </c>
      <c r="DU139" s="62">
        <f t="shared" si="152"/>
        <v>325.1094067861851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8.9849345824074849</v>
      </c>
      <c r="EB139" s="23">
        <f>EXP(-LN(2)/25)*EB138+(1-EXP(-LN(2)/25))/(LN(2)/25)*Calculateur!DW139*Calculateur!DY139*VLOOKUP('Données projet'!$B$14,Paramètres!$A$1:$I$89,3,0)*0.475*44/12</f>
        <v>0.89439646556262731</v>
      </c>
      <c r="EC139" s="23">
        <f>EXP(-LN(2)/2)*EC138+(1-EXP(-LN(2)/2))/(LN(2)/2)*DW139*DZ139*VLOOKUP('Données projet'!$B$14,Paramètres!$A$1:$I$89,3,0)*0.475*44/12</f>
        <v>2.2168975089273722E-11</v>
      </c>
      <c r="ED139" s="24">
        <f t="shared" si="126"/>
        <v>9.8793310479922809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273.00000000000023</v>
      </c>
      <c r="EK139" s="18">
        <f>EJ139*VLOOKUP('Données projet'!$B$15,Paramètres!$A$1:$I$89,3,0)*VLOOKUP('Données projet'!$B$15,Paramètres!$A$1:$I$89,5,0)</f>
        <v>293.85720000000026</v>
      </c>
      <c r="EL139" s="14">
        <f t="shared" si="153"/>
        <v>69.887150190339895</v>
      </c>
      <c r="EM139" s="22">
        <f t="shared" si="127"/>
        <v>633.52140991484237</v>
      </c>
      <c r="EN139" s="62">
        <f t="shared" si="128"/>
        <v>926.85474324817574</v>
      </c>
      <c r="EO139" s="62">
        <f ca="1">AVERAGE(OFFSET($EN$3,0,0,'Données projet'!$E$15+1,1))-AVERAGE(OFFSET($H$3,0,0,'Données projet'!$E$15+1,1))</f>
        <v>306.50593475734655</v>
      </c>
      <c r="EP139" s="62">
        <f t="shared" si="154"/>
        <v>366.48643801375079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9.9993626804212354</v>
      </c>
      <c r="EW139" s="23">
        <f>EXP(-LN(2)/25)*EW138+(1-EXP(-LN(2)/25))/(LN(2)/25)*Calculateur!ER139*Calculateur!ET139*VLOOKUP('Données projet'!$B$15,Paramètres!$A$1:$I$89,3,0)*0.475*44/12</f>
        <v>0.99537671167453601</v>
      </c>
      <c r="EX139" s="23">
        <f>EXP(-LN(2)/2)*EX138+(1-EXP(-LN(2)/2))/(LN(2)/2)*ER139*EU139*VLOOKUP('Données projet'!$B$15,Paramètres!$A$1:$I$89,3,0)*0.475*44/12</f>
        <v>2.467192388967558E-11</v>
      </c>
      <c r="EY139" s="24">
        <f t="shared" si="129"/>
        <v>10.994739392120444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100.44839999999968</v>
      </c>
      <c r="D140" s="12">
        <f t="shared" si="140"/>
        <v>27.068794833452092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984.34325836348728</v>
      </c>
      <c r="H140" s="70">
        <f t="shared" si="110"/>
        <v>515.42578100159517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306.99999999999994</v>
      </c>
      <c r="O140" s="14">
        <f>N140*VLOOKUP('Données projet'!$B$9,Paramètres!$A$1:$I$89,3,0)*VLOOKUP('Données projet'!$B$9,Paramètres!$A$1:$I$89,5,0)</f>
        <v>277.77359999999993</v>
      </c>
      <c r="P140" s="14">
        <f t="shared" si="141"/>
        <v>66.496288176842356</v>
      </c>
      <c r="Q140" s="22">
        <f t="shared" si="108"/>
        <v>599.60338857466706</v>
      </c>
      <c r="R140" s="62">
        <f t="shared" si="109"/>
        <v>892.93672190800044</v>
      </c>
      <c r="S140" s="62">
        <f ca="1">AVERAGE(OFFSET($R$3,0,0,'Données projet'!$E$9+1,1))-AVERAGE(OFFSET($H$3,0,0,'Données projet'!$E$9+1,1))</f>
        <v>312.57314929661908</v>
      </c>
      <c r="T140" s="62">
        <f t="shared" si="142"/>
        <v>190.92100876773804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49.631686547795809</v>
      </c>
      <c r="AA140" s="23">
        <f>EXP(-LN(2)/25)*AA139+(1-EXP(-LN(2)/25))/(LN(2)/25)*Calculateur!V140*Calculateur!X140*VLOOKUP('Données projet'!$B$9,Paramètres!$A$1:$I$89,3,0)*0.475*44/12</f>
        <v>1.8023786662015213</v>
      </c>
      <c r="AB140" s="23">
        <f>EXP(-LN(2)/2)*AB139+(1-EXP(-LN(2)/2))/(LN(2)/2)*V140*Y140*VLOOKUP('Données projet'!$B$9,Paramètres!$A$1:$I$89,3,0)*0.475*44/12</f>
        <v>7.3567589507511112E-4</v>
      </c>
      <c r="AC140" s="24">
        <f t="shared" si="111"/>
        <v>51.434800889892401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306.99999999999994</v>
      </c>
      <c r="AJ140" s="14">
        <f>AI140*VLOOKUP('Données projet'!$B$10,Paramètres!$A$1:$I$89,3,0)*VLOOKUP('Données projet'!$B$10,Paramètres!$A$1:$I$89,5,0)</f>
        <v>311.298</v>
      </c>
      <c r="AK140" s="14">
        <f t="shared" si="143"/>
        <v>73.539838278528748</v>
      </c>
      <c r="AL140" s="22">
        <f t="shared" si="112"/>
        <v>670.25923500177089</v>
      </c>
      <c r="AM140" s="62">
        <f t="shared" si="113"/>
        <v>963.59256833510426</v>
      </c>
      <c r="AN140" s="62">
        <f ca="1">AVERAGE(OFFSET($AM$3,0,0,'Données projet'!$E$10+1,1))-AVERAGE(OFFSET($H$3,0,0,'Données projet'!$E$10+1,1))</f>
        <v>360.56293184044779</v>
      </c>
      <c r="AO140" s="62">
        <f t="shared" si="144"/>
        <v>219.32252911220542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55.621717682874582</v>
      </c>
      <c r="AV140" s="23">
        <f>EXP(-LN(2)/25)*AV139+(1-EXP(-LN(2)/25))/(LN(2)/25)*Calculateur!AQ140*Calculateur!AS140*VLOOKUP('Données projet'!$B$10,Paramètres!$A$1:$I$89,3,0)*0.475*44/12</f>
        <v>2.0199071259154979</v>
      </c>
      <c r="AW140" s="23">
        <f>EXP(-LN(2)/2)*AW139+(1-EXP(-LN(2)/2))/(LN(2)/2)*AQ140*AT140*VLOOKUP('Données projet'!$B$10,Paramètres!$A$1:$I$89,3,0)*0.475*44/12</f>
        <v>8.2446436517038331E-4</v>
      </c>
      <c r="AX140" s="23">
        <f t="shared" si="114"/>
        <v>57.64244927315525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1.1368683772161603E-13</v>
      </c>
      <c r="BE140" s="14">
        <f>BD140*VLOOKUP('Données projet'!$B$11,Paramètres!$A$1:$I$89,3,0)*VLOOKUP('Données projet'!$B$11,Paramètres!$A$1:$I$89,5,0)</f>
        <v>8.3355189417488869E-14</v>
      </c>
      <c r="BF140" s="14">
        <f t="shared" si="145"/>
        <v>1.2790518435140618E-12</v>
      </c>
      <c r="BG140" s="22">
        <f t="shared" si="115"/>
        <v>2.3728589156891171E-12</v>
      </c>
      <c r="BH140" s="62">
        <f t="shared" si="116"/>
        <v>293.3333333333357</v>
      </c>
      <c r="BI140" s="62">
        <f ca="1">AVERAGE(OFFSET($BH$3,0,0,'Données projet'!$E$11+1,1))-AVERAGE(OFFSET($H$3,0,0,'Données projet'!$E$11+1,1))</f>
        <v>182.06733089745194</v>
      </c>
      <c r="BJ140" s="62">
        <f t="shared" si="146"/>
        <v>320.36755413886021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7.1785230875026063</v>
      </c>
      <c r="BQ140" s="23">
        <f>EXP(-LN(2)/25)*BQ139+(1-EXP(-LN(2)/25))/(LN(2)/25)*Calculateur!BL140*Calculateur!BN140*VLOOKUP('Données projet'!$B$11,Paramètres!$A$1:$I$89,3,0)*0.475*44/12</f>
        <v>0.6540831137101627</v>
      </c>
      <c r="BR140" s="23">
        <f>EXP(-LN(2)/2)*BR139+(1-EXP(-LN(2)/2))/(LN(2)/2)*BL140*BO140*VLOOKUP('Données projet'!$B$11,Paramètres!$A$1:$I$89,3,0)*0.475*44/12</f>
        <v>5.8123579001872467E-14</v>
      </c>
      <c r="BS140" s="24">
        <f t="shared" si="117"/>
        <v>7.832606201212827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319.99999999999972</v>
      </c>
      <c r="BZ140" s="14">
        <f>BY140*VLOOKUP('Données projet'!$B$12,Paramètres!$A$1:$I$89,3,0)*VLOOKUP('Données projet'!$B$12,Paramètres!$A$1:$I$89,5,0)</f>
        <v>279.55199999999979</v>
      </c>
      <c r="CA140" s="14">
        <f t="shared" si="147"/>
        <v>66.872324781216591</v>
      </c>
      <c r="CB140" s="22">
        <f t="shared" si="118"/>
        <v>603.35569899395182</v>
      </c>
      <c r="CC140" s="62">
        <f t="shared" si="119"/>
        <v>896.68903232728508</v>
      </c>
      <c r="CD140" s="62">
        <f ca="1">AVERAGE(OFFSET($CC$3,0,0,'Données projet'!$E$12+1,1))-AVERAGE(OFFSET($H$3,0,0,'Données projet'!$E$12+1,1))</f>
        <v>248.60758320902863</v>
      </c>
      <c r="CE140" s="62">
        <f t="shared" si="148"/>
        <v>222.23585883330111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17.500807027584138</v>
      </c>
      <c r="CL140" s="23">
        <f>EXP(-LN(2)/25)*CL139+(1-EXP(-LN(2)/25))/(LN(2)/25)*Calculateur!CG140*Calculateur!CI140*VLOOKUP('Données projet'!$B$12,Paramètres!$A$1:$I$89,3,0)*0.475*44/12</f>
        <v>1.4822538333667934</v>
      </c>
      <c r="CM140" s="23">
        <f>EXP(-LN(2)/2)*CM139+(1-EXP(-LN(2)/2))/(LN(2)/2)*CG140*CJ140*VLOOKUP('Données projet'!$B$12,Paramètres!$A$1:$I$89,3,0)*0.475*44/12</f>
        <v>4.9464937379619863E-9</v>
      </c>
      <c r="CN140" s="24">
        <f t="shared" si="120"/>
        <v>18.983060865897425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193.99999999999994</v>
      </c>
      <c r="CU140" s="18">
        <f>CT140*VLOOKUP('Données projet'!$B$13,Paramètres!$A$1:$I$89,3,0)*VLOOKUP('Données projet'!$B$13,Paramètres!$A$1:$I$89,5,0)</f>
        <v>105.92399999999998</v>
      </c>
      <c r="CV140" s="14">
        <f t="shared" si="149"/>
        <v>28.36854701055546</v>
      </c>
      <c r="CW140" s="22">
        <f t="shared" si="121"/>
        <v>233.89285271005073</v>
      </c>
      <c r="CX140" s="62">
        <f t="shared" si="122"/>
        <v>527.22618604338402</v>
      </c>
      <c r="CY140" s="62">
        <f ca="1">AVERAGE(OFFSET($CX$3,0,0,'Données projet'!$E$13+1,1))-AVERAGE(OFFSET($H$3,0,0,'Données projet'!$E$13+1,1))</f>
        <v>135.44138026609272</v>
      </c>
      <c r="CZ140" s="62">
        <f t="shared" si="150"/>
        <v>254.77247578425659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7.9390622247362295</v>
      </c>
      <c r="DG140" s="23">
        <f>EXP(-LN(2)/25)*DG139+(1-EXP(-LN(2)/25))/(LN(2)/25)*Calculateur!DB140*Calculateur!DD140*VLOOKUP('Données projet'!$B$13,Paramètres!$A$1:$I$89,3,0)*0.475*44/12</f>
        <v>2.3285380170612671</v>
      </c>
      <c r="DH140" s="23">
        <f>EXP(-LN(2)/2)*DH139+(1-EXP(-LN(2)/2))/(LN(2)/2)*DB140*DE140*VLOOKUP('Données projet'!$B$13,Paramètres!$A$1:$I$89,3,0)*0.475*44/12</f>
        <v>6.6769460756961647E-15</v>
      </c>
      <c r="DI140" s="24">
        <f t="shared" si="123"/>
        <v>10.267600241797503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273.00000000000023</v>
      </c>
      <c r="DP140" s="18">
        <f>DO140*VLOOKUP('Données projet'!$B$14,Paramètres!$A$1:$I$89,3,0)*VLOOKUP('Données projet'!$B$14,Paramètres!$A$1:$I$89,5,0)</f>
        <v>264.04560000000021</v>
      </c>
      <c r="DQ140" s="14">
        <f t="shared" si="151"/>
        <v>63.583959929973794</v>
      </c>
      <c r="DR140" s="22">
        <f t="shared" si="124"/>
        <v>570.6214835447048</v>
      </c>
      <c r="DS140" s="62">
        <f t="shared" si="125"/>
        <v>863.95481687803817</v>
      </c>
      <c r="DT140" s="62">
        <f ca="1">AVERAGE(OFFSET($DS$3,0,0,'Données projet'!$E$14+1,1))-AVERAGE(OFFSET($H$3,0,0,'Données projet'!$E$14+1,1))</f>
        <v>271.09447278906288</v>
      </c>
      <c r="DU140" s="62">
        <f t="shared" si="152"/>
        <v>325.1094067861851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8.8087454955154385</v>
      </c>
      <c r="EB140" s="23">
        <f>EXP(-LN(2)/25)*EB139+(1-EXP(-LN(2)/25))/(LN(2)/25)*Calculateur!DW140*Calculateur!DY140*VLOOKUP('Données projet'!$B$14,Paramètres!$A$1:$I$89,3,0)*0.475*44/12</f>
        <v>0.86993914717755128</v>
      </c>
      <c r="EC140" s="23">
        <f>EXP(-LN(2)/2)*EC139+(1-EXP(-LN(2)/2))/(LN(2)/2)*DW140*DZ140*VLOOKUP('Données projet'!$B$14,Paramètres!$A$1:$I$89,3,0)*0.475*44/12</f>
        <v>1.5675832617581096E-11</v>
      </c>
      <c r="ED140" s="24">
        <f t="shared" si="126"/>
        <v>9.6786846427086655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273.00000000000023</v>
      </c>
      <c r="EK140" s="18">
        <f>EJ140*VLOOKUP('Données projet'!$B$15,Paramètres!$A$1:$I$89,3,0)*VLOOKUP('Données projet'!$B$15,Paramètres!$A$1:$I$89,5,0)</f>
        <v>293.85720000000026</v>
      </c>
      <c r="EL140" s="14">
        <f t="shared" si="153"/>
        <v>69.887150190339895</v>
      </c>
      <c r="EM140" s="22">
        <f t="shared" si="127"/>
        <v>633.52140991484237</v>
      </c>
      <c r="EN140" s="62">
        <f t="shared" si="128"/>
        <v>926.85474324817574</v>
      </c>
      <c r="EO140" s="62">
        <f ca="1">AVERAGE(OFFSET($EN$3,0,0,'Données projet'!$E$15+1,1))-AVERAGE(OFFSET($H$3,0,0,'Données projet'!$E$15+1,1))</f>
        <v>306.50593475734655</v>
      </c>
      <c r="EP140" s="62">
        <f t="shared" si="154"/>
        <v>366.48643801375079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9.8032812772671836</v>
      </c>
      <c r="EW140" s="23">
        <f>EXP(-LN(2)/25)*EW139+(1-EXP(-LN(2)/25))/(LN(2)/25)*Calculateur!ER140*Calculateur!ET140*VLOOKUP('Données projet'!$B$15,Paramètres!$A$1:$I$89,3,0)*0.475*44/12</f>
        <v>0.96815808314920948</v>
      </c>
      <c r="EX140" s="23">
        <f>EXP(-LN(2)/2)*EX139+(1-EXP(-LN(2)/2))/(LN(2)/2)*ER140*EU140*VLOOKUP('Données projet'!$B$15,Paramètres!$A$1:$I$89,3,0)*0.475*44/12</f>
        <v>1.7445684687307985E-11</v>
      </c>
      <c r="EY140" s="24">
        <f t="shared" si="129"/>
        <v>10.771439360433838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101.18159999999968</v>
      </c>
      <c r="D141" s="12">
        <f t="shared" si="140"/>
        <v>27.243304715412286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991.35014166282929</v>
      </c>
      <c r="H141" s="70">
        <f t="shared" si="110"/>
        <v>517.00670904600918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306.99999999999994</v>
      </c>
      <c r="O141" s="14">
        <f>N141*VLOOKUP('Données projet'!$B$9,Paramètres!$A$1:$I$89,3,0)*VLOOKUP('Données projet'!$B$9,Paramètres!$A$1:$I$89,5,0)</f>
        <v>277.77359999999993</v>
      </c>
      <c r="P141" s="14">
        <f t="shared" si="141"/>
        <v>66.496288176842356</v>
      </c>
      <c r="Q141" s="22">
        <f t="shared" si="108"/>
        <v>599.60338857466706</v>
      </c>
      <c r="R141" s="62">
        <f t="shared" si="109"/>
        <v>892.93672190800044</v>
      </c>
      <c r="S141" s="62">
        <f ca="1">AVERAGE(OFFSET($R$3,0,0,'Données projet'!$E$9+1,1))-AVERAGE(OFFSET($H$3,0,0,'Données projet'!$E$9+1,1))</f>
        <v>312.57314929661908</v>
      </c>
      <c r="T141" s="62">
        <f t="shared" si="142"/>
        <v>190.92100876773804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48.65843944693318</v>
      </c>
      <c r="AA141" s="23">
        <f>EXP(-LN(2)/25)*AA140+(1-EXP(-LN(2)/25))/(LN(2)/25)*Calculateur!V141*Calculateur!X141*VLOOKUP('Données projet'!$B$9,Paramètres!$A$1:$I$89,3,0)*0.475*44/12</f>
        <v>1.753092526791266</v>
      </c>
      <c r="AB141" s="23">
        <f>EXP(-LN(2)/2)*AB140+(1-EXP(-LN(2)/2))/(LN(2)/2)*V141*Y141*VLOOKUP('Données projet'!$B$9,Paramètres!$A$1:$I$89,3,0)*0.475*44/12</f>
        <v>5.2020141416309409E-4</v>
      </c>
      <c r="AC141" s="24">
        <f t="shared" si="111"/>
        <v>50.412052175138605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306.99999999999994</v>
      </c>
      <c r="AJ141" s="14">
        <f>AI141*VLOOKUP('Données projet'!$B$10,Paramètres!$A$1:$I$89,3,0)*VLOOKUP('Données projet'!$B$10,Paramètres!$A$1:$I$89,5,0)</f>
        <v>311.298</v>
      </c>
      <c r="AK141" s="14">
        <f t="shared" si="143"/>
        <v>73.539838278528748</v>
      </c>
      <c r="AL141" s="22">
        <f t="shared" si="112"/>
        <v>670.25923500177089</v>
      </c>
      <c r="AM141" s="62">
        <f t="shared" si="113"/>
        <v>963.59256833510426</v>
      </c>
      <c r="AN141" s="62">
        <f ca="1">AVERAGE(OFFSET($AM$3,0,0,'Données projet'!$E$10+1,1))-AVERAGE(OFFSET($H$3,0,0,'Données projet'!$E$10+1,1))</f>
        <v>360.56293184044779</v>
      </c>
      <c r="AO141" s="62">
        <f t="shared" si="144"/>
        <v>219.32252911220542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54.531009725011295</v>
      </c>
      <c r="AV141" s="23">
        <f>EXP(-LN(2)/25)*AV140+(1-EXP(-LN(2)/25))/(LN(2)/25)*Calculateur!AQ141*Calculateur!AS141*VLOOKUP('Données projet'!$B$10,Paramètres!$A$1:$I$89,3,0)*0.475*44/12</f>
        <v>1.9646726593350394</v>
      </c>
      <c r="AW141" s="23">
        <f>EXP(-LN(2)/2)*AW140+(1-EXP(-LN(2)/2))/(LN(2)/2)*AQ141*AT141*VLOOKUP('Données projet'!$B$10,Paramètres!$A$1:$I$89,3,0)*0.475*44/12</f>
        <v>5.8298434345864004E-4</v>
      </c>
      <c r="AX141" s="23">
        <f t="shared" si="114"/>
        <v>56.496265368689791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1.1368683772161603E-13</v>
      </c>
      <c r="BE141" s="14">
        <f>BD141*VLOOKUP('Données projet'!$B$11,Paramètres!$A$1:$I$89,3,0)*VLOOKUP('Données projet'!$B$11,Paramètres!$A$1:$I$89,5,0)</f>
        <v>8.3355189417488869E-14</v>
      </c>
      <c r="BF141" s="14">
        <f t="shared" si="145"/>
        <v>1.2790518435140618E-12</v>
      </c>
      <c r="BG141" s="22">
        <f t="shared" si="115"/>
        <v>2.3728589156891171E-12</v>
      </c>
      <c r="BH141" s="62">
        <f t="shared" si="116"/>
        <v>293.3333333333357</v>
      </c>
      <c r="BI141" s="62">
        <f ca="1">AVERAGE(OFFSET($BH$3,0,0,'Données projet'!$E$11+1,1))-AVERAGE(OFFSET($H$3,0,0,'Données projet'!$E$11+1,1))</f>
        <v>182.06733089745194</v>
      </c>
      <c r="BJ141" s="62">
        <f t="shared" si="146"/>
        <v>320.36755413886021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7.0377566282234261</v>
      </c>
      <c r="BQ141" s="23">
        <f>EXP(-LN(2)/25)*BQ140+(1-EXP(-LN(2)/25))/(LN(2)/25)*Calculateur!BL141*Calculateur!BN141*VLOOKUP('Données projet'!$B$11,Paramètres!$A$1:$I$89,3,0)*0.475*44/12</f>
        <v>0.6361971765690223</v>
      </c>
      <c r="BR141" s="23">
        <f>EXP(-LN(2)/2)*BR140+(1-EXP(-LN(2)/2))/(LN(2)/2)*BL141*BO141*VLOOKUP('Données projet'!$B$11,Paramètres!$A$1:$I$89,3,0)*0.475*44/12</f>
        <v>4.1099576859056043E-14</v>
      </c>
      <c r="BS141" s="24">
        <f t="shared" si="117"/>
        <v>7.6739538047924896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319.99999999999972</v>
      </c>
      <c r="BZ141" s="14">
        <f>BY141*VLOOKUP('Données projet'!$B$12,Paramètres!$A$1:$I$89,3,0)*VLOOKUP('Données projet'!$B$12,Paramètres!$A$1:$I$89,5,0)</f>
        <v>279.55199999999979</v>
      </c>
      <c r="CA141" s="14">
        <f t="shared" si="147"/>
        <v>66.872324781216591</v>
      </c>
      <c r="CB141" s="22">
        <f t="shared" si="118"/>
        <v>603.35569899395182</v>
      </c>
      <c r="CC141" s="62">
        <f t="shared" si="119"/>
        <v>896.68903232728508</v>
      </c>
      <c r="CD141" s="62">
        <f ca="1">AVERAGE(OFFSET($CC$3,0,0,'Données projet'!$E$12+1,1))-AVERAGE(OFFSET($H$3,0,0,'Données projet'!$E$12+1,1))</f>
        <v>248.60758320902863</v>
      </c>
      <c r="CE141" s="62">
        <f t="shared" si="148"/>
        <v>222.23585883330111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17.157626876211488</v>
      </c>
      <c r="CL141" s="23">
        <f>EXP(-LN(2)/25)*CL140+(1-EXP(-LN(2)/25))/(LN(2)/25)*Calculateur!CG141*Calculateur!CI141*VLOOKUP('Données projet'!$B$12,Paramètres!$A$1:$I$89,3,0)*0.475*44/12</f>
        <v>1.441721524345037</v>
      </c>
      <c r="CM141" s="23">
        <f>EXP(-LN(2)/2)*CM140+(1-EXP(-LN(2)/2))/(LN(2)/2)*CG141*CJ141*VLOOKUP('Données projet'!$B$12,Paramètres!$A$1:$I$89,3,0)*0.475*44/12</f>
        <v>3.4976992652097138E-9</v>
      </c>
      <c r="CN141" s="24">
        <f t="shared" si="120"/>
        <v>18.599348404054226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193.99999999999994</v>
      </c>
      <c r="CU141" s="18">
        <f>CT141*VLOOKUP('Données projet'!$B$13,Paramètres!$A$1:$I$89,3,0)*VLOOKUP('Données projet'!$B$13,Paramètres!$A$1:$I$89,5,0)</f>
        <v>105.92399999999998</v>
      </c>
      <c r="CV141" s="14">
        <f t="shared" si="149"/>
        <v>28.36854701055546</v>
      </c>
      <c r="CW141" s="22">
        <f t="shared" si="121"/>
        <v>233.89285271005073</v>
      </c>
      <c r="CX141" s="62">
        <f t="shared" si="122"/>
        <v>527.22618604338402</v>
      </c>
      <c r="CY141" s="62">
        <f ca="1">AVERAGE(OFFSET($CX$3,0,0,'Données projet'!$E$13+1,1))-AVERAGE(OFFSET($H$3,0,0,'Données projet'!$E$13+1,1))</f>
        <v>135.44138026609272</v>
      </c>
      <c r="CZ141" s="62">
        <f t="shared" si="150"/>
        <v>254.77247578425659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7.7833820568589669</v>
      </c>
      <c r="DG141" s="23">
        <f>EXP(-LN(2)/25)*DG140+(1-EXP(-LN(2)/25))/(LN(2)/25)*Calculateur!DB141*Calculateur!DD141*VLOOKUP('Données projet'!$B$13,Paramètres!$A$1:$I$89,3,0)*0.475*44/12</f>
        <v>2.2648640225322345</v>
      </c>
      <c r="DH141" s="23">
        <f>EXP(-LN(2)/2)*DH140+(1-EXP(-LN(2)/2))/(LN(2)/2)*DB141*DE141*VLOOKUP('Données projet'!$B$13,Paramètres!$A$1:$I$89,3,0)*0.475*44/12</f>
        <v>4.7213138477416651E-15</v>
      </c>
      <c r="DI141" s="24">
        <f t="shared" si="123"/>
        <v>10.048246079391207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273.00000000000023</v>
      </c>
      <c r="DP141" s="18">
        <f>DO141*VLOOKUP('Données projet'!$B$14,Paramètres!$A$1:$I$89,3,0)*VLOOKUP('Données projet'!$B$14,Paramètres!$A$1:$I$89,5,0)</f>
        <v>264.04560000000021</v>
      </c>
      <c r="DQ141" s="14">
        <f t="shared" si="151"/>
        <v>63.583959929973794</v>
      </c>
      <c r="DR141" s="22">
        <f t="shared" si="124"/>
        <v>570.6214835447048</v>
      </c>
      <c r="DS141" s="62">
        <f t="shared" si="125"/>
        <v>863.95481687803817</v>
      </c>
      <c r="DT141" s="62">
        <f ca="1">AVERAGE(OFFSET($DS$3,0,0,'Données projet'!$E$14+1,1))-AVERAGE(OFFSET($H$3,0,0,'Données projet'!$E$14+1,1))</f>
        <v>271.09447278906288</v>
      </c>
      <c r="DU141" s="62">
        <f t="shared" si="152"/>
        <v>325.1094067861851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8.6360113691526124</v>
      </c>
      <c r="EB141" s="23">
        <f>EXP(-LN(2)/25)*EB140+(1-EXP(-LN(2)/25))/(LN(2)/25)*Calculateur!DW141*Calculateur!DY141*VLOOKUP('Données projet'!$B$14,Paramètres!$A$1:$I$89,3,0)*0.475*44/12</f>
        <v>0.84615061544986969</v>
      </c>
      <c r="EC141" s="23">
        <f>EXP(-LN(2)/2)*EC140+(1-EXP(-LN(2)/2))/(LN(2)/2)*DW141*DZ141*VLOOKUP('Données projet'!$B$14,Paramètres!$A$1:$I$89,3,0)*0.475*44/12</f>
        <v>1.1084487544636861E-11</v>
      </c>
      <c r="ED141" s="24">
        <f t="shared" si="126"/>
        <v>9.4821619846135672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273.00000000000023</v>
      </c>
      <c r="EK141" s="18">
        <f>EJ141*VLOOKUP('Données projet'!$B$15,Paramètres!$A$1:$I$89,3,0)*VLOOKUP('Données projet'!$B$15,Paramètres!$A$1:$I$89,5,0)</f>
        <v>293.85720000000026</v>
      </c>
      <c r="EL141" s="14">
        <f t="shared" si="153"/>
        <v>69.887150190339895</v>
      </c>
      <c r="EM141" s="22">
        <f t="shared" si="127"/>
        <v>633.52140991484237</v>
      </c>
      <c r="EN141" s="62">
        <f t="shared" si="128"/>
        <v>926.85474324817574</v>
      </c>
      <c r="EO141" s="62">
        <f ca="1">AVERAGE(OFFSET($EN$3,0,0,'Données projet'!$E$15+1,1))-AVERAGE(OFFSET($H$3,0,0,'Données projet'!$E$15+1,1))</f>
        <v>306.50593475734655</v>
      </c>
      <c r="EP141" s="62">
        <f t="shared" si="154"/>
        <v>366.48643801375079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9.6110449108311347</v>
      </c>
      <c r="EW141" s="23">
        <f>EXP(-LN(2)/25)*EW140+(1-EXP(-LN(2)/25))/(LN(2)/25)*Calculateur!ER141*Calculateur!ET141*VLOOKUP('Données projet'!$B$15,Paramètres!$A$1:$I$89,3,0)*0.475*44/12</f>
        <v>0.94168374945227351</v>
      </c>
      <c r="EX141" s="23">
        <f>EXP(-LN(2)/2)*EX140+(1-EXP(-LN(2)/2))/(LN(2)/2)*ER141*EU141*VLOOKUP('Données projet'!$B$15,Paramètres!$A$1:$I$89,3,0)*0.475*44/12</f>
        <v>1.233596194483779E-11</v>
      </c>
      <c r="EY141" s="24">
        <f t="shared" si="129"/>
        <v>10.552728660295745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101.91479999999967</v>
      </c>
      <c r="D142" s="12">
        <f t="shared" si="140"/>
        <v>27.417667462779246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998.35588918636347</v>
      </c>
      <c r="H142" s="70">
        <f t="shared" si="110"/>
        <v>518.58738083100661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306.99999999999994</v>
      </c>
      <c r="O142" s="14">
        <f>N142*VLOOKUP('Données projet'!$B$9,Paramètres!$A$1:$I$89,3,0)*VLOOKUP('Données projet'!$B$9,Paramètres!$A$1:$I$89,5,0)</f>
        <v>277.77359999999993</v>
      </c>
      <c r="P142" s="14">
        <f t="shared" si="141"/>
        <v>66.496288176842356</v>
      </c>
      <c r="Q142" s="22">
        <f t="shared" si="108"/>
        <v>599.60338857466706</v>
      </c>
      <c r="R142" s="62">
        <f t="shared" si="109"/>
        <v>892.93672190800044</v>
      </c>
      <c r="S142" s="62">
        <f ca="1">AVERAGE(OFFSET($R$3,0,0,'Données projet'!$E$9+1,1))-AVERAGE(OFFSET($H$3,0,0,'Données projet'!$E$9+1,1))</f>
        <v>312.57314929661908</v>
      </c>
      <c r="T142" s="62">
        <f t="shared" si="142"/>
        <v>190.92100876773804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47.704277128096351</v>
      </c>
      <c r="AA142" s="23">
        <f>EXP(-LN(2)/25)*AA141+(1-EXP(-LN(2)/25))/(LN(2)/25)*Calculateur!V142*Calculateur!X142*VLOOKUP('Données projet'!$B$9,Paramètres!$A$1:$I$89,3,0)*0.475*44/12</f>
        <v>1.7051541194550297</v>
      </c>
      <c r="AB142" s="23">
        <f>EXP(-LN(2)/2)*AB141+(1-EXP(-LN(2)/2))/(LN(2)/2)*V142*Y142*VLOOKUP('Données projet'!$B$9,Paramètres!$A$1:$I$89,3,0)*0.475*44/12</f>
        <v>3.6783794753755556E-4</v>
      </c>
      <c r="AC142" s="24">
        <f t="shared" si="111"/>
        <v>49.409799085498918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306.99999999999994</v>
      </c>
      <c r="AJ142" s="14">
        <f>AI142*VLOOKUP('Données projet'!$B$10,Paramètres!$A$1:$I$89,3,0)*VLOOKUP('Données projet'!$B$10,Paramètres!$A$1:$I$89,5,0)</f>
        <v>311.298</v>
      </c>
      <c r="AK142" s="14">
        <f t="shared" si="143"/>
        <v>73.539838278528748</v>
      </c>
      <c r="AL142" s="22">
        <f t="shared" si="112"/>
        <v>670.25923500177089</v>
      </c>
      <c r="AM142" s="62">
        <f t="shared" si="113"/>
        <v>963.59256833510426</v>
      </c>
      <c r="AN142" s="62">
        <f ca="1">AVERAGE(OFFSET($AM$3,0,0,'Données projet'!$E$10+1,1))-AVERAGE(OFFSET($H$3,0,0,'Données projet'!$E$10+1,1))</f>
        <v>360.56293184044779</v>
      </c>
      <c r="AO142" s="62">
        <f t="shared" si="144"/>
        <v>219.32252911220542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53.461689884935538</v>
      </c>
      <c r="AV142" s="23">
        <f>EXP(-LN(2)/25)*AV141+(1-EXP(-LN(2)/25))/(LN(2)/25)*Calculateur!AQ142*Calculateur!AS142*VLOOKUP('Données projet'!$B$10,Paramètres!$A$1:$I$89,3,0)*0.475*44/12</f>
        <v>1.910948582147878</v>
      </c>
      <c r="AW142" s="23">
        <f>EXP(-LN(2)/2)*AW141+(1-EXP(-LN(2)/2))/(LN(2)/2)*AQ142*AT142*VLOOKUP('Données projet'!$B$10,Paramètres!$A$1:$I$89,3,0)*0.475*44/12</f>
        <v>4.1223218258519166E-4</v>
      </c>
      <c r="AX142" s="23">
        <f t="shared" si="114"/>
        <v>55.373050699266003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1.1368683772161603E-13</v>
      </c>
      <c r="BE142" s="14">
        <f>BD142*VLOOKUP('Données projet'!$B$11,Paramètres!$A$1:$I$89,3,0)*VLOOKUP('Données projet'!$B$11,Paramètres!$A$1:$I$89,5,0)</f>
        <v>8.3355189417488869E-14</v>
      </c>
      <c r="BF142" s="14">
        <f t="shared" si="145"/>
        <v>1.2790518435140618E-12</v>
      </c>
      <c r="BG142" s="22">
        <f t="shared" si="115"/>
        <v>2.3728589156891171E-12</v>
      </c>
      <c r="BH142" s="62">
        <f t="shared" si="116"/>
        <v>293.3333333333357</v>
      </c>
      <c r="BI142" s="62">
        <f ca="1">AVERAGE(OFFSET($BH$3,0,0,'Données projet'!$E$11+1,1))-AVERAGE(OFFSET($H$3,0,0,'Données projet'!$E$11+1,1))</f>
        <v>182.06733089745194</v>
      </c>
      <c r="BJ142" s="62">
        <f t="shared" si="146"/>
        <v>320.36755413886021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6.8997505133516484</v>
      </c>
      <c r="BQ142" s="23">
        <f>EXP(-LN(2)/25)*BQ141+(1-EXP(-LN(2)/25))/(LN(2)/25)*Calculateur!BL142*Calculateur!BN142*VLOOKUP('Données projet'!$B$11,Paramètres!$A$1:$I$89,3,0)*0.475*44/12</f>
        <v>0.61880033131958689</v>
      </c>
      <c r="BR142" s="23">
        <f>EXP(-LN(2)/2)*BR141+(1-EXP(-LN(2)/2))/(LN(2)/2)*BL142*BO142*VLOOKUP('Données projet'!$B$11,Paramètres!$A$1:$I$89,3,0)*0.475*44/12</f>
        <v>2.9061789500936234E-14</v>
      </c>
      <c r="BS142" s="24">
        <f t="shared" si="117"/>
        <v>7.5185508446712648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319.99999999999972</v>
      </c>
      <c r="BZ142" s="14">
        <f>BY142*VLOOKUP('Données projet'!$B$12,Paramètres!$A$1:$I$89,3,0)*VLOOKUP('Données projet'!$B$12,Paramètres!$A$1:$I$89,5,0)</f>
        <v>279.55199999999979</v>
      </c>
      <c r="CA142" s="14">
        <f t="shared" si="147"/>
        <v>66.872324781216591</v>
      </c>
      <c r="CB142" s="22">
        <f t="shared" si="118"/>
        <v>603.35569899395182</v>
      </c>
      <c r="CC142" s="62">
        <f t="shared" si="119"/>
        <v>896.68903232728508</v>
      </c>
      <c r="CD142" s="62">
        <f ca="1">AVERAGE(OFFSET($CC$3,0,0,'Données projet'!$E$12+1,1))-AVERAGE(OFFSET($H$3,0,0,'Données projet'!$E$12+1,1))</f>
        <v>248.60758320902863</v>
      </c>
      <c r="CE142" s="62">
        <f t="shared" si="148"/>
        <v>222.23585883330111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16.821176278288032</v>
      </c>
      <c r="CL142" s="23">
        <f>EXP(-LN(2)/25)*CL141+(1-EXP(-LN(2)/25))/(LN(2)/25)*Calculateur!CG142*Calculateur!CI142*VLOOKUP('Données projet'!$B$12,Paramètres!$A$1:$I$89,3,0)*0.475*44/12</f>
        <v>1.4022975734449821</v>
      </c>
      <c r="CM142" s="23">
        <f>EXP(-LN(2)/2)*CM141+(1-EXP(-LN(2)/2))/(LN(2)/2)*CG142*CJ142*VLOOKUP('Données projet'!$B$12,Paramètres!$A$1:$I$89,3,0)*0.475*44/12</f>
        <v>2.4732468689809931E-9</v>
      </c>
      <c r="CN142" s="24">
        <f t="shared" si="120"/>
        <v>18.223473854206262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193.99999999999994</v>
      </c>
      <c r="CU142" s="18">
        <f>CT142*VLOOKUP('Données projet'!$B$13,Paramètres!$A$1:$I$89,3,0)*VLOOKUP('Données projet'!$B$13,Paramètres!$A$1:$I$89,5,0)</f>
        <v>105.92399999999998</v>
      </c>
      <c r="CV142" s="14">
        <f t="shared" si="149"/>
        <v>28.36854701055546</v>
      </c>
      <c r="CW142" s="22">
        <f t="shared" si="121"/>
        <v>233.89285271005073</v>
      </c>
      <c r="CX142" s="62">
        <f t="shared" si="122"/>
        <v>527.22618604338402</v>
      </c>
      <c r="CY142" s="62">
        <f ca="1">AVERAGE(OFFSET($CX$3,0,0,'Données projet'!$E$13+1,1))-AVERAGE(OFFSET($H$3,0,0,'Données projet'!$E$13+1,1))</f>
        <v>135.44138026609272</v>
      </c>
      <c r="CZ142" s="62">
        <f t="shared" si="150"/>
        <v>254.77247578425659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7.6307546821182513</v>
      </c>
      <c r="DG142" s="23">
        <f>EXP(-LN(2)/25)*DG141+(1-EXP(-LN(2)/25))/(LN(2)/25)*Calculateur!DB142*Calculateur!DD142*VLOOKUP('Données projet'!$B$13,Paramètres!$A$1:$I$89,3,0)*0.475*44/12</f>
        <v>2.2029311967320679</v>
      </c>
      <c r="DH142" s="23">
        <f>EXP(-LN(2)/2)*DH141+(1-EXP(-LN(2)/2))/(LN(2)/2)*DB142*DE142*VLOOKUP('Données projet'!$B$13,Paramètres!$A$1:$I$89,3,0)*0.475*44/12</f>
        <v>3.3384730378480823E-15</v>
      </c>
      <c r="DI142" s="24">
        <f t="shared" si="123"/>
        <v>9.8336858788503232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273.00000000000023</v>
      </c>
      <c r="DP142" s="18">
        <f>DO142*VLOOKUP('Données projet'!$B$14,Paramètres!$A$1:$I$89,3,0)*VLOOKUP('Données projet'!$B$14,Paramètres!$A$1:$I$89,5,0)</f>
        <v>264.04560000000021</v>
      </c>
      <c r="DQ142" s="14">
        <f t="shared" si="151"/>
        <v>63.583959929973794</v>
      </c>
      <c r="DR142" s="22">
        <f t="shared" si="124"/>
        <v>570.6214835447048</v>
      </c>
      <c r="DS142" s="62">
        <f t="shared" si="125"/>
        <v>863.95481687803817</v>
      </c>
      <c r="DT142" s="62">
        <f ca="1">AVERAGE(OFFSET($DS$3,0,0,'Données projet'!$E$14+1,1))-AVERAGE(OFFSET($H$3,0,0,'Données projet'!$E$14+1,1))</f>
        <v>271.09447278906288</v>
      </c>
      <c r="DU142" s="62">
        <f t="shared" si="152"/>
        <v>325.1094067861851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8.4666644536503473</v>
      </c>
      <c r="EB142" s="23">
        <f>EXP(-LN(2)/25)*EB141+(1-EXP(-LN(2)/25))/(LN(2)/25)*Calculateur!DW142*Calculateur!DY142*VLOOKUP('Données projet'!$B$14,Paramètres!$A$1:$I$89,3,0)*0.475*44/12</f>
        <v>0.82301258237326602</v>
      </c>
      <c r="EC142" s="23">
        <f>EXP(-LN(2)/2)*EC141+(1-EXP(-LN(2)/2))/(LN(2)/2)*DW142*DZ142*VLOOKUP('Données projet'!$B$14,Paramètres!$A$1:$I$89,3,0)*0.475*44/12</f>
        <v>7.8379163087905482E-12</v>
      </c>
      <c r="ED142" s="24">
        <f t="shared" si="126"/>
        <v>9.2896770360314509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273.00000000000023</v>
      </c>
      <c r="EK142" s="18">
        <f>EJ142*VLOOKUP('Données projet'!$B$15,Paramètres!$A$1:$I$89,3,0)*VLOOKUP('Données projet'!$B$15,Paramètres!$A$1:$I$89,5,0)</f>
        <v>293.85720000000026</v>
      </c>
      <c r="EL142" s="14">
        <f t="shared" si="153"/>
        <v>69.887150190339895</v>
      </c>
      <c r="EM142" s="22">
        <f t="shared" si="127"/>
        <v>633.52140991484237</v>
      </c>
      <c r="EN142" s="62">
        <f t="shared" si="128"/>
        <v>926.85474324817574</v>
      </c>
      <c r="EO142" s="62">
        <f ca="1">AVERAGE(OFFSET($EN$3,0,0,'Données projet'!$E$15+1,1))-AVERAGE(OFFSET($H$3,0,0,'Données projet'!$E$15+1,1))</f>
        <v>306.50593475734655</v>
      </c>
      <c r="EP142" s="62">
        <f t="shared" si="154"/>
        <v>366.48643801375079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9.4225781822882908</v>
      </c>
      <c r="EW142" s="23">
        <f>EXP(-LN(2)/25)*EW141+(1-EXP(-LN(2)/25))/(LN(2)/25)*Calculateur!ER142*Calculateur!ET142*VLOOKUP('Données projet'!$B$15,Paramètres!$A$1:$I$89,3,0)*0.475*44/12</f>
        <v>0.91593335780250495</v>
      </c>
      <c r="EX142" s="23">
        <f>EXP(-LN(2)/2)*EX141+(1-EXP(-LN(2)/2))/(LN(2)/2)*ER142*EU142*VLOOKUP('Données projet'!$B$15,Paramètres!$A$1:$I$89,3,0)*0.475*44/12</f>
        <v>8.7228423436539925E-12</v>
      </c>
      <c r="EY142" s="24">
        <f t="shared" si="129"/>
        <v>10.338511540099519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102.64799999999967</v>
      </c>
      <c r="D143" s="12">
        <f t="shared" si="140"/>
        <v>27.591884256812975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1005.3605100525888</v>
      </c>
      <c r="H143" s="70">
        <f t="shared" si="110"/>
        <v>520.16779841394873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306.99999999999994</v>
      </c>
      <c r="O143" s="14">
        <f>N143*VLOOKUP('Données projet'!$B$9,Paramètres!$A$1:$I$89,3,0)*VLOOKUP('Données projet'!$B$9,Paramètres!$A$1:$I$89,5,0)</f>
        <v>277.77359999999993</v>
      </c>
      <c r="P143" s="14">
        <f t="shared" si="141"/>
        <v>66.496288176842356</v>
      </c>
      <c r="Q143" s="22">
        <f t="shared" si="108"/>
        <v>599.60338857466706</v>
      </c>
      <c r="R143" s="62">
        <f t="shared" si="109"/>
        <v>892.93672190800044</v>
      </c>
      <c r="S143" s="62">
        <f ca="1">AVERAGE(OFFSET($R$3,0,0,'Données projet'!$E$9+1,1))-AVERAGE(OFFSET($H$3,0,0,'Données projet'!$E$9+1,1))</f>
        <v>312.57314929661908</v>
      </c>
      <c r="T143" s="62">
        <f t="shared" si="142"/>
        <v>190.92100876773804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46.768825350350369</v>
      </c>
      <c r="AA143" s="23">
        <f>EXP(-LN(2)/25)*AA142+(1-EXP(-LN(2)/25))/(LN(2)/25)*Calculateur!V143*Calculateur!X143*VLOOKUP('Données projet'!$B$9,Paramètres!$A$1:$I$89,3,0)*0.475*44/12</f>
        <v>1.6585265903883739</v>
      </c>
      <c r="AB143" s="23">
        <f>EXP(-LN(2)/2)*AB142+(1-EXP(-LN(2)/2))/(LN(2)/2)*V143*Y143*VLOOKUP('Données projet'!$B$9,Paramètres!$A$1:$I$89,3,0)*0.475*44/12</f>
        <v>2.6010070708154705E-4</v>
      </c>
      <c r="AC143" s="24">
        <f t="shared" si="111"/>
        <v>48.427612041445826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306.99999999999994</v>
      </c>
      <c r="AJ143" s="14">
        <f>AI143*VLOOKUP('Données projet'!$B$10,Paramètres!$A$1:$I$89,3,0)*VLOOKUP('Données projet'!$B$10,Paramètres!$A$1:$I$89,5,0)</f>
        <v>311.298</v>
      </c>
      <c r="AK143" s="14">
        <f t="shared" si="143"/>
        <v>73.539838278528748</v>
      </c>
      <c r="AL143" s="22">
        <f t="shared" si="112"/>
        <v>670.25923500177089</v>
      </c>
      <c r="AM143" s="62">
        <f t="shared" si="113"/>
        <v>963.59256833510426</v>
      </c>
      <c r="AN143" s="62">
        <f ca="1">AVERAGE(OFFSET($AM$3,0,0,'Données projet'!$E$10+1,1))-AVERAGE(OFFSET($H$3,0,0,'Données projet'!$E$10+1,1))</f>
        <v>360.56293184044779</v>
      </c>
      <c r="AO143" s="62">
        <f t="shared" si="144"/>
        <v>219.32252911220542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52.41333875470297</v>
      </c>
      <c r="AV143" s="23">
        <f>EXP(-LN(2)/25)*AV142+(1-EXP(-LN(2)/25))/(LN(2)/25)*Calculateur!AQ143*Calculateur!AS143*VLOOKUP('Données projet'!$B$10,Paramètres!$A$1:$I$89,3,0)*0.475*44/12</f>
        <v>1.8586935926766259</v>
      </c>
      <c r="AW143" s="23">
        <f>EXP(-LN(2)/2)*AW142+(1-EXP(-LN(2)/2))/(LN(2)/2)*AQ143*AT143*VLOOKUP('Données projet'!$B$10,Paramètres!$A$1:$I$89,3,0)*0.475*44/12</f>
        <v>2.9149217172932002E-4</v>
      </c>
      <c r="AX143" s="23">
        <f t="shared" si="114"/>
        <v>54.272323839551319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1.1368683772161603E-13</v>
      </c>
      <c r="BE143" s="14">
        <f>BD143*VLOOKUP('Données projet'!$B$11,Paramètres!$A$1:$I$89,3,0)*VLOOKUP('Données projet'!$B$11,Paramètres!$A$1:$I$89,5,0)</f>
        <v>8.3355189417488869E-14</v>
      </c>
      <c r="BF143" s="14">
        <f t="shared" si="145"/>
        <v>1.2790518435140618E-12</v>
      </c>
      <c r="BG143" s="22">
        <f t="shared" si="115"/>
        <v>2.3728589156891171E-12</v>
      </c>
      <c r="BH143" s="62">
        <f t="shared" si="116"/>
        <v>293.3333333333357</v>
      </c>
      <c r="BI143" s="62">
        <f ca="1">AVERAGE(OFFSET($BH$3,0,0,'Données projet'!$E$11+1,1))-AVERAGE(OFFSET($H$3,0,0,'Données projet'!$E$11+1,1))</f>
        <v>182.06733089745194</v>
      </c>
      <c r="BJ143" s="62">
        <f t="shared" si="146"/>
        <v>320.36755413886021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6.7644506142170879</v>
      </c>
      <c r="BQ143" s="23">
        <f>EXP(-LN(2)/25)*BQ142+(1-EXP(-LN(2)/25))/(LN(2)/25)*Calculateur!BL143*Calculateur!BN143*VLOOKUP('Données projet'!$B$11,Paramètres!$A$1:$I$89,3,0)*0.475*44/12</f>
        <v>0.60187920371835768</v>
      </c>
      <c r="BR143" s="23">
        <f>EXP(-LN(2)/2)*BR142+(1-EXP(-LN(2)/2))/(LN(2)/2)*BL143*BO143*VLOOKUP('Données projet'!$B$11,Paramètres!$A$1:$I$89,3,0)*0.475*44/12</f>
        <v>2.0549788429528021E-14</v>
      </c>
      <c r="BS143" s="24">
        <f t="shared" si="117"/>
        <v>7.3663298179354664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319.99999999999972</v>
      </c>
      <c r="BZ143" s="14">
        <f>BY143*VLOOKUP('Données projet'!$B$12,Paramètres!$A$1:$I$89,3,0)*VLOOKUP('Données projet'!$B$12,Paramètres!$A$1:$I$89,5,0)</f>
        <v>279.55199999999979</v>
      </c>
      <c r="CA143" s="14">
        <f t="shared" si="147"/>
        <v>66.872324781216591</v>
      </c>
      <c r="CB143" s="22">
        <f t="shared" si="118"/>
        <v>603.35569899395182</v>
      </c>
      <c r="CC143" s="62">
        <f t="shared" si="119"/>
        <v>896.68903232728508</v>
      </c>
      <c r="CD143" s="62">
        <f ca="1">AVERAGE(OFFSET($CC$3,0,0,'Données projet'!$E$12+1,1))-AVERAGE(OFFSET($H$3,0,0,'Données projet'!$E$12+1,1))</f>
        <v>248.60758320902863</v>
      </c>
      <c r="CE143" s="62">
        <f t="shared" si="148"/>
        <v>222.23585883330111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16.491323271375251</v>
      </c>
      <c r="CL143" s="23">
        <f>EXP(-LN(2)/25)*CL142+(1-EXP(-LN(2)/25))/(LN(2)/25)*Calculateur!CG143*Calculateur!CI143*VLOOKUP('Données projet'!$B$12,Paramètres!$A$1:$I$89,3,0)*0.475*44/12</f>
        <v>1.3639516725555045</v>
      </c>
      <c r="CM143" s="23">
        <f>EXP(-LN(2)/2)*CM142+(1-EXP(-LN(2)/2))/(LN(2)/2)*CG143*CJ143*VLOOKUP('Données projet'!$B$12,Paramètres!$A$1:$I$89,3,0)*0.475*44/12</f>
        <v>1.7488496326048569E-9</v>
      </c>
      <c r="CN143" s="24">
        <f t="shared" si="120"/>
        <v>17.855274945679604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193.99999999999994</v>
      </c>
      <c r="CU143" s="18">
        <f>CT143*VLOOKUP('Données projet'!$B$13,Paramètres!$A$1:$I$89,3,0)*VLOOKUP('Données projet'!$B$13,Paramètres!$A$1:$I$89,5,0)</f>
        <v>105.92399999999998</v>
      </c>
      <c r="CV143" s="14">
        <f t="shared" si="149"/>
        <v>28.36854701055546</v>
      </c>
      <c r="CW143" s="22">
        <f t="shared" si="121"/>
        <v>233.89285271005073</v>
      </c>
      <c r="CX143" s="62">
        <f t="shared" si="122"/>
        <v>527.22618604338402</v>
      </c>
      <c r="CY143" s="62">
        <f ca="1">AVERAGE(OFFSET($CX$3,0,0,'Données projet'!$E$13+1,1))-AVERAGE(OFFSET($H$3,0,0,'Données projet'!$E$13+1,1))</f>
        <v>135.44138026609272</v>
      </c>
      <c r="CZ143" s="62">
        <f t="shared" si="150"/>
        <v>254.77247578425659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7.4811202371026946</v>
      </c>
      <c r="DG143" s="23">
        <f>EXP(-LN(2)/25)*DG142+(1-EXP(-LN(2)/25))/(LN(2)/25)*Calculateur!DB143*Calculateur!DD143*VLOOKUP('Données projet'!$B$13,Paramètres!$A$1:$I$89,3,0)*0.475*44/12</f>
        <v>2.1426919273103127</v>
      </c>
      <c r="DH143" s="23">
        <f>EXP(-LN(2)/2)*DH142+(1-EXP(-LN(2)/2))/(LN(2)/2)*DB143*DE143*VLOOKUP('Données projet'!$B$13,Paramètres!$A$1:$I$89,3,0)*0.475*44/12</f>
        <v>2.3606569238708325E-15</v>
      </c>
      <c r="DI143" s="24">
        <f t="shared" si="123"/>
        <v>9.6238121644130086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273.00000000000023</v>
      </c>
      <c r="DP143" s="18">
        <f>DO143*VLOOKUP('Données projet'!$B$14,Paramètres!$A$1:$I$89,3,0)*VLOOKUP('Données projet'!$B$14,Paramètres!$A$1:$I$89,5,0)</f>
        <v>264.04560000000021</v>
      </c>
      <c r="DQ143" s="14">
        <f t="shared" si="151"/>
        <v>63.583959929973794</v>
      </c>
      <c r="DR143" s="22">
        <f t="shared" si="124"/>
        <v>570.6214835447048</v>
      </c>
      <c r="DS143" s="62">
        <f t="shared" si="125"/>
        <v>863.95481687803817</v>
      </c>
      <c r="DT143" s="62">
        <f ca="1">AVERAGE(OFFSET($DS$3,0,0,'Données projet'!$E$14+1,1))-AVERAGE(OFFSET($H$3,0,0,'Données projet'!$E$14+1,1))</f>
        <v>271.09447278906288</v>
      </c>
      <c r="DU143" s="62">
        <f t="shared" si="152"/>
        <v>325.1094067861851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8.3006383278696632</v>
      </c>
      <c r="EB143" s="23">
        <f>EXP(-LN(2)/25)*EB142+(1-EXP(-LN(2)/25))/(LN(2)/25)*Calculateur!DW143*Calculateur!DY143*VLOOKUP('Données projet'!$B$14,Paramètres!$A$1:$I$89,3,0)*0.475*44/12</f>
        <v>0.80050726002791839</v>
      </c>
      <c r="EC143" s="23">
        <f>EXP(-LN(2)/2)*EC142+(1-EXP(-LN(2)/2))/(LN(2)/2)*DW143*DZ143*VLOOKUP('Données projet'!$B$14,Paramètres!$A$1:$I$89,3,0)*0.475*44/12</f>
        <v>5.5422437723184305E-12</v>
      </c>
      <c r="ED143" s="24">
        <f t="shared" si="126"/>
        <v>9.1011455879031242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273.00000000000023</v>
      </c>
      <c r="EK143" s="18">
        <f>EJ143*VLOOKUP('Données projet'!$B$15,Paramètres!$A$1:$I$89,3,0)*VLOOKUP('Données projet'!$B$15,Paramètres!$A$1:$I$89,5,0)</f>
        <v>293.85720000000026</v>
      </c>
      <c r="EL143" s="14">
        <f t="shared" si="153"/>
        <v>69.887150190339895</v>
      </c>
      <c r="EM143" s="22">
        <f t="shared" si="127"/>
        <v>633.52140991484237</v>
      </c>
      <c r="EN143" s="62">
        <f t="shared" si="128"/>
        <v>926.85474324817574</v>
      </c>
      <c r="EO143" s="62">
        <f ca="1">AVERAGE(OFFSET($EN$3,0,0,'Données projet'!$E$15+1,1))-AVERAGE(OFFSET($H$3,0,0,'Données projet'!$E$15+1,1))</f>
        <v>306.50593475734655</v>
      </c>
      <c r="EP143" s="62">
        <f t="shared" si="154"/>
        <v>366.48643801375079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9.2378071713388188</v>
      </c>
      <c r="EW143" s="23">
        <f>EXP(-LN(2)/25)*EW142+(1-EXP(-LN(2)/25))/(LN(2)/25)*Calculateur!ER143*Calculateur!ET143*VLOOKUP('Données projet'!$B$15,Paramètres!$A$1:$I$89,3,0)*0.475*44/12</f>
        <v>0.89088711196655357</v>
      </c>
      <c r="EX143" s="23">
        <f>EXP(-LN(2)/2)*EX142+(1-EXP(-LN(2)/2))/(LN(2)/2)*ER143*EU143*VLOOKUP('Données projet'!$B$15,Paramètres!$A$1:$I$89,3,0)*0.475*44/12</f>
        <v>6.1679809724188951E-12</v>
      </c>
      <c r="EY143" s="24">
        <f t="shared" si="129"/>
        <v>10.128694283311539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103.38119999999967</v>
      </c>
      <c r="D144" s="12">
        <f t="shared" si="140"/>
        <v>27.765956260923254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1012.3640132422121</v>
      </c>
      <c r="H144" s="70">
        <f t="shared" si="110"/>
        <v>521.74796382110731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306.99999999999994</v>
      </c>
      <c r="O144" s="14">
        <f>N144*VLOOKUP('Données projet'!$B$9,Paramètres!$A$1:$I$89,3,0)*VLOOKUP('Données projet'!$B$9,Paramètres!$A$1:$I$89,5,0)</f>
        <v>277.77359999999993</v>
      </c>
      <c r="P144" s="14">
        <f t="shared" si="141"/>
        <v>66.496288176842356</v>
      </c>
      <c r="Q144" s="22">
        <f t="shared" si="108"/>
        <v>599.60338857466706</v>
      </c>
      <c r="R144" s="62">
        <f t="shared" si="109"/>
        <v>892.93672190800044</v>
      </c>
      <c r="S144" s="62">
        <f ca="1">AVERAGE(OFFSET($R$3,0,0,'Données projet'!$E$9+1,1))-AVERAGE(OFFSET($H$3,0,0,'Données projet'!$E$9+1,1))</f>
        <v>312.57314929661908</v>
      </c>
      <c r="T144" s="62">
        <f t="shared" si="142"/>
        <v>190.92100876773804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45.851717211396739</v>
      </c>
      <c r="AA144" s="23">
        <f>EXP(-LN(2)/25)*AA143+(1-EXP(-LN(2)/25))/(LN(2)/25)*Calculateur!V144*Calculateur!X144*VLOOKUP('Données projet'!$B$9,Paramètres!$A$1:$I$89,3,0)*0.475*44/12</f>
        <v>1.613174093556081</v>
      </c>
      <c r="AB144" s="23">
        <f>EXP(-LN(2)/2)*AB143+(1-EXP(-LN(2)/2))/(LN(2)/2)*V144*Y144*VLOOKUP('Données projet'!$B$9,Paramètres!$A$1:$I$89,3,0)*0.475*44/12</f>
        <v>1.8391897376877778E-4</v>
      </c>
      <c r="AC144" s="24">
        <f t="shared" si="111"/>
        <v>47.46507522392659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306.99999999999994</v>
      </c>
      <c r="AJ144" s="14">
        <f>AI144*VLOOKUP('Données projet'!$B$10,Paramètres!$A$1:$I$89,3,0)*VLOOKUP('Données projet'!$B$10,Paramètres!$A$1:$I$89,5,0)</f>
        <v>311.298</v>
      </c>
      <c r="AK144" s="14">
        <f t="shared" si="143"/>
        <v>73.539838278528748</v>
      </c>
      <c r="AL144" s="22">
        <f t="shared" si="112"/>
        <v>670.25923500177089</v>
      </c>
      <c r="AM144" s="62">
        <f t="shared" si="113"/>
        <v>963.59256833510426</v>
      </c>
      <c r="AN144" s="62">
        <f ca="1">AVERAGE(OFFSET($AM$3,0,0,'Données projet'!$E$10+1,1))-AVERAGE(OFFSET($H$3,0,0,'Données projet'!$E$10+1,1))</f>
        <v>360.56293184044779</v>
      </c>
      <c r="AO144" s="62">
        <f t="shared" si="144"/>
        <v>219.32252911220542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51.385545150703209</v>
      </c>
      <c r="AV144" s="23">
        <f>EXP(-LN(2)/25)*AV143+(1-EXP(-LN(2)/25))/(LN(2)/25)*Calculateur!AQ144*Calculateur!AS144*VLOOKUP('Données projet'!$B$10,Paramètres!$A$1:$I$89,3,0)*0.475*44/12</f>
        <v>1.8078675186404356</v>
      </c>
      <c r="AW144" s="23">
        <f>EXP(-LN(2)/2)*AW143+(1-EXP(-LN(2)/2))/(LN(2)/2)*AQ144*AT144*VLOOKUP('Données projet'!$B$10,Paramètres!$A$1:$I$89,3,0)*0.475*44/12</f>
        <v>2.0611609129259583E-4</v>
      </c>
      <c r="AX144" s="23">
        <f t="shared" si="114"/>
        <v>53.193618785434936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1.1368683772161603E-13</v>
      </c>
      <c r="BE144" s="14">
        <f>BD144*VLOOKUP('Données projet'!$B$11,Paramètres!$A$1:$I$89,3,0)*VLOOKUP('Données projet'!$B$11,Paramètres!$A$1:$I$89,5,0)</f>
        <v>8.3355189417488869E-14</v>
      </c>
      <c r="BF144" s="14">
        <f t="shared" si="145"/>
        <v>1.2790518435140618E-12</v>
      </c>
      <c r="BG144" s="22">
        <f t="shared" si="115"/>
        <v>2.3728589156891171E-12</v>
      </c>
      <c r="BH144" s="62">
        <f t="shared" si="116"/>
        <v>293.3333333333357</v>
      </c>
      <c r="BI144" s="62">
        <f ca="1">AVERAGE(OFFSET($BH$3,0,0,'Données projet'!$E$11+1,1))-AVERAGE(OFFSET($H$3,0,0,'Données projet'!$E$11+1,1))</f>
        <v>182.06733089745194</v>
      </c>
      <c r="BJ144" s="62">
        <f t="shared" si="146"/>
        <v>320.36755413886021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6.6318038635797656</v>
      </c>
      <c r="BQ144" s="23">
        <f>EXP(-LN(2)/25)*BQ143+(1-EXP(-LN(2)/25))/(LN(2)/25)*Calculateur!BL144*Calculateur!BN144*VLOOKUP('Données projet'!$B$11,Paramètres!$A$1:$I$89,3,0)*0.475*44/12</f>
        <v>0.58542078524122743</v>
      </c>
      <c r="BR144" s="23">
        <f>EXP(-LN(2)/2)*BR143+(1-EXP(-LN(2)/2))/(LN(2)/2)*BL144*BO144*VLOOKUP('Données projet'!$B$11,Paramètres!$A$1:$I$89,3,0)*0.475*44/12</f>
        <v>1.4530894750468117E-14</v>
      </c>
      <c r="BS144" s="24">
        <f t="shared" si="117"/>
        <v>7.2172246488210074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319.99999999999972</v>
      </c>
      <c r="BZ144" s="14">
        <f>BY144*VLOOKUP('Données projet'!$B$12,Paramètres!$A$1:$I$89,3,0)*VLOOKUP('Données projet'!$B$12,Paramètres!$A$1:$I$89,5,0)</f>
        <v>279.55199999999979</v>
      </c>
      <c r="CA144" s="14">
        <f t="shared" si="147"/>
        <v>66.872324781216591</v>
      </c>
      <c r="CB144" s="22">
        <f t="shared" si="118"/>
        <v>603.35569899395182</v>
      </c>
      <c r="CC144" s="62">
        <f t="shared" si="119"/>
        <v>896.68903232728508</v>
      </c>
      <c r="CD144" s="62">
        <f ca="1">AVERAGE(OFFSET($CC$3,0,0,'Données projet'!$E$12+1,1))-AVERAGE(OFFSET($H$3,0,0,'Données projet'!$E$12+1,1))</f>
        <v>248.60758320902863</v>
      </c>
      <c r="CE144" s="62">
        <f t="shared" si="148"/>
        <v>222.23585883330111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16.167938480737561</v>
      </c>
      <c r="CL144" s="23">
        <f>EXP(-LN(2)/25)*CL143+(1-EXP(-LN(2)/25))/(LN(2)/25)*Calculateur!CG144*Calculateur!CI144*VLOOKUP('Données projet'!$B$12,Paramètres!$A$1:$I$89,3,0)*0.475*44/12</f>
        <v>1.3266543423423731</v>
      </c>
      <c r="CM144" s="23">
        <f>EXP(-LN(2)/2)*CM143+(1-EXP(-LN(2)/2))/(LN(2)/2)*CG144*CJ144*VLOOKUP('Données projet'!$B$12,Paramètres!$A$1:$I$89,3,0)*0.475*44/12</f>
        <v>1.2366234344904966E-9</v>
      </c>
      <c r="CN144" s="24">
        <f t="shared" si="120"/>
        <v>17.494592824316559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193.99999999999994</v>
      </c>
      <c r="CU144" s="18">
        <f>CT144*VLOOKUP('Données projet'!$B$13,Paramètres!$A$1:$I$89,3,0)*VLOOKUP('Données projet'!$B$13,Paramètres!$A$1:$I$89,5,0)</f>
        <v>105.92399999999998</v>
      </c>
      <c r="CV144" s="14">
        <f t="shared" si="149"/>
        <v>28.36854701055546</v>
      </c>
      <c r="CW144" s="22">
        <f t="shared" si="121"/>
        <v>233.89285271005073</v>
      </c>
      <c r="CX144" s="62">
        <f t="shared" si="122"/>
        <v>527.22618604338402</v>
      </c>
      <c r="CY144" s="62">
        <f ca="1">AVERAGE(OFFSET($CX$3,0,0,'Données projet'!$E$13+1,1))-AVERAGE(OFFSET($H$3,0,0,'Données projet'!$E$13+1,1))</f>
        <v>135.44138026609272</v>
      </c>
      <c r="CZ144" s="62">
        <f t="shared" si="150"/>
        <v>254.77247578425659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7.3344200322858937</v>
      </c>
      <c r="DG144" s="23">
        <f>EXP(-LN(2)/25)*DG143+(1-EXP(-LN(2)/25))/(LN(2)/25)*Calculateur!DB144*Calculateur!DD144*VLOOKUP('Données projet'!$B$13,Paramètres!$A$1:$I$89,3,0)*0.475*44/12</f>
        <v>2.0840999038787409</v>
      </c>
      <c r="DH144" s="23">
        <f>EXP(-LN(2)/2)*DH143+(1-EXP(-LN(2)/2))/(LN(2)/2)*DB144*DE144*VLOOKUP('Données projet'!$B$13,Paramètres!$A$1:$I$89,3,0)*0.475*44/12</f>
        <v>1.6692365189240412E-15</v>
      </c>
      <c r="DI144" s="24">
        <f t="shared" si="123"/>
        <v>9.4185199361646372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273.00000000000023</v>
      </c>
      <c r="DP144" s="18">
        <f>DO144*VLOOKUP('Données projet'!$B$14,Paramètres!$A$1:$I$89,3,0)*VLOOKUP('Données projet'!$B$14,Paramètres!$A$1:$I$89,5,0)</f>
        <v>264.04560000000021</v>
      </c>
      <c r="DQ144" s="14">
        <f t="shared" si="151"/>
        <v>63.583959929973794</v>
      </c>
      <c r="DR144" s="22">
        <f t="shared" si="124"/>
        <v>570.6214835447048</v>
      </c>
      <c r="DS144" s="62">
        <f t="shared" si="125"/>
        <v>863.95481687803817</v>
      </c>
      <c r="DT144" s="62">
        <f ca="1">AVERAGE(OFFSET($DS$3,0,0,'Données projet'!$E$14+1,1))-AVERAGE(OFFSET($H$3,0,0,'Données projet'!$E$14+1,1))</f>
        <v>271.09447278906288</v>
      </c>
      <c r="DU144" s="62">
        <f t="shared" si="152"/>
        <v>325.1094067861851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8.1378678731496006</v>
      </c>
      <c r="EB144" s="23">
        <f>EXP(-LN(2)/25)*EB143+(1-EXP(-LN(2)/25))/(LN(2)/25)*Calculateur!DW144*Calculateur!DY144*VLOOKUP('Données projet'!$B$14,Paramètres!$A$1:$I$89,3,0)*0.475*44/12</f>
        <v>0.77861734690560769</v>
      </c>
      <c r="EC144" s="23">
        <f>EXP(-LN(2)/2)*EC143+(1-EXP(-LN(2)/2))/(LN(2)/2)*DW144*DZ144*VLOOKUP('Données projet'!$B$14,Paramètres!$A$1:$I$89,3,0)*0.475*44/12</f>
        <v>3.9189581543952741E-12</v>
      </c>
      <c r="ED144" s="24">
        <f t="shared" si="126"/>
        <v>8.9164852200591262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273.00000000000023</v>
      </c>
      <c r="EK144" s="18">
        <f>EJ144*VLOOKUP('Données projet'!$B$15,Paramètres!$A$1:$I$89,3,0)*VLOOKUP('Données projet'!$B$15,Paramètres!$A$1:$I$89,5,0)</f>
        <v>293.85720000000026</v>
      </c>
      <c r="EL144" s="14">
        <f t="shared" si="153"/>
        <v>69.887150190339895</v>
      </c>
      <c r="EM144" s="22">
        <f t="shared" si="127"/>
        <v>633.52140991484237</v>
      </c>
      <c r="EN144" s="62">
        <f t="shared" si="128"/>
        <v>926.85474324817574</v>
      </c>
      <c r="EO144" s="62">
        <f ca="1">AVERAGE(OFFSET($EN$3,0,0,'Données projet'!$E$15+1,1))-AVERAGE(OFFSET($H$3,0,0,'Données projet'!$E$15+1,1))</f>
        <v>306.50593475734655</v>
      </c>
      <c r="EP144" s="62">
        <f t="shared" si="154"/>
        <v>366.48643801375079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9.0566594072148785</v>
      </c>
      <c r="EW144" s="23">
        <f>EXP(-LN(2)/25)*EW143+(1-EXP(-LN(2)/25))/(LN(2)/25)*Calculateur!ER144*Calculateur!ET144*VLOOKUP('Données projet'!$B$15,Paramètres!$A$1:$I$89,3,0)*0.475*44/12</f>
        <v>0.86652575704011114</v>
      </c>
      <c r="EX144" s="23">
        <f>EXP(-LN(2)/2)*EX143+(1-EXP(-LN(2)/2))/(LN(2)/2)*ER144*EU144*VLOOKUP('Données projet'!$B$15,Paramètres!$A$1:$I$89,3,0)*0.475*44/12</f>
        <v>4.3614211718269962E-12</v>
      </c>
      <c r="EY144" s="24">
        <f t="shared" si="129"/>
        <v>9.9231851642593512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104.11439999999966</v>
      </c>
      <c r="D145" s="12">
        <f t="shared" si="140"/>
        <v>27.939884621063818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1019.3664076011919</v>
      </c>
      <c r="H145" s="70">
        <f t="shared" si="110"/>
        <v>523.3278790483522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306.99999999999994</v>
      </c>
      <c r="O145" s="14">
        <f>N145*VLOOKUP('Données projet'!$B$9,Paramètres!$A$1:$I$89,3,0)*VLOOKUP('Données projet'!$B$9,Paramètres!$A$1:$I$89,5,0)</f>
        <v>277.77359999999993</v>
      </c>
      <c r="P145" s="14">
        <f t="shared" si="141"/>
        <v>66.496288176842356</v>
      </c>
      <c r="Q145" s="22">
        <f t="shared" si="108"/>
        <v>599.60338857466706</v>
      </c>
      <c r="R145" s="62">
        <f t="shared" si="109"/>
        <v>892.93672190800044</v>
      </c>
      <c r="S145" s="62">
        <f ca="1">AVERAGE(OFFSET($R$3,0,0,'Données projet'!$E$9+1,1))-AVERAGE(OFFSET($H$3,0,0,'Données projet'!$E$9+1,1))</f>
        <v>312.57314929661908</v>
      </c>
      <c r="T145" s="62">
        <f t="shared" si="142"/>
        <v>190.92100876773804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44.952593003667261</v>
      </c>
      <c r="AA145" s="23">
        <f>EXP(-LN(2)/25)*AA144+(1-EXP(-LN(2)/25))/(LN(2)/25)*Calculateur!V145*Calculateur!X145*VLOOKUP('Données projet'!$B$9,Paramètres!$A$1:$I$89,3,0)*0.475*44/12</f>
        <v>1.5690617631346513</v>
      </c>
      <c r="AB145" s="23">
        <f>EXP(-LN(2)/2)*AB144+(1-EXP(-LN(2)/2))/(LN(2)/2)*V145*Y145*VLOOKUP('Données projet'!$B$9,Paramètres!$A$1:$I$89,3,0)*0.475*44/12</f>
        <v>1.3005035354077352E-4</v>
      </c>
      <c r="AC145" s="24">
        <f t="shared" si="111"/>
        <v>46.521784817155449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306.99999999999994</v>
      </c>
      <c r="AJ145" s="14">
        <f>AI145*VLOOKUP('Données projet'!$B$10,Paramètres!$A$1:$I$89,3,0)*VLOOKUP('Données projet'!$B$10,Paramètres!$A$1:$I$89,5,0)</f>
        <v>311.298</v>
      </c>
      <c r="AK145" s="14">
        <f t="shared" si="143"/>
        <v>73.539838278528748</v>
      </c>
      <c r="AL145" s="22">
        <f t="shared" si="112"/>
        <v>670.25923500177089</v>
      </c>
      <c r="AM145" s="62">
        <f t="shared" si="113"/>
        <v>963.59256833510426</v>
      </c>
      <c r="AN145" s="62">
        <f ca="1">AVERAGE(OFFSET($AM$3,0,0,'Données projet'!$E$10+1,1))-AVERAGE(OFFSET($H$3,0,0,'Données projet'!$E$10+1,1))</f>
        <v>360.56293184044779</v>
      </c>
      <c r="AO145" s="62">
        <f t="shared" si="144"/>
        <v>219.32252911220542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50.377905952385689</v>
      </c>
      <c r="AV145" s="23">
        <f>EXP(-LN(2)/25)*AV144+(1-EXP(-LN(2)/25))/(LN(2)/25)*Calculateur!AQ145*Calculateur!AS145*VLOOKUP('Données projet'!$B$10,Paramètres!$A$1:$I$89,3,0)*0.475*44/12</f>
        <v>1.7584312862715921</v>
      </c>
      <c r="AW145" s="23">
        <f>EXP(-LN(2)/2)*AW144+(1-EXP(-LN(2)/2))/(LN(2)/2)*AQ145*AT145*VLOOKUP('Données projet'!$B$10,Paramètres!$A$1:$I$89,3,0)*0.475*44/12</f>
        <v>1.4574608586466001E-4</v>
      </c>
      <c r="AX145" s="23">
        <f t="shared" si="114"/>
        <v>52.136482984743147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1.1368683772161603E-13</v>
      </c>
      <c r="BE145" s="14">
        <f>BD145*VLOOKUP('Données projet'!$B$11,Paramètres!$A$1:$I$89,3,0)*VLOOKUP('Données projet'!$B$11,Paramètres!$A$1:$I$89,5,0)</f>
        <v>8.3355189417488869E-14</v>
      </c>
      <c r="BF145" s="14">
        <f t="shared" si="145"/>
        <v>1.2790518435140618E-12</v>
      </c>
      <c r="BG145" s="22">
        <f t="shared" si="115"/>
        <v>2.3728589156891171E-12</v>
      </c>
      <c r="BH145" s="62">
        <f t="shared" si="116"/>
        <v>293.3333333333357</v>
      </c>
      <c r="BI145" s="62">
        <f ca="1">AVERAGE(OFFSET($BH$3,0,0,'Données projet'!$E$11+1,1))-AVERAGE(OFFSET($H$3,0,0,'Données projet'!$E$11+1,1))</f>
        <v>182.06733089745194</v>
      </c>
      <c r="BJ145" s="62">
        <f t="shared" si="146"/>
        <v>320.36755413886021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6.5017582348159122</v>
      </c>
      <c r="BQ145" s="23">
        <f>EXP(-LN(2)/25)*BQ144+(1-EXP(-LN(2)/25))/(LN(2)/25)*Calculateur!BL145*Calculateur!BN145*VLOOKUP('Données projet'!$B$11,Paramètres!$A$1:$I$89,3,0)*0.475*44/12</f>
        <v>0.56941242308286499</v>
      </c>
      <c r="BR145" s="23">
        <f>EXP(-LN(2)/2)*BR144+(1-EXP(-LN(2)/2))/(LN(2)/2)*BL145*BO145*VLOOKUP('Données projet'!$B$11,Paramètres!$A$1:$I$89,3,0)*0.475*44/12</f>
        <v>1.0274894214764011E-14</v>
      </c>
      <c r="BS145" s="24">
        <f t="shared" si="117"/>
        <v>7.0711706578987883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319.99999999999972</v>
      </c>
      <c r="BZ145" s="14">
        <f>BY145*VLOOKUP('Données projet'!$B$12,Paramètres!$A$1:$I$89,3,0)*VLOOKUP('Données projet'!$B$12,Paramètres!$A$1:$I$89,5,0)</f>
        <v>279.55199999999979</v>
      </c>
      <c r="CA145" s="14">
        <f t="shared" si="147"/>
        <v>66.872324781216591</v>
      </c>
      <c r="CB145" s="22">
        <f t="shared" si="118"/>
        <v>603.35569899395182</v>
      </c>
      <c r="CC145" s="62">
        <f t="shared" si="119"/>
        <v>896.68903232728508</v>
      </c>
      <c r="CD145" s="62">
        <f ca="1">AVERAGE(OFFSET($CC$3,0,0,'Données projet'!$E$12+1,1))-AVERAGE(OFFSET($H$3,0,0,'Données projet'!$E$12+1,1))</f>
        <v>248.60758320902863</v>
      </c>
      <c r="CE145" s="62">
        <f t="shared" si="148"/>
        <v>222.23585883330111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15.850895068599032</v>
      </c>
      <c r="CL145" s="23">
        <f>EXP(-LN(2)/25)*CL144+(1-EXP(-LN(2)/25))/(LN(2)/25)*Calculateur!CG145*Calculateur!CI145*VLOOKUP('Données projet'!$B$12,Paramètres!$A$1:$I$89,3,0)*0.475*44/12</f>
        <v>1.2903769095853013</v>
      </c>
      <c r="CM145" s="23">
        <f>EXP(-LN(2)/2)*CM144+(1-EXP(-LN(2)/2))/(LN(2)/2)*CG145*CJ145*VLOOKUP('Données projet'!$B$12,Paramètres!$A$1:$I$89,3,0)*0.475*44/12</f>
        <v>8.7442481630242846E-10</v>
      </c>
      <c r="CN145" s="24">
        <f t="shared" si="120"/>
        <v>17.141271979058757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193.99999999999994</v>
      </c>
      <c r="CU145" s="18">
        <f>CT145*VLOOKUP('Données projet'!$B$13,Paramètres!$A$1:$I$89,3,0)*VLOOKUP('Données projet'!$B$13,Paramètres!$A$1:$I$89,5,0)</f>
        <v>105.92399999999998</v>
      </c>
      <c r="CV145" s="14">
        <f t="shared" si="149"/>
        <v>28.36854701055546</v>
      </c>
      <c r="CW145" s="22">
        <f t="shared" si="121"/>
        <v>233.89285271005073</v>
      </c>
      <c r="CX145" s="62">
        <f t="shared" si="122"/>
        <v>527.22618604338402</v>
      </c>
      <c r="CY145" s="62">
        <f ca="1">AVERAGE(OFFSET($CX$3,0,0,'Données projet'!$E$13+1,1))-AVERAGE(OFFSET($H$3,0,0,'Données projet'!$E$13+1,1))</f>
        <v>135.44138026609272</v>
      </c>
      <c r="CZ145" s="62">
        <f t="shared" si="150"/>
        <v>254.77247578425659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7.1905965290072604</v>
      </c>
      <c r="DG145" s="23">
        <f>EXP(-LN(2)/25)*DG144+(1-EXP(-LN(2)/25))/(LN(2)/25)*Calculateur!DB145*Calculateur!DD145*VLOOKUP('Données projet'!$B$13,Paramètres!$A$1:$I$89,3,0)*0.475*44/12</f>
        <v>2.0271100824091262</v>
      </c>
      <c r="DH145" s="23">
        <f>EXP(-LN(2)/2)*DH144+(1-EXP(-LN(2)/2))/(LN(2)/2)*DB145*DE145*VLOOKUP('Données projet'!$B$13,Paramètres!$A$1:$I$89,3,0)*0.475*44/12</f>
        <v>1.1803284619354163E-15</v>
      </c>
      <c r="DI145" s="24">
        <f t="shared" si="123"/>
        <v>9.2177066114163875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273.00000000000023</v>
      </c>
      <c r="DP145" s="18">
        <f>DO145*VLOOKUP('Données projet'!$B$14,Paramètres!$A$1:$I$89,3,0)*VLOOKUP('Données projet'!$B$14,Paramètres!$A$1:$I$89,5,0)</f>
        <v>264.04560000000021</v>
      </c>
      <c r="DQ145" s="14">
        <f t="shared" si="151"/>
        <v>63.583959929973794</v>
      </c>
      <c r="DR145" s="22">
        <f t="shared" si="124"/>
        <v>570.6214835447048</v>
      </c>
      <c r="DS145" s="62">
        <f t="shared" si="125"/>
        <v>863.95481687803817</v>
      </c>
      <c r="DT145" s="62">
        <f ca="1">AVERAGE(OFFSET($DS$3,0,0,'Données projet'!$E$14+1,1))-AVERAGE(OFFSET($H$3,0,0,'Données projet'!$E$14+1,1))</f>
        <v>271.09447278906288</v>
      </c>
      <c r="DU145" s="62">
        <f t="shared" si="152"/>
        <v>325.1094067861851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7.9782892477664236</v>
      </c>
      <c r="EB145" s="23">
        <f>EXP(-LN(2)/25)*EB144+(1-EXP(-LN(2)/25))/(LN(2)/25)*Calculateur!DW145*Calculateur!DY145*VLOOKUP('Données projet'!$B$14,Paramètres!$A$1:$I$89,3,0)*0.475*44/12</f>
        <v>0.75732601460876714</v>
      </c>
      <c r="EC145" s="23">
        <f>EXP(-LN(2)/2)*EC144+(1-EXP(-LN(2)/2))/(LN(2)/2)*DW145*DZ145*VLOOKUP('Données projet'!$B$14,Paramètres!$A$1:$I$89,3,0)*0.475*44/12</f>
        <v>2.7711218861592152E-12</v>
      </c>
      <c r="ED145" s="24">
        <f t="shared" si="126"/>
        <v>8.7356152623779622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273.00000000000023</v>
      </c>
      <c r="EK145" s="18">
        <f>EJ145*VLOOKUP('Données projet'!$B$15,Paramètres!$A$1:$I$89,3,0)*VLOOKUP('Données projet'!$B$15,Paramètres!$A$1:$I$89,5,0)</f>
        <v>293.85720000000026</v>
      </c>
      <c r="EL145" s="14">
        <f t="shared" si="153"/>
        <v>69.887150190339895</v>
      </c>
      <c r="EM145" s="22">
        <f t="shared" si="127"/>
        <v>633.52140991484237</v>
      </c>
      <c r="EN145" s="62">
        <f t="shared" si="128"/>
        <v>926.85474324817574</v>
      </c>
      <c r="EO145" s="62">
        <f ca="1">AVERAGE(OFFSET($EN$3,0,0,'Données projet'!$E$15+1,1))-AVERAGE(OFFSET($H$3,0,0,'Données projet'!$E$15+1,1))</f>
        <v>306.50593475734655</v>
      </c>
      <c r="EP145" s="62">
        <f t="shared" si="154"/>
        <v>366.48643801375079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8.8790638402561815</v>
      </c>
      <c r="EW145" s="23">
        <f>EXP(-LN(2)/25)*EW144+(1-EXP(-LN(2)/25))/(LN(2)/25)*Calculateur!ER145*Calculateur!ET145*VLOOKUP('Données projet'!$B$15,Paramètres!$A$1:$I$89,3,0)*0.475*44/12</f>
        <v>0.8428305646452402</v>
      </c>
      <c r="EX145" s="23">
        <f>EXP(-LN(2)/2)*EX144+(1-EXP(-LN(2)/2))/(LN(2)/2)*ER145*EU145*VLOOKUP('Données projet'!$B$15,Paramètres!$A$1:$I$89,3,0)*0.475*44/12</f>
        <v>3.0839904862094475E-12</v>
      </c>
      <c r="EY145" s="24">
        <f t="shared" si="129"/>
        <v>9.7218944049045053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104.84759999999966</v>
      </c>
      <c r="D146" s="12">
        <f t="shared" si="140"/>
        <v>28.113670466115568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1026.3677018436965</v>
      </c>
      <c r="H146" s="70">
        <f t="shared" si="110"/>
        <v>524.90754606181736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306.99999999999994</v>
      </c>
      <c r="O146" s="14">
        <f>N146*VLOOKUP('Données projet'!$B$9,Paramètres!$A$1:$I$89,3,0)*VLOOKUP('Données projet'!$B$9,Paramètres!$A$1:$I$89,5,0)</f>
        <v>277.77359999999993</v>
      </c>
      <c r="P146" s="14">
        <f t="shared" si="141"/>
        <v>66.496288176842356</v>
      </c>
      <c r="Q146" s="22">
        <f t="shared" si="108"/>
        <v>599.60338857466706</v>
      </c>
      <c r="R146" s="62">
        <f t="shared" si="109"/>
        <v>892.93672190800044</v>
      </c>
      <c r="S146" s="62">
        <f ca="1">AVERAGE(OFFSET($R$3,0,0,'Données projet'!$E$9+1,1))-AVERAGE(OFFSET($H$3,0,0,'Données projet'!$E$9+1,1))</f>
        <v>312.57314929661908</v>
      </c>
      <c r="T146" s="62">
        <f t="shared" si="142"/>
        <v>190.92100876773804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44.071100073239741</v>
      </c>
      <c r="AA146" s="23">
        <f>EXP(-LN(2)/25)*AA145+(1-EXP(-LN(2)/25))/(LN(2)/25)*Calculateur!V146*Calculateur!X146*VLOOKUP('Données projet'!$B$9,Paramètres!$A$1:$I$89,3,0)*0.475*44/12</f>
        <v>1.5261556867083623</v>
      </c>
      <c r="AB146" s="23">
        <f>EXP(-LN(2)/2)*AB145+(1-EXP(-LN(2)/2))/(LN(2)/2)*V146*Y146*VLOOKUP('Données projet'!$B$9,Paramètres!$A$1:$I$89,3,0)*0.475*44/12</f>
        <v>9.195948688438889E-5</v>
      </c>
      <c r="AC146" s="24">
        <f t="shared" si="111"/>
        <v>45.597347719434993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306.99999999999994</v>
      </c>
      <c r="AJ146" s="14">
        <f>AI146*VLOOKUP('Données projet'!$B$10,Paramètres!$A$1:$I$89,3,0)*VLOOKUP('Données projet'!$B$10,Paramètres!$A$1:$I$89,5,0)</f>
        <v>311.298</v>
      </c>
      <c r="AK146" s="14">
        <f t="shared" si="143"/>
        <v>73.539838278528748</v>
      </c>
      <c r="AL146" s="22">
        <f t="shared" si="112"/>
        <v>670.25923500177089</v>
      </c>
      <c r="AM146" s="62">
        <f t="shared" si="113"/>
        <v>963.59256833510426</v>
      </c>
      <c r="AN146" s="62">
        <f ca="1">AVERAGE(OFFSET($AM$3,0,0,'Données projet'!$E$10+1,1))-AVERAGE(OFFSET($H$3,0,0,'Données projet'!$E$10+1,1))</f>
        <v>360.56293184044779</v>
      </c>
      <c r="AO146" s="62">
        <f t="shared" si="144"/>
        <v>219.32252911220542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49.390025944147951</v>
      </c>
      <c r="AV146" s="23">
        <f>EXP(-LN(2)/25)*AV145+(1-EXP(-LN(2)/25))/(LN(2)/25)*Calculateur!AQ146*Calculateur!AS146*VLOOKUP('Données projet'!$B$10,Paramètres!$A$1:$I$89,3,0)*0.475*44/12</f>
        <v>1.710346890276613</v>
      </c>
      <c r="AW146" s="23">
        <f>EXP(-LN(2)/2)*AW145+(1-EXP(-LN(2)/2))/(LN(2)/2)*AQ146*AT146*VLOOKUP('Données projet'!$B$10,Paramètres!$A$1:$I$89,3,0)*0.475*44/12</f>
        <v>1.0305804564629791E-4</v>
      </c>
      <c r="AX146" s="23">
        <f t="shared" si="114"/>
        <v>51.100475892470207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1.1368683772161603E-13</v>
      </c>
      <c r="BE146" s="14">
        <f>BD146*VLOOKUP('Données projet'!$B$11,Paramètres!$A$1:$I$89,3,0)*VLOOKUP('Données projet'!$B$11,Paramètres!$A$1:$I$89,5,0)</f>
        <v>8.3355189417488869E-14</v>
      </c>
      <c r="BF146" s="14">
        <f t="shared" si="145"/>
        <v>1.2790518435140618E-12</v>
      </c>
      <c r="BG146" s="22">
        <f t="shared" si="115"/>
        <v>2.3728589156891171E-12</v>
      </c>
      <c r="BH146" s="62">
        <f t="shared" si="116"/>
        <v>293.3333333333357</v>
      </c>
      <c r="BI146" s="62">
        <f ca="1">AVERAGE(OFFSET($BH$3,0,0,'Données projet'!$E$11+1,1))-AVERAGE(OFFSET($H$3,0,0,'Données projet'!$E$11+1,1))</f>
        <v>182.06733089745194</v>
      </c>
      <c r="BJ146" s="62">
        <f t="shared" si="146"/>
        <v>320.36755413886021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6.3742627215121166</v>
      </c>
      <c r="BQ146" s="23">
        <f>EXP(-LN(2)/25)*BQ145+(1-EXP(-LN(2)/25))/(LN(2)/25)*Calculateur!BL146*Calculateur!BN146*VLOOKUP('Données projet'!$B$11,Paramètres!$A$1:$I$89,3,0)*0.475*44/12</f>
        <v>0.55384181042956615</v>
      </c>
      <c r="BR146" s="23">
        <f>EXP(-LN(2)/2)*BR145+(1-EXP(-LN(2)/2))/(LN(2)/2)*BL146*BO146*VLOOKUP('Données projet'!$B$11,Paramètres!$A$1:$I$89,3,0)*0.475*44/12</f>
        <v>7.2654473752340584E-15</v>
      </c>
      <c r="BS146" s="24">
        <f t="shared" si="117"/>
        <v>6.9281045319416901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319.99999999999972</v>
      </c>
      <c r="BZ146" s="14">
        <f>BY146*VLOOKUP('Données projet'!$B$12,Paramètres!$A$1:$I$89,3,0)*VLOOKUP('Données projet'!$B$12,Paramètres!$A$1:$I$89,5,0)</f>
        <v>279.55199999999979</v>
      </c>
      <c r="CA146" s="14">
        <f t="shared" si="147"/>
        <v>66.872324781216591</v>
      </c>
      <c r="CB146" s="22">
        <f t="shared" si="118"/>
        <v>603.35569899395182</v>
      </c>
      <c r="CC146" s="62">
        <f t="shared" si="119"/>
        <v>896.68903232728508</v>
      </c>
      <c r="CD146" s="62">
        <f ca="1">AVERAGE(OFFSET($CC$3,0,0,'Données projet'!$E$12+1,1))-AVERAGE(OFFSET($H$3,0,0,'Données projet'!$E$12+1,1))</f>
        <v>248.60758320902863</v>
      </c>
      <c r="CE146" s="62">
        <f t="shared" si="148"/>
        <v>222.23585883330111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15.540068684395152</v>
      </c>
      <c r="CL146" s="23">
        <f>EXP(-LN(2)/25)*CL145+(1-EXP(-LN(2)/25))/(LN(2)/25)*Calculateur!CG146*Calculateur!CI146*VLOOKUP('Données projet'!$B$12,Paramètres!$A$1:$I$89,3,0)*0.475*44/12</f>
        <v>1.2550914851347188</v>
      </c>
      <c r="CM146" s="23">
        <f>EXP(-LN(2)/2)*CM145+(1-EXP(-LN(2)/2))/(LN(2)/2)*CG146*CJ146*VLOOKUP('Données projet'!$B$12,Paramètres!$A$1:$I$89,3,0)*0.475*44/12</f>
        <v>6.1831171724524828E-10</v>
      </c>
      <c r="CN146" s="24">
        <f t="shared" si="120"/>
        <v>16.795160170148183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193.99999999999994</v>
      </c>
      <c r="CU146" s="18">
        <f>CT146*VLOOKUP('Données projet'!$B$13,Paramètres!$A$1:$I$89,3,0)*VLOOKUP('Données projet'!$B$13,Paramètres!$A$1:$I$89,5,0)</f>
        <v>105.92399999999998</v>
      </c>
      <c r="CV146" s="14">
        <f t="shared" si="149"/>
        <v>28.36854701055546</v>
      </c>
      <c r="CW146" s="22">
        <f t="shared" si="121"/>
        <v>233.89285271005073</v>
      </c>
      <c r="CX146" s="62">
        <f t="shared" si="122"/>
        <v>527.22618604338402</v>
      </c>
      <c r="CY146" s="62">
        <f ca="1">AVERAGE(OFFSET($CX$3,0,0,'Données projet'!$E$13+1,1))-AVERAGE(OFFSET($H$3,0,0,'Données projet'!$E$13+1,1))</f>
        <v>135.44138026609272</v>
      </c>
      <c r="CZ146" s="62">
        <f t="shared" si="150"/>
        <v>254.77247578425659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7.0495933169042457</v>
      </c>
      <c r="DG146" s="23">
        <f>EXP(-LN(2)/25)*DG145+(1-EXP(-LN(2)/25))/(LN(2)/25)*Calculateur!DB146*Calculateur!DD146*VLOOKUP('Données projet'!$B$13,Paramètres!$A$1:$I$89,3,0)*0.475*44/12</f>
        <v>1.9716786506045625</v>
      </c>
      <c r="DH146" s="23">
        <f>EXP(-LN(2)/2)*DH145+(1-EXP(-LN(2)/2))/(LN(2)/2)*DB146*DE146*VLOOKUP('Données projet'!$B$13,Paramètres!$A$1:$I$89,3,0)*0.475*44/12</f>
        <v>8.3461825946202059E-16</v>
      </c>
      <c r="DI146" s="24">
        <f t="shared" si="123"/>
        <v>9.0212719675088078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273.00000000000023</v>
      </c>
      <c r="DP146" s="18">
        <f>DO146*VLOOKUP('Données projet'!$B$14,Paramètres!$A$1:$I$89,3,0)*VLOOKUP('Données projet'!$B$14,Paramètres!$A$1:$I$89,5,0)</f>
        <v>264.04560000000021</v>
      </c>
      <c r="DQ146" s="14">
        <f t="shared" si="151"/>
        <v>63.583959929973794</v>
      </c>
      <c r="DR146" s="22">
        <f t="shared" si="124"/>
        <v>570.6214835447048</v>
      </c>
      <c r="DS146" s="62">
        <f t="shared" si="125"/>
        <v>863.95481687803817</v>
      </c>
      <c r="DT146" s="62">
        <f ca="1">AVERAGE(OFFSET($DS$3,0,0,'Données projet'!$E$14+1,1))-AVERAGE(OFFSET($H$3,0,0,'Données projet'!$E$14+1,1))</f>
        <v>271.09447278906288</v>
      </c>
      <c r="DU146" s="62">
        <f t="shared" si="152"/>
        <v>325.1094067861851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7.8218398618936602</v>
      </c>
      <c r="EB146" s="23">
        <f>EXP(-LN(2)/25)*EB145+(1-EXP(-LN(2)/25))/(LN(2)/25)*Calculateur!DW146*Calculateur!DY146*VLOOKUP('Données projet'!$B$14,Paramètres!$A$1:$I$89,3,0)*0.475*44/12</f>
        <v>0.73661689491324622</v>
      </c>
      <c r="EC146" s="23">
        <f>EXP(-LN(2)/2)*EC145+(1-EXP(-LN(2)/2))/(LN(2)/2)*DW146*DZ146*VLOOKUP('Données projet'!$B$14,Paramètres!$A$1:$I$89,3,0)*0.475*44/12</f>
        <v>1.9594790771976371E-12</v>
      </c>
      <c r="ED146" s="24">
        <f t="shared" si="126"/>
        <v>8.5584567568088659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273.00000000000023</v>
      </c>
      <c r="EK146" s="18">
        <f>EJ146*VLOOKUP('Données projet'!$B$15,Paramètres!$A$1:$I$89,3,0)*VLOOKUP('Données projet'!$B$15,Paramètres!$A$1:$I$89,5,0)</f>
        <v>293.85720000000026</v>
      </c>
      <c r="EL146" s="14">
        <f t="shared" si="153"/>
        <v>69.887150190339895</v>
      </c>
      <c r="EM146" s="22">
        <f t="shared" si="127"/>
        <v>633.52140991484237</v>
      </c>
      <c r="EN146" s="62">
        <f t="shared" si="128"/>
        <v>926.85474324817574</v>
      </c>
      <c r="EO146" s="62">
        <f ca="1">AVERAGE(OFFSET($EN$3,0,0,'Données projet'!$E$15+1,1))-AVERAGE(OFFSET($H$3,0,0,'Données projet'!$E$15+1,1))</f>
        <v>306.50593475734655</v>
      </c>
      <c r="EP146" s="62">
        <f t="shared" si="154"/>
        <v>366.48643801375079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8.7049508140429452</v>
      </c>
      <c r="EW146" s="23">
        <f>EXP(-LN(2)/25)*EW145+(1-EXP(-LN(2)/25))/(LN(2)/25)*Calculateur!ER146*Calculateur!ET146*VLOOKUP('Données projet'!$B$15,Paramètres!$A$1:$I$89,3,0)*0.475*44/12</f>
        <v>0.81978331853248299</v>
      </c>
      <c r="EX146" s="23">
        <f>EXP(-LN(2)/2)*EX145+(1-EXP(-LN(2)/2))/(LN(2)/2)*ER146*EU146*VLOOKUP('Données projet'!$B$15,Paramètres!$A$1:$I$89,3,0)*0.475*44/12</f>
        <v>2.1807105859134981E-12</v>
      </c>
      <c r="EY146" s="24">
        <f t="shared" si="129"/>
        <v>9.5247341325776098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105.58079999999966</v>
      </c>
      <c r="D147" s="12">
        <f t="shared" si="140"/>
        <v>28.287314908258214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1033.3679045549729</v>
      </c>
      <c r="H147" s="70">
        <f t="shared" si="110"/>
        <v>526.48696679854902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306.99999999999994</v>
      </c>
      <c r="O147" s="14">
        <f>N147*VLOOKUP('Données projet'!$B$9,Paramètres!$A$1:$I$89,3,0)*VLOOKUP('Données projet'!$B$9,Paramètres!$A$1:$I$89,5,0)</f>
        <v>277.77359999999993</v>
      </c>
      <c r="P147" s="14">
        <f t="shared" si="141"/>
        <v>66.496288176842356</v>
      </c>
      <c r="Q147" s="22">
        <f t="shared" si="108"/>
        <v>599.60338857466706</v>
      </c>
      <c r="R147" s="62">
        <f t="shared" si="109"/>
        <v>892.93672190800044</v>
      </c>
      <c r="S147" s="62">
        <f ca="1">AVERAGE(OFFSET($R$3,0,0,'Données projet'!$E$9+1,1))-AVERAGE(OFFSET($H$3,0,0,'Données projet'!$E$9+1,1))</f>
        <v>312.57314929661908</v>
      </c>
      <c r="T147" s="62">
        <f t="shared" si="142"/>
        <v>190.92100876773804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43.206892681520301</v>
      </c>
      <c r="AA147" s="23">
        <f>EXP(-LN(2)/25)*AA146+(1-EXP(-LN(2)/25))/(LN(2)/25)*Calculateur!V147*Calculateur!X147*VLOOKUP('Données projet'!$B$9,Paramètres!$A$1:$I$89,3,0)*0.475*44/12</f>
        <v>1.4844228791982828</v>
      </c>
      <c r="AB147" s="23">
        <f>EXP(-LN(2)/2)*AB146+(1-EXP(-LN(2)/2))/(LN(2)/2)*V147*Y147*VLOOKUP('Données projet'!$B$9,Paramètres!$A$1:$I$89,3,0)*0.475*44/12</f>
        <v>6.5025176770386762E-5</v>
      </c>
      <c r="AC147" s="24">
        <f t="shared" si="111"/>
        <v>44.691380585895359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306.99999999999994</v>
      </c>
      <c r="AJ147" s="14">
        <f>AI147*VLOOKUP('Données projet'!$B$10,Paramètres!$A$1:$I$89,3,0)*VLOOKUP('Données projet'!$B$10,Paramètres!$A$1:$I$89,5,0)</f>
        <v>311.298</v>
      </c>
      <c r="AK147" s="14">
        <f t="shared" si="143"/>
        <v>73.539838278528748</v>
      </c>
      <c r="AL147" s="22">
        <f t="shared" si="112"/>
        <v>670.25923500177089</v>
      </c>
      <c r="AM147" s="62">
        <f t="shared" si="113"/>
        <v>963.59256833510426</v>
      </c>
      <c r="AN147" s="62">
        <f ca="1">AVERAGE(OFFSET($AM$3,0,0,'Données projet'!$E$10+1,1))-AVERAGE(OFFSET($H$3,0,0,'Données projet'!$E$10+1,1))</f>
        <v>360.56293184044779</v>
      </c>
      <c r="AO147" s="62">
        <f t="shared" si="144"/>
        <v>219.32252911220542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48.421517660324447</v>
      </c>
      <c r="AV147" s="23">
        <f>EXP(-LN(2)/25)*AV146+(1-EXP(-LN(2)/25))/(LN(2)/25)*Calculateur!AQ147*Calculateur!AS147*VLOOKUP('Données projet'!$B$10,Paramètres!$A$1:$I$89,3,0)*0.475*44/12</f>
        <v>1.663577364618765</v>
      </c>
      <c r="AW147" s="23">
        <f>EXP(-LN(2)/2)*AW146+(1-EXP(-LN(2)/2))/(LN(2)/2)*AQ147*AT147*VLOOKUP('Données projet'!$B$10,Paramètres!$A$1:$I$89,3,0)*0.475*44/12</f>
        <v>7.2873042932330005E-5</v>
      </c>
      <c r="AX147" s="23">
        <f t="shared" si="114"/>
        <v>50.085167897986146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1.1368683772161603E-13</v>
      </c>
      <c r="BE147" s="14">
        <f>BD147*VLOOKUP('Données projet'!$B$11,Paramètres!$A$1:$I$89,3,0)*VLOOKUP('Données projet'!$B$11,Paramètres!$A$1:$I$89,5,0)</f>
        <v>8.3355189417488869E-14</v>
      </c>
      <c r="BF147" s="14">
        <f t="shared" si="145"/>
        <v>1.2790518435140618E-12</v>
      </c>
      <c r="BG147" s="22">
        <f t="shared" si="115"/>
        <v>2.3728589156891171E-12</v>
      </c>
      <c r="BH147" s="62">
        <f t="shared" si="116"/>
        <v>293.3333333333357</v>
      </c>
      <c r="BI147" s="62">
        <f ca="1">AVERAGE(OFFSET($BH$3,0,0,'Données projet'!$E$11+1,1))-AVERAGE(OFFSET($H$3,0,0,'Données projet'!$E$11+1,1))</f>
        <v>182.06733089745194</v>
      </c>
      <c r="BJ147" s="62">
        <f t="shared" si="146"/>
        <v>320.36755413886021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6.2492673174596245</v>
      </c>
      <c r="BQ147" s="23">
        <f>EXP(-LN(2)/25)*BQ146+(1-EXP(-LN(2)/25))/(LN(2)/25)*Calculateur!BL147*Calculateur!BN147*VLOOKUP('Données projet'!$B$11,Paramètres!$A$1:$I$89,3,0)*0.475*44/12</f>
        <v>0.53869697699809471</v>
      </c>
      <c r="BR147" s="23">
        <f>EXP(-LN(2)/2)*BR146+(1-EXP(-LN(2)/2))/(LN(2)/2)*BL147*BO147*VLOOKUP('Données projet'!$B$11,Paramètres!$A$1:$I$89,3,0)*0.475*44/12</f>
        <v>5.1374471073820054E-15</v>
      </c>
      <c r="BS147" s="24">
        <f t="shared" si="117"/>
        <v>6.7879642944577245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319.99999999999972</v>
      </c>
      <c r="BZ147" s="14">
        <f>BY147*VLOOKUP('Données projet'!$B$12,Paramètres!$A$1:$I$89,3,0)*VLOOKUP('Données projet'!$B$12,Paramètres!$A$1:$I$89,5,0)</f>
        <v>279.55199999999979</v>
      </c>
      <c r="CA147" s="14">
        <f t="shared" si="147"/>
        <v>66.872324781216591</v>
      </c>
      <c r="CB147" s="22">
        <f t="shared" si="118"/>
        <v>603.35569899395182</v>
      </c>
      <c r="CC147" s="62">
        <f t="shared" si="119"/>
        <v>896.68903232728508</v>
      </c>
      <c r="CD147" s="62">
        <f ca="1">AVERAGE(OFFSET($CC$3,0,0,'Données projet'!$E$12+1,1))-AVERAGE(OFFSET($H$3,0,0,'Données projet'!$E$12+1,1))</f>
        <v>248.60758320902863</v>
      </c>
      <c r="CE147" s="62">
        <f t="shared" si="148"/>
        <v>222.23585883330111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15.235337416000135</v>
      </c>
      <c r="CL147" s="23">
        <f>EXP(-LN(2)/25)*CL146+(1-EXP(-LN(2)/25))/(LN(2)/25)*Calculateur!CG147*Calculateur!CI147*VLOOKUP('Données projet'!$B$12,Paramètres!$A$1:$I$89,3,0)*0.475*44/12</f>
        <v>1.2207709424713173</v>
      </c>
      <c r="CM147" s="23">
        <f>EXP(-LN(2)/2)*CM146+(1-EXP(-LN(2)/2))/(LN(2)/2)*CG147*CJ147*VLOOKUP('Données projet'!$B$12,Paramètres!$A$1:$I$89,3,0)*0.475*44/12</f>
        <v>4.3721240815121423E-10</v>
      </c>
      <c r="CN147" s="24">
        <f t="shared" si="120"/>
        <v>16.456108358908665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193.99999999999994</v>
      </c>
      <c r="CU147" s="18">
        <f>CT147*VLOOKUP('Données projet'!$B$13,Paramètres!$A$1:$I$89,3,0)*VLOOKUP('Données projet'!$B$13,Paramètres!$A$1:$I$89,5,0)</f>
        <v>105.92399999999998</v>
      </c>
      <c r="CV147" s="14">
        <f t="shared" si="149"/>
        <v>28.36854701055546</v>
      </c>
      <c r="CW147" s="22">
        <f t="shared" si="121"/>
        <v>233.89285271005073</v>
      </c>
      <c r="CX147" s="62">
        <f t="shared" si="122"/>
        <v>527.22618604338402</v>
      </c>
      <c r="CY147" s="62">
        <f ca="1">AVERAGE(OFFSET($CX$3,0,0,'Données projet'!$E$13+1,1))-AVERAGE(OFFSET($H$3,0,0,'Données projet'!$E$13+1,1))</f>
        <v>135.44138026609272</v>
      </c>
      <c r="CZ147" s="62">
        <f t="shared" si="150"/>
        <v>254.77247578425659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6.9113550917871045</v>
      </c>
      <c r="DG147" s="23">
        <f>EXP(-LN(2)/25)*DG146+(1-EXP(-LN(2)/25))/(LN(2)/25)*Calculateur!DB147*Calculateur!DD147*VLOOKUP('Données projet'!$B$13,Paramètres!$A$1:$I$89,3,0)*0.475*44/12</f>
        <v>1.9177629942177068</v>
      </c>
      <c r="DH147" s="23">
        <f>EXP(-LN(2)/2)*DH146+(1-EXP(-LN(2)/2))/(LN(2)/2)*DB147*DE147*VLOOKUP('Données projet'!$B$13,Paramètres!$A$1:$I$89,3,0)*0.475*44/12</f>
        <v>5.9016423096770813E-16</v>
      </c>
      <c r="DI147" s="24">
        <f t="shared" si="123"/>
        <v>8.8291180860048115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273.00000000000023</v>
      </c>
      <c r="DP147" s="18">
        <f>DO147*VLOOKUP('Données projet'!$B$14,Paramètres!$A$1:$I$89,3,0)*VLOOKUP('Données projet'!$B$14,Paramètres!$A$1:$I$89,5,0)</f>
        <v>264.04560000000021</v>
      </c>
      <c r="DQ147" s="14">
        <f t="shared" si="151"/>
        <v>63.583959929973794</v>
      </c>
      <c r="DR147" s="22">
        <f t="shared" si="124"/>
        <v>570.6214835447048</v>
      </c>
      <c r="DS147" s="62">
        <f t="shared" si="125"/>
        <v>863.95481687803817</v>
      </c>
      <c r="DT147" s="62">
        <f ca="1">AVERAGE(OFFSET($DS$3,0,0,'Données projet'!$E$14+1,1))-AVERAGE(OFFSET($H$3,0,0,'Données projet'!$E$14+1,1))</f>
        <v>271.09447278906288</v>
      </c>
      <c r="DU147" s="62">
        <f t="shared" si="152"/>
        <v>325.1094067861851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7.6684583530531585</v>
      </c>
      <c r="EB147" s="23">
        <f>EXP(-LN(2)/25)*EB146+(1-EXP(-LN(2)/25))/(LN(2)/25)*Calculateur!DW147*Calculateur!DY147*VLOOKUP('Données projet'!$B$14,Paramètres!$A$1:$I$89,3,0)*0.475*44/12</f>
        <v>0.71647406718484452</v>
      </c>
      <c r="EC147" s="23">
        <f>EXP(-LN(2)/2)*EC146+(1-EXP(-LN(2)/2))/(LN(2)/2)*DW147*DZ147*VLOOKUP('Données projet'!$B$14,Paramètres!$A$1:$I$89,3,0)*0.475*44/12</f>
        <v>1.3855609430796076E-12</v>
      </c>
      <c r="ED147" s="24">
        <f t="shared" si="126"/>
        <v>8.3849324202393891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273.00000000000023</v>
      </c>
      <c r="EK147" s="18">
        <f>EJ147*VLOOKUP('Données projet'!$B$15,Paramètres!$A$1:$I$89,3,0)*VLOOKUP('Données projet'!$B$15,Paramètres!$A$1:$I$89,5,0)</f>
        <v>293.85720000000026</v>
      </c>
      <c r="EL147" s="14">
        <f t="shared" si="153"/>
        <v>69.887150190339895</v>
      </c>
      <c r="EM147" s="22">
        <f t="shared" si="127"/>
        <v>633.52140991484237</v>
      </c>
      <c r="EN147" s="62">
        <f t="shared" si="128"/>
        <v>926.85474324817574</v>
      </c>
      <c r="EO147" s="62">
        <f ca="1">AVERAGE(OFFSET($EN$3,0,0,'Données projet'!$E$15+1,1))-AVERAGE(OFFSET($H$3,0,0,'Données projet'!$E$15+1,1))</f>
        <v>306.50593475734655</v>
      </c>
      <c r="EP147" s="62">
        <f t="shared" si="154"/>
        <v>366.48643801375079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8.5342520380752909</v>
      </c>
      <c r="EW147" s="23">
        <f>EXP(-LN(2)/25)*EW146+(1-EXP(-LN(2)/25))/(LN(2)/25)*Calculateur!ER147*Calculateur!ET147*VLOOKUP('Données projet'!$B$15,Paramètres!$A$1:$I$89,3,0)*0.475*44/12</f>
        <v>0.79736630057668112</v>
      </c>
      <c r="EX147" s="23">
        <f>EXP(-LN(2)/2)*EX146+(1-EXP(-LN(2)/2))/(LN(2)/2)*ER147*EU147*VLOOKUP('Données projet'!$B$15,Paramètres!$A$1:$I$89,3,0)*0.475*44/12</f>
        <v>1.5419952431047238E-12</v>
      </c>
      <c r="EY147" s="24">
        <f t="shared" si="129"/>
        <v>9.331618338653513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106.31399999999965</v>
      </c>
      <c r="D148" s="12">
        <f t="shared" si="140"/>
        <v>28.460819043331849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1040.3670241941379</v>
      </c>
      <c r="H148" s="70">
        <f t="shared" si="110"/>
        <v>528.06614316713558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306.99999999999994</v>
      </c>
      <c r="O148" s="14">
        <f>N148*VLOOKUP('Données projet'!$B$9,Paramètres!$A$1:$I$89,3,0)*VLOOKUP('Données projet'!$B$9,Paramètres!$A$1:$I$89,5,0)</f>
        <v>277.77359999999993</v>
      </c>
      <c r="P148" s="14">
        <f t="shared" si="141"/>
        <v>66.496288176842356</v>
      </c>
      <c r="Q148" s="22">
        <f t="shared" si="108"/>
        <v>599.60338857466706</v>
      </c>
      <c r="R148" s="62">
        <f t="shared" si="109"/>
        <v>892.93672190800044</v>
      </c>
      <c r="S148" s="62">
        <f ca="1">AVERAGE(OFFSET($R$3,0,0,'Données projet'!$E$9+1,1))-AVERAGE(OFFSET($H$3,0,0,'Données projet'!$E$9+1,1))</f>
        <v>312.57314929661908</v>
      </c>
      <c r="T148" s="62">
        <f t="shared" si="142"/>
        <v>190.92100876773804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42.359631869638022</v>
      </c>
      <c r="AA148" s="23">
        <f>EXP(-LN(2)/25)*AA147+(1-EXP(-LN(2)/25))/(LN(2)/25)*Calculateur!V148*Calculateur!X148*VLOOKUP('Données projet'!$B$9,Paramètres!$A$1:$I$89,3,0)*0.475*44/12</f>
        <v>1.4438312575041992</v>
      </c>
      <c r="AB148" s="23">
        <f>EXP(-LN(2)/2)*AB147+(1-EXP(-LN(2)/2))/(LN(2)/2)*V148*Y148*VLOOKUP('Données projet'!$B$9,Paramètres!$A$1:$I$89,3,0)*0.475*44/12</f>
        <v>4.5979743442194445E-5</v>
      </c>
      <c r="AC148" s="24">
        <f t="shared" si="111"/>
        <v>43.803509106885663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306.99999999999994</v>
      </c>
      <c r="AJ148" s="14">
        <f>AI148*VLOOKUP('Données projet'!$B$10,Paramètres!$A$1:$I$89,3,0)*VLOOKUP('Données projet'!$B$10,Paramètres!$A$1:$I$89,5,0)</f>
        <v>311.298</v>
      </c>
      <c r="AK148" s="14">
        <f t="shared" si="143"/>
        <v>73.539838278528748</v>
      </c>
      <c r="AL148" s="22">
        <f t="shared" si="112"/>
        <v>670.25923500177089</v>
      </c>
      <c r="AM148" s="62">
        <f t="shared" si="113"/>
        <v>963.59256833510426</v>
      </c>
      <c r="AN148" s="62">
        <f ca="1">AVERAGE(OFFSET($AM$3,0,0,'Données projet'!$E$10+1,1))-AVERAGE(OFFSET($H$3,0,0,'Données projet'!$E$10+1,1))</f>
        <v>360.56293184044779</v>
      </c>
      <c r="AO148" s="62">
        <f t="shared" si="144"/>
        <v>219.32252911220542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47.472001233214996</v>
      </c>
      <c r="AV148" s="23">
        <f>EXP(-LN(2)/25)*AV147+(1-EXP(-LN(2)/25))/(LN(2)/25)*Calculateur!AQ148*Calculateur!AS148*VLOOKUP('Données projet'!$B$10,Paramètres!$A$1:$I$89,3,0)*0.475*44/12</f>
        <v>1.6180867540995334</v>
      </c>
      <c r="AW148" s="23">
        <f>EXP(-LN(2)/2)*AW147+(1-EXP(-LN(2)/2))/(LN(2)/2)*AQ148*AT148*VLOOKUP('Données projet'!$B$10,Paramètres!$A$1:$I$89,3,0)*0.475*44/12</f>
        <v>5.1529022823148957E-5</v>
      </c>
      <c r="AX148" s="23">
        <f t="shared" si="114"/>
        <v>49.090139516337359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1.1368683772161603E-13</v>
      </c>
      <c r="BE148" s="14">
        <f>BD148*VLOOKUP('Données projet'!$B$11,Paramètres!$A$1:$I$89,3,0)*VLOOKUP('Données projet'!$B$11,Paramètres!$A$1:$I$89,5,0)</f>
        <v>8.3355189417488869E-14</v>
      </c>
      <c r="BF148" s="14">
        <f t="shared" si="145"/>
        <v>1.2790518435140618E-12</v>
      </c>
      <c r="BG148" s="22">
        <f t="shared" si="115"/>
        <v>2.3728589156891171E-12</v>
      </c>
      <c r="BH148" s="62">
        <f t="shared" si="116"/>
        <v>293.3333333333357</v>
      </c>
      <c r="BI148" s="62">
        <f ca="1">AVERAGE(OFFSET($BH$3,0,0,'Données projet'!$E$11+1,1))-AVERAGE(OFFSET($H$3,0,0,'Données projet'!$E$11+1,1))</f>
        <v>182.06733089745194</v>
      </c>
      <c r="BJ148" s="62">
        <f t="shared" si="146"/>
        <v>320.36755413886021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6.1267229970409334</v>
      </c>
      <c r="BQ148" s="23">
        <f>EXP(-LN(2)/25)*BQ147+(1-EXP(-LN(2)/25))/(LN(2)/25)*Calculateur!BL148*Calculateur!BN148*VLOOKUP('Données projet'!$B$11,Paramètres!$A$1:$I$89,3,0)*0.475*44/12</f>
        <v>0.52396627983323896</v>
      </c>
      <c r="BR148" s="23">
        <f>EXP(-LN(2)/2)*BR147+(1-EXP(-LN(2)/2))/(LN(2)/2)*BL148*BO148*VLOOKUP('Données projet'!$B$11,Paramètres!$A$1:$I$89,3,0)*0.475*44/12</f>
        <v>3.6327236876170292E-15</v>
      </c>
      <c r="BS148" s="24">
        <f t="shared" si="117"/>
        <v>6.6506892768741759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319.99999999999972</v>
      </c>
      <c r="BZ148" s="14">
        <f>BY148*VLOOKUP('Données projet'!$B$12,Paramètres!$A$1:$I$89,3,0)*VLOOKUP('Données projet'!$B$12,Paramètres!$A$1:$I$89,5,0)</f>
        <v>279.55199999999979</v>
      </c>
      <c r="CA148" s="14">
        <f t="shared" si="147"/>
        <v>66.872324781216591</v>
      </c>
      <c r="CB148" s="22">
        <f t="shared" si="118"/>
        <v>603.35569899395182</v>
      </c>
      <c r="CC148" s="62">
        <f t="shared" si="119"/>
        <v>896.68903232728508</v>
      </c>
      <c r="CD148" s="62">
        <f ca="1">AVERAGE(OFFSET($CC$3,0,0,'Données projet'!$E$12+1,1))-AVERAGE(OFFSET($H$3,0,0,'Données projet'!$E$12+1,1))</f>
        <v>248.60758320902863</v>
      </c>
      <c r="CE148" s="62">
        <f t="shared" si="148"/>
        <v>222.23585883330111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14.936581741910624</v>
      </c>
      <c r="CL148" s="23">
        <f>EXP(-LN(2)/25)*CL147+(1-EXP(-LN(2)/25))/(LN(2)/25)*Calculateur!CG148*Calculateur!CI148*VLOOKUP('Données projet'!$B$12,Paramètres!$A$1:$I$89,3,0)*0.475*44/12</f>
        <v>1.1873888968518853</v>
      </c>
      <c r="CM148" s="23">
        <f>EXP(-LN(2)/2)*CM147+(1-EXP(-LN(2)/2))/(LN(2)/2)*CG148*CJ148*VLOOKUP('Données projet'!$B$12,Paramètres!$A$1:$I$89,3,0)*0.475*44/12</f>
        <v>3.0915585862262414E-10</v>
      </c>
      <c r="CN148" s="24">
        <f t="shared" si="120"/>
        <v>16.123970639071665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193.99999999999994</v>
      </c>
      <c r="CU148" s="18">
        <f>CT148*VLOOKUP('Données projet'!$B$13,Paramètres!$A$1:$I$89,3,0)*VLOOKUP('Données projet'!$B$13,Paramètres!$A$1:$I$89,5,0)</f>
        <v>105.92399999999998</v>
      </c>
      <c r="CV148" s="14">
        <f t="shared" si="149"/>
        <v>28.36854701055546</v>
      </c>
      <c r="CW148" s="22">
        <f t="shared" si="121"/>
        <v>233.89285271005073</v>
      </c>
      <c r="CX148" s="62">
        <f t="shared" si="122"/>
        <v>527.22618604338402</v>
      </c>
      <c r="CY148" s="62">
        <f ca="1">AVERAGE(OFFSET($CX$3,0,0,'Données projet'!$E$13+1,1))-AVERAGE(OFFSET($H$3,0,0,'Données projet'!$E$13+1,1))</f>
        <v>135.44138026609272</v>
      </c>
      <c r="CZ148" s="62">
        <f t="shared" si="150"/>
        <v>254.77247578425659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6.7758276339475181</v>
      </c>
      <c r="DG148" s="23">
        <f>EXP(-LN(2)/25)*DG147+(1-EXP(-LN(2)/25))/(LN(2)/25)*Calculateur!DB148*Calculateur!DD148*VLOOKUP('Données projet'!$B$13,Paramètres!$A$1:$I$89,3,0)*0.475*44/12</f>
        <v>1.8653216642900508</v>
      </c>
      <c r="DH148" s="23">
        <f>EXP(-LN(2)/2)*DH147+(1-EXP(-LN(2)/2))/(LN(2)/2)*DB148*DE148*VLOOKUP('Données projet'!$B$13,Paramètres!$A$1:$I$89,3,0)*0.475*44/12</f>
        <v>4.1730912973101029E-16</v>
      </c>
      <c r="DI148" s="24">
        <f t="shared" si="123"/>
        <v>8.6411492982375684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273.00000000000023</v>
      </c>
      <c r="DP148" s="18">
        <f>DO148*VLOOKUP('Données projet'!$B$14,Paramètres!$A$1:$I$89,3,0)*VLOOKUP('Données projet'!$B$14,Paramètres!$A$1:$I$89,5,0)</f>
        <v>264.04560000000021</v>
      </c>
      <c r="DQ148" s="14">
        <f t="shared" si="151"/>
        <v>63.583959929973794</v>
      </c>
      <c r="DR148" s="22">
        <f t="shared" si="124"/>
        <v>570.6214835447048</v>
      </c>
      <c r="DS148" s="62">
        <f t="shared" si="125"/>
        <v>863.95481687803817</v>
      </c>
      <c r="DT148" s="62">
        <f ca="1">AVERAGE(OFFSET($DS$3,0,0,'Données projet'!$E$14+1,1))-AVERAGE(OFFSET($H$3,0,0,'Données projet'!$E$14+1,1))</f>
        <v>271.09447278906288</v>
      </c>
      <c r="DU148" s="62">
        <f t="shared" si="152"/>
        <v>325.1094067861851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7.5180845620475365</v>
      </c>
      <c r="EB148" s="23">
        <f>EXP(-LN(2)/25)*EB147+(1-EXP(-LN(2)/25))/(LN(2)/25)*Calculateur!DW148*Calculateur!DY148*VLOOKUP('Données projet'!$B$14,Paramètres!$A$1:$I$89,3,0)*0.475*44/12</f>
        <v>0.69688204613994131</v>
      </c>
      <c r="EC148" s="23">
        <f>EXP(-LN(2)/2)*EC147+(1-EXP(-LN(2)/2))/(LN(2)/2)*DW148*DZ148*VLOOKUP('Données projet'!$B$14,Paramètres!$A$1:$I$89,3,0)*0.475*44/12</f>
        <v>9.7973953859881853E-13</v>
      </c>
      <c r="ED148" s="24">
        <f t="shared" si="126"/>
        <v>8.2149666081884583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273.00000000000023</v>
      </c>
      <c r="EK148" s="18">
        <f>EJ148*VLOOKUP('Données projet'!$B$15,Paramètres!$A$1:$I$89,3,0)*VLOOKUP('Données projet'!$B$15,Paramètres!$A$1:$I$89,5,0)</f>
        <v>293.85720000000026</v>
      </c>
      <c r="EL148" s="14">
        <f t="shared" si="153"/>
        <v>69.887150190339895</v>
      </c>
      <c r="EM148" s="22">
        <f t="shared" si="127"/>
        <v>633.52140991484237</v>
      </c>
      <c r="EN148" s="62">
        <f t="shared" si="128"/>
        <v>926.85474324817574</v>
      </c>
      <c r="EO148" s="62">
        <f ca="1">AVERAGE(OFFSET($EN$3,0,0,'Données projet'!$E$15+1,1))-AVERAGE(OFFSET($H$3,0,0,'Données projet'!$E$15+1,1))</f>
        <v>306.50593475734655</v>
      </c>
      <c r="EP148" s="62">
        <f t="shared" si="154"/>
        <v>366.48643801375079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8.3669005609883893</v>
      </c>
      <c r="EW148" s="23">
        <f>EXP(-LN(2)/25)*EW147+(1-EXP(-LN(2)/25))/(LN(2)/25)*Calculateur!ER148*Calculateur!ET148*VLOOKUP('Données projet'!$B$15,Paramètres!$A$1:$I$89,3,0)*0.475*44/12</f>
        <v>0.77556227715574044</v>
      </c>
      <c r="EX148" s="23">
        <f>EXP(-LN(2)/2)*EX147+(1-EXP(-LN(2)/2))/(LN(2)/2)*ER148*EU148*VLOOKUP('Données projet'!$B$15,Paramètres!$A$1:$I$89,3,0)*0.475*44/12</f>
        <v>1.0903552929567491E-12</v>
      </c>
      <c r="EY148" s="24">
        <f t="shared" si="129"/>
        <v>9.1424628381452209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107.04719999999965</v>
      </c>
      <c r="D149" s="12">
        <f t="shared" si="140"/>
        <v>28.634183951187829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1047.3650690968859</v>
      </c>
      <c r="H149" s="70">
        <f t="shared" si="110"/>
        <v>529.64507704831817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306.99999999999994</v>
      </c>
      <c r="O149" s="14">
        <f>N149*VLOOKUP('Données projet'!$B$9,Paramètres!$A$1:$I$89,3,0)*VLOOKUP('Données projet'!$B$9,Paramètres!$A$1:$I$89,5,0)</f>
        <v>277.77359999999993</v>
      </c>
      <c r="P149" s="14">
        <f t="shared" si="141"/>
        <v>66.496288176842356</v>
      </c>
      <c r="Q149" s="22">
        <f t="shared" si="108"/>
        <v>599.60338857466706</v>
      </c>
      <c r="R149" s="62">
        <f t="shared" si="109"/>
        <v>892.93672190800044</v>
      </c>
      <c r="S149" s="62">
        <f ca="1">AVERAGE(OFFSET($R$3,0,0,'Données projet'!$E$9+1,1))-AVERAGE(OFFSET($H$3,0,0,'Données projet'!$E$9+1,1))</f>
        <v>312.57314929661908</v>
      </c>
      <c r="T149" s="62">
        <f t="shared" si="142"/>
        <v>190.92100876773804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41.528985325498688</v>
      </c>
      <c r="AA149" s="23">
        <f>EXP(-LN(2)/25)*AA148+(1-EXP(-LN(2)/25))/(LN(2)/25)*Calculateur!V149*Calculateur!X149*VLOOKUP('Données projet'!$B$9,Paramètres!$A$1:$I$89,3,0)*0.475*44/12</f>
        <v>1.4043496158399609</v>
      </c>
      <c r="AB149" s="23">
        <f>EXP(-LN(2)/2)*AB148+(1-EXP(-LN(2)/2))/(LN(2)/2)*V149*Y149*VLOOKUP('Données projet'!$B$9,Paramètres!$A$1:$I$89,3,0)*0.475*44/12</f>
        <v>3.2512588385193381E-5</v>
      </c>
      <c r="AC149" s="24">
        <f t="shared" si="111"/>
        <v>42.933367453927033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306.99999999999994</v>
      </c>
      <c r="AJ149" s="14">
        <f>AI149*VLOOKUP('Données projet'!$B$10,Paramètres!$A$1:$I$89,3,0)*VLOOKUP('Données projet'!$B$10,Paramètres!$A$1:$I$89,5,0)</f>
        <v>311.298</v>
      </c>
      <c r="AK149" s="14">
        <f t="shared" si="143"/>
        <v>73.539838278528748</v>
      </c>
      <c r="AL149" s="22">
        <f t="shared" si="112"/>
        <v>670.25923500177089</v>
      </c>
      <c r="AM149" s="62">
        <f t="shared" si="113"/>
        <v>963.59256833510426</v>
      </c>
      <c r="AN149" s="62">
        <f ca="1">AVERAGE(OFFSET($AM$3,0,0,'Données projet'!$E$10+1,1))-AVERAGE(OFFSET($H$3,0,0,'Données projet'!$E$10+1,1))</f>
        <v>360.56293184044779</v>
      </c>
      <c r="AO149" s="62">
        <f t="shared" si="144"/>
        <v>219.32252911220542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46.541104244093326</v>
      </c>
      <c r="AV149" s="23">
        <f>EXP(-LN(2)/25)*AV148+(1-EXP(-LN(2)/25))/(LN(2)/25)*Calculateur!AQ149*Calculateur!AS149*VLOOKUP('Données projet'!$B$10,Paramètres!$A$1:$I$89,3,0)*0.475*44/12</f>
        <v>1.5738400867171976</v>
      </c>
      <c r="AW149" s="23">
        <f>EXP(-LN(2)/2)*AW148+(1-EXP(-LN(2)/2))/(LN(2)/2)*AQ149*AT149*VLOOKUP('Données projet'!$B$10,Paramètres!$A$1:$I$89,3,0)*0.475*44/12</f>
        <v>3.6436521466165003E-5</v>
      </c>
      <c r="AX149" s="23">
        <f t="shared" si="114"/>
        <v>48.114980767331993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1.1368683772161603E-13</v>
      </c>
      <c r="BE149" s="14">
        <f>BD149*VLOOKUP('Données projet'!$B$11,Paramètres!$A$1:$I$89,3,0)*VLOOKUP('Données projet'!$B$11,Paramètres!$A$1:$I$89,5,0)</f>
        <v>8.3355189417488869E-14</v>
      </c>
      <c r="BF149" s="14">
        <f t="shared" si="145"/>
        <v>1.2790518435140618E-12</v>
      </c>
      <c r="BG149" s="22">
        <f t="shared" si="115"/>
        <v>2.3728589156891171E-12</v>
      </c>
      <c r="BH149" s="62">
        <f t="shared" si="116"/>
        <v>293.3333333333357</v>
      </c>
      <c r="BI149" s="62">
        <f ca="1">AVERAGE(OFFSET($BH$3,0,0,'Données projet'!$E$11+1,1))-AVERAGE(OFFSET($H$3,0,0,'Données projet'!$E$11+1,1))</f>
        <v>182.06733089745194</v>
      </c>
      <c r="BJ149" s="62">
        <f t="shared" si="146"/>
        <v>320.36755413886021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6.0065816960009979</v>
      </c>
      <c r="BQ149" s="23">
        <f>EXP(-LN(2)/25)*BQ148+(1-EXP(-LN(2)/25))/(LN(2)/25)*Calculateur!BL149*Calculateur!BN149*VLOOKUP('Données projet'!$B$11,Paramètres!$A$1:$I$89,3,0)*0.475*44/12</f>
        <v>0.50963839435700997</v>
      </c>
      <c r="BR149" s="23">
        <f>EXP(-LN(2)/2)*BR148+(1-EXP(-LN(2)/2))/(LN(2)/2)*BL149*BO149*VLOOKUP('Données projet'!$B$11,Paramètres!$A$1:$I$89,3,0)*0.475*44/12</f>
        <v>2.5687235536910027E-15</v>
      </c>
      <c r="BS149" s="24">
        <f t="shared" si="117"/>
        <v>6.5162200903580105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319.99999999999972</v>
      </c>
      <c r="BZ149" s="14">
        <f>BY149*VLOOKUP('Données projet'!$B$12,Paramètres!$A$1:$I$89,3,0)*VLOOKUP('Données projet'!$B$12,Paramètres!$A$1:$I$89,5,0)</f>
        <v>279.55199999999979</v>
      </c>
      <c r="CA149" s="14">
        <f t="shared" si="147"/>
        <v>66.872324781216591</v>
      </c>
      <c r="CB149" s="22">
        <f t="shared" si="118"/>
        <v>603.35569899395182</v>
      </c>
      <c r="CC149" s="62">
        <f t="shared" si="119"/>
        <v>896.68903232728508</v>
      </c>
      <c r="CD149" s="62">
        <f ca="1">AVERAGE(OFFSET($CC$3,0,0,'Données projet'!$E$12+1,1))-AVERAGE(OFFSET($H$3,0,0,'Données projet'!$E$12+1,1))</f>
        <v>248.60758320902863</v>
      </c>
      <c r="CE149" s="62">
        <f t="shared" si="148"/>
        <v>222.23585883330111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14.643684484367041</v>
      </c>
      <c r="CL149" s="23">
        <f>EXP(-LN(2)/25)*CL148+(1-EXP(-LN(2)/25))/(LN(2)/25)*Calculateur!CG149*Calculateur!CI149*VLOOKUP('Données projet'!$B$12,Paramètres!$A$1:$I$89,3,0)*0.475*44/12</f>
        <v>1.1549196850254022</v>
      </c>
      <c r="CM149" s="23">
        <f>EXP(-LN(2)/2)*CM148+(1-EXP(-LN(2)/2))/(LN(2)/2)*CG149*CJ149*VLOOKUP('Données projet'!$B$12,Paramètres!$A$1:$I$89,3,0)*0.475*44/12</f>
        <v>2.1860620407560711E-10</v>
      </c>
      <c r="CN149" s="24">
        <f t="shared" si="120"/>
        <v>15.79860416961105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193.99999999999994</v>
      </c>
      <c r="CU149" s="18">
        <f>CT149*VLOOKUP('Données projet'!$B$13,Paramètres!$A$1:$I$89,3,0)*VLOOKUP('Données projet'!$B$13,Paramètres!$A$1:$I$89,5,0)</f>
        <v>105.92399999999998</v>
      </c>
      <c r="CV149" s="14">
        <f t="shared" si="149"/>
        <v>28.36854701055546</v>
      </c>
      <c r="CW149" s="22">
        <f t="shared" si="121"/>
        <v>233.89285271005073</v>
      </c>
      <c r="CX149" s="62">
        <f t="shared" si="122"/>
        <v>527.22618604338402</v>
      </c>
      <c r="CY149" s="62">
        <f ca="1">AVERAGE(OFFSET($CX$3,0,0,'Données projet'!$E$13+1,1))-AVERAGE(OFFSET($H$3,0,0,'Données projet'!$E$13+1,1))</f>
        <v>135.44138026609272</v>
      </c>
      <c r="CZ149" s="62">
        <f t="shared" si="150"/>
        <v>254.77247578425659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6.6429577868925795</v>
      </c>
      <c r="DG149" s="23">
        <f>EXP(-LN(2)/25)*DG148+(1-EXP(-LN(2)/25))/(LN(2)/25)*Calculateur!DB149*Calculateur!DD149*VLOOKUP('Données projet'!$B$13,Paramètres!$A$1:$I$89,3,0)*0.475*44/12</f>
        <v>1.8143143452870363</v>
      </c>
      <c r="DH149" s="23">
        <f>EXP(-LN(2)/2)*DH148+(1-EXP(-LN(2)/2))/(LN(2)/2)*DB149*DE149*VLOOKUP('Données projet'!$B$13,Paramètres!$A$1:$I$89,3,0)*0.475*44/12</f>
        <v>2.9508211548385407E-16</v>
      </c>
      <c r="DI149" s="24">
        <f t="shared" si="123"/>
        <v>8.4572721321796163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273.00000000000023</v>
      </c>
      <c r="DP149" s="18">
        <f>DO149*VLOOKUP('Données projet'!$B$14,Paramètres!$A$1:$I$89,3,0)*VLOOKUP('Données projet'!$B$14,Paramètres!$A$1:$I$89,5,0)</f>
        <v>264.04560000000021</v>
      </c>
      <c r="DQ149" s="14">
        <f t="shared" si="151"/>
        <v>63.583959929973794</v>
      </c>
      <c r="DR149" s="22">
        <f t="shared" si="124"/>
        <v>570.6214835447048</v>
      </c>
      <c r="DS149" s="62">
        <f t="shared" si="125"/>
        <v>863.95481687803817</v>
      </c>
      <c r="DT149" s="62">
        <f ca="1">AVERAGE(OFFSET($DS$3,0,0,'Données projet'!$E$14+1,1))-AVERAGE(OFFSET($H$3,0,0,'Données projet'!$E$14+1,1))</f>
        <v>271.09447278906288</v>
      </c>
      <c r="DU149" s="62">
        <f t="shared" si="152"/>
        <v>325.1094067861851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7.3706595093645788</v>
      </c>
      <c r="EB149" s="23">
        <f>EXP(-LN(2)/25)*EB148+(1-EXP(-LN(2)/25))/(LN(2)/25)*Calculateur!DW149*Calculateur!DY149*VLOOKUP('Données projet'!$B$14,Paramètres!$A$1:$I$89,3,0)*0.475*44/12</f>
        <v>0.67782576994081056</v>
      </c>
      <c r="EC149" s="23">
        <f>EXP(-LN(2)/2)*EC148+(1-EXP(-LN(2)/2))/(LN(2)/2)*DW149*DZ149*VLOOKUP('Données projet'!$B$14,Paramètres!$A$1:$I$89,3,0)*0.475*44/12</f>
        <v>6.9278047153980381E-13</v>
      </c>
      <c r="ED149" s="24">
        <f t="shared" si="126"/>
        <v>8.0484852793060817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273.00000000000023</v>
      </c>
      <c r="EK149" s="18">
        <f>EJ149*VLOOKUP('Données projet'!$B$15,Paramètres!$A$1:$I$89,3,0)*VLOOKUP('Données projet'!$B$15,Paramètres!$A$1:$I$89,5,0)</f>
        <v>293.85720000000026</v>
      </c>
      <c r="EL149" s="14">
        <f t="shared" si="153"/>
        <v>69.887150190339895</v>
      </c>
      <c r="EM149" s="22">
        <f t="shared" si="127"/>
        <v>633.52140991484237</v>
      </c>
      <c r="EN149" s="62">
        <f t="shared" si="128"/>
        <v>926.85474324817574</v>
      </c>
      <c r="EO149" s="62">
        <f ca="1">AVERAGE(OFFSET($EN$3,0,0,'Données projet'!$E$15+1,1))-AVERAGE(OFFSET($H$3,0,0,'Données projet'!$E$15+1,1))</f>
        <v>306.50593475734655</v>
      </c>
      <c r="EP149" s="62">
        <f t="shared" si="154"/>
        <v>366.48643801375079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8.2028307442928394</v>
      </c>
      <c r="EW149" s="23">
        <f>EXP(-LN(2)/25)*EW148+(1-EXP(-LN(2)/25))/(LN(2)/25)*Calculateur!ER149*Calculateur!ET149*VLOOKUP('Données projet'!$B$15,Paramètres!$A$1:$I$89,3,0)*0.475*44/12</f>
        <v>0.75435448590186915</v>
      </c>
      <c r="EX149" s="23">
        <f>EXP(-LN(2)/2)*EX148+(1-EXP(-LN(2)/2))/(LN(2)/2)*ER149*EU149*VLOOKUP('Données projet'!$B$15,Paramètres!$A$1:$I$89,3,0)*0.475*44/12</f>
        <v>7.7099762155236188E-13</v>
      </c>
      <c r="EY149" s="24">
        <f t="shared" si="129"/>
        <v>8.9571852301954795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107.78039999999964</v>
      </c>
      <c r="D150" s="12">
        <f t="shared" si="140"/>
        <v>28.807410696029962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1054.3620474781235</v>
      </c>
      <c r="H150" s="70">
        <f t="shared" si="110"/>
        <v>531.22377029558493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306.99999999999994</v>
      </c>
      <c r="O150" s="14">
        <f>N150*VLOOKUP('Données projet'!$B$9,Paramètres!$A$1:$I$89,3,0)*VLOOKUP('Données projet'!$B$9,Paramètres!$A$1:$I$89,5,0)</f>
        <v>277.77359999999993</v>
      </c>
      <c r="P150" s="14">
        <f t="shared" si="141"/>
        <v>66.496288176842356</v>
      </c>
      <c r="Q150" s="22">
        <f t="shared" si="108"/>
        <v>599.60338857466706</v>
      </c>
      <c r="R150" s="62">
        <f t="shared" si="109"/>
        <v>892.93672190800044</v>
      </c>
      <c r="S150" s="62">
        <f ca="1">AVERAGE(OFFSET($R$3,0,0,'Données projet'!$E$9+1,1))-AVERAGE(OFFSET($H$3,0,0,'Données projet'!$E$9+1,1))</f>
        <v>312.57314929661908</v>
      </c>
      <c r="T150" s="62">
        <f t="shared" si="142"/>
        <v>190.92100876773804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40.714627253445563</v>
      </c>
      <c r="AA150" s="23">
        <f>EXP(-LN(2)/25)*AA149+(1-EXP(-LN(2)/25))/(LN(2)/25)*Calculateur!V150*Calculateur!X150*VLOOKUP('Données projet'!$B$9,Paramètres!$A$1:$I$89,3,0)*0.475*44/12</f>
        <v>1.3659476017432806</v>
      </c>
      <c r="AB150" s="23">
        <f>EXP(-LN(2)/2)*AB149+(1-EXP(-LN(2)/2))/(LN(2)/2)*V150*Y150*VLOOKUP('Données projet'!$B$9,Paramètres!$A$1:$I$89,3,0)*0.475*44/12</f>
        <v>2.2989871721097223E-5</v>
      </c>
      <c r="AC150" s="24">
        <f t="shared" si="111"/>
        <v>42.080597845060566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306.99999999999994</v>
      </c>
      <c r="AJ150" s="14">
        <f>AI150*VLOOKUP('Données projet'!$B$10,Paramètres!$A$1:$I$89,3,0)*VLOOKUP('Données projet'!$B$10,Paramètres!$A$1:$I$89,5,0)</f>
        <v>311.298</v>
      </c>
      <c r="AK150" s="14">
        <f t="shared" si="143"/>
        <v>73.539838278528748</v>
      </c>
      <c r="AL150" s="22">
        <f t="shared" si="112"/>
        <v>670.25923500177089</v>
      </c>
      <c r="AM150" s="62">
        <f t="shared" si="113"/>
        <v>963.59256833510426</v>
      </c>
      <c r="AN150" s="62">
        <f ca="1">AVERAGE(OFFSET($AM$3,0,0,'Données projet'!$E$10+1,1))-AVERAGE(OFFSET($H$3,0,0,'Données projet'!$E$10+1,1))</f>
        <v>360.56293184044779</v>
      </c>
      <c r="AO150" s="62">
        <f t="shared" si="144"/>
        <v>219.32252911220542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45.628461577137237</v>
      </c>
      <c r="AV150" s="23">
        <f>EXP(-LN(2)/25)*AV149+(1-EXP(-LN(2)/25))/(LN(2)/25)*Calculateur!AQ150*Calculateur!AS150*VLOOKUP('Données projet'!$B$10,Paramètres!$A$1:$I$89,3,0)*0.475*44/12</f>
        <v>1.5308033467812627</v>
      </c>
      <c r="AW150" s="23">
        <f>EXP(-LN(2)/2)*AW149+(1-EXP(-LN(2)/2))/(LN(2)/2)*AQ150*AT150*VLOOKUP('Données projet'!$B$10,Paramètres!$A$1:$I$89,3,0)*0.475*44/12</f>
        <v>2.5764511411574478E-5</v>
      </c>
      <c r="AX150" s="23">
        <f t="shared" si="114"/>
        <v>47.159290688429913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1.1368683772161603E-13</v>
      </c>
      <c r="BE150" s="14">
        <f>BD150*VLOOKUP('Données projet'!$B$11,Paramètres!$A$1:$I$89,3,0)*VLOOKUP('Données projet'!$B$11,Paramètres!$A$1:$I$89,5,0)</f>
        <v>8.3355189417488869E-14</v>
      </c>
      <c r="BF150" s="14">
        <f t="shared" si="145"/>
        <v>1.2790518435140618E-12</v>
      </c>
      <c r="BG150" s="22">
        <f t="shared" si="115"/>
        <v>2.3728589156891171E-12</v>
      </c>
      <c r="BH150" s="62">
        <f t="shared" si="116"/>
        <v>293.3333333333357</v>
      </c>
      <c r="BI150" s="62">
        <f ca="1">AVERAGE(OFFSET($BH$3,0,0,'Données projet'!$E$11+1,1))-AVERAGE(OFFSET($H$3,0,0,'Données projet'!$E$11+1,1))</f>
        <v>182.06733089745194</v>
      </c>
      <c r="BJ150" s="62">
        <f t="shared" si="146"/>
        <v>320.36755413886021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5.8887962925954973</v>
      </c>
      <c r="BQ150" s="23">
        <f>EXP(-LN(2)/25)*BQ149+(1-EXP(-LN(2)/25))/(LN(2)/25)*Calculateur!BL150*Calculateur!BN150*VLOOKUP('Données projet'!$B$11,Paramètres!$A$1:$I$89,3,0)*0.475*44/12</f>
        <v>0.49570230566259915</v>
      </c>
      <c r="BR150" s="23">
        <f>EXP(-LN(2)/2)*BR149+(1-EXP(-LN(2)/2))/(LN(2)/2)*BL150*BO150*VLOOKUP('Données projet'!$B$11,Paramètres!$A$1:$I$89,3,0)*0.475*44/12</f>
        <v>1.8163618438085146E-15</v>
      </c>
      <c r="BS150" s="24">
        <f t="shared" si="117"/>
        <v>6.384498598258098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319.99999999999972</v>
      </c>
      <c r="BZ150" s="14">
        <f>BY150*VLOOKUP('Données projet'!$B$12,Paramètres!$A$1:$I$89,3,0)*VLOOKUP('Données projet'!$B$12,Paramètres!$A$1:$I$89,5,0)</f>
        <v>279.55199999999979</v>
      </c>
      <c r="CA150" s="14">
        <f t="shared" si="147"/>
        <v>66.872324781216591</v>
      </c>
      <c r="CB150" s="22">
        <f t="shared" si="118"/>
        <v>603.35569899395182</v>
      </c>
      <c r="CC150" s="62">
        <f t="shared" si="119"/>
        <v>896.68903232728508</v>
      </c>
      <c r="CD150" s="62">
        <f ca="1">AVERAGE(OFFSET($CC$3,0,0,'Données projet'!$E$12+1,1))-AVERAGE(OFFSET($H$3,0,0,'Données projet'!$E$12+1,1))</f>
        <v>248.60758320902863</v>
      </c>
      <c r="CE150" s="62">
        <f t="shared" si="148"/>
        <v>222.23585883330111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14.356530763394201</v>
      </c>
      <c r="CL150" s="23">
        <f>EXP(-LN(2)/25)*CL149+(1-EXP(-LN(2)/25))/(LN(2)/25)*Calculateur!CG150*Calculateur!CI150*VLOOKUP('Données projet'!$B$12,Paramètres!$A$1:$I$89,3,0)*0.475*44/12</f>
        <v>1.123338345503796</v>
      </c>
      <c r="CM150" s="23">
        <f>EXP(-LN(2)/2)*CM149+(1-EXP(-LN(2)/2))/(LN(2)/2)*CG150*CJ150*VLOOKUP('Données projet'!$B$12,Paramètres!$A$1:$I$89,3,0)*0.475*44/12</f>
        <v>1.5457792931131207E-10</v>
      </c>
      <c r="CN150" s="24">
        <f t="shared" si="120"/>
        <v>15.479869109052576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193.99999999999994</v>
      </c>
      <c r="CU150" s="18">
        <f>CT150*VLOOKUP('Données projet'!$B$13,Paramètres!$A$1:$I$89,3,0)*VLOOKUP('Données projet'!$B$13,Paramètres!$A$1:$I$89,5,0)</f>
        <v>105.92399999999998</v>
      </c>
      <c r="CV150" s="14">
        <f t="shared" si="149"/>
        <v>28.36854701055546</v>
      </c>
      <c r="CW150" s="22">
        <f t="shared" si="121"/>
        <v>233.89285271005073</v>
      </c>
      <c r="CX150" s="62">
        <f t="shared" si="122"/>
        <v>527.22618604338402</v>
      </c>
      <c r="CY150" s="62">
        <f ca="1">AVERAGE(OFFSET($CX$3,0,0,'Données projet'!$E$13+1,1))-AVERAGE(OFFSET($H$3,0,0,'Données projet'!$E$13+1,1))</f>
        <v>135.44138026609272</v>
      </c>
      <c r="CZ150" s="62">
        <f t="shared" si="150"/>
        <v>254.77247578425659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6.512693436495784</v>
      </c>
      <c r="DG150" s="23">
        <f>EXP(-LN(2)/25)*DG149+(1-EXP(-LN(2)/25))/(LN(2)/25)*Calculateur!DB150*Calculateur!DD150*VLOOKUP('Données projet'!$B$13,Paramètres!$A$1:$I$89,3,0)*0.475*44/12</f>
        <v>1.7647018241045176</v>
      </c>
      <c r="DH150" s="23">
        <f>EXP(-LN(2)/2)*DH149+(1-EXP(-LN(2)/2))/(LN(2)/2)*DB150*DE150*VLOOKUP('Données projet'!$B$13,Paramètres!$A$1:$I$89,3,0)*0.475*44/12</f>
        <v>2.0865456486550515E-16</v>
      </c>
      <c r="DI150" s="24">
        <f t="shared" si="123"/>
        <v>8.2773952606003007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273.00000000000023</v>
      </c>
      <c r="DP150" s="18">
        <f>DO150*VLOOKUP('Données projet'!$B$14,Paramètres!$A$1:$I$89,3,0)*VLOOKUP('Données projet'!$B$14,Paramètres!$A$1:$I$89,5,0)</f>
        <v>264.04560000000021</v>
      </c>
      <c r="DQ150" s="14">
        <f t="shared" si="151"/>
        <v>63.583959929973794</v>
      </c>
      <c r="DR150" s="22">
        <f t="shared" si="124"/>
        <v>570.6214835447048</v>
      </c>
      <c r="DS150" s="62">
        <f t="shared" si="125"/>
        <v>863.95481687803817</v>
      </c>
      <c r="DT150" s="62">
        <f ca="1">AVERAGE(OFFSET($DS$3,0,0,'Données projet'!$E$14+1,1))-AVERAGE(OFFSET($H$3,0,0,'Données projet'!$E$14+1,1))</f>
        <v>271.09447278906288</v>
      </c>
      <c r="DU150" s="62">
        <f t="shared" si="152"/>
        <v>325.1094067861851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7.226125372044331</v>
      </c>
      <c r="EB150" s="23">
        <f>EXP(-LN(2)/25)*EB149+(1-EXP(-LN(2)/25))/(LN(2)/25)*Calculateur!DW150*Calculateur!DY150*VLOOKUP('Données projet'!$B$14,Paramètres!$A$1:$I$89,3,0)*0.475*44/12</f>
        <v>0.65929058861647105</v>
      </c>
      <c r="EC150" s="23">
        <f>EXP(-LN(2)/2)*EC149+(1-EXP(-LN(2)/2))/(LN(2)/2)*DW150*DZ150*VLOOKUP('Données projet'!$B$14,Paramètres!$A$1:$I$89,3,0)*0.475*44/12</f>
        <v>4.8986976929940926E-13</v>
      </c>
      <c r="ED150" s="24">
        <f t="shared" si="126"/>
        <v>7.8854159606612928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273.00000000000023</v>
      </c>
      <c r="EK150" s="18">
        <f>EJ150*VLOOKUP('Données projet'!$B$15,Paramètres!$A$1:$I$89,3,0)*VLOOKUP('Données projet'!$B$15,Paramètres!$A$1:$I$89,5,0)</f>
        <v>293.85720000000026</v>
      </c>
      <c r="EL150" s="14">
        <f t="shared" si="153"/>
        <v>69.887150190339895</v>
      </c>
      <c r="EM150" s="22">
        <f t="shared" si="127"/>
        <v>633.52140991484237</v>
      </c>
      <c r="EN150" s="62">
        <f t="shared" si="128"/>
        <v>926.85474324817574</v>
      </c>
      <c r="EO150" s="62">
        <f ca="1">AVERAGE(OFFSET($EN$3,0,0,'Données projet'!$E$15+1,1))-AVERAGE(OFFSET($H$3,0,0,'Données projet'!$E$15+1,1))</f>
        <v>306.50593475734655</v>
      </c>
      <c r="EP150" s="62">
        <f t="shared" si="154"/>
        <v>366.48643801375079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8.0419782366299835</v>
      </c>
      <c r="EW150" s="23">
        <f>EXP(-LN(2)/25)*EW149+(1-EXP(-LN(2)/25))/(LN(2)/25)*Calculateur!ER150*Calculateur!ET150*VLOOKUP('Données projet'!$B$15,Paramètres!$A$1:$I$89,3,0)*0.475*44/12</f>
        <v>0.73372662281510426</v>
      </c>
      <c r="EX150" s="23">
        <f>EXP(-LN(2)/2)*EX149+(1-EXP(-LN(2)/2))/(LN(2)/2)*ER150*EU150*VLOOKUP('Données projet'!$B$15,Paramètres!$A$1:$I$89,3,0)*0.475*44/12</f>
        <v>5.4517764647837453E-13</v>
      </c>
      <c r="EY150" s="24">
        <f t="shared" si="129"/>
        <v>8.7757048594456339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108.51359999999964</v>
      </c>
      <c r="D151" s="12">
        <f t="shared" si="140"/>
        <v>28.980500326746164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1061.357967434529</v>
      </c>
      <c r="H151" s="70">
        <f t="shared" si="110"/>
        <v>532.80222473574895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306.99999999999994</v>
      </c>
      <c r="O151" s="14">
        <f>N151*VLOOKUP('Données projet'!$B$9,Paramètres!$A$1:$I$89,3,0)*VLOOKUP('Données projet'!$B$9,Paramètres!$A$1:$I$89,5,0)</f>
        <v>277.77359999999993</v>
      </c>
      <c r="P151" s="14">
        <f t="shared" si="141"/>
        <v>66.496288176842356</v>
      </c>
      <c r="Q151" s="22">
        <f t="shared" si="108"/>
        <v>599.60338857466706</v>
      </c>
      <c r="R151" s="62">
        <f t="shared" si="109"/>
        <v>892.93672190800044</v>
      </c>
      <c r="S151" s="62">
        <f ca="1">AVERAGE(OFFSET($R$3,0,0,'Données projet'!$E$9+1,1))-AVERAGE(OFFSET($H$3,0,0,'Données projet'!$E$9+1,1))</f>
        <v>312.57314929661908</v>
      </c>
      <c r="T151" s="62">
        <f t="shared" si="142"/>
        <v>190.92100876773804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39.91623824647602</v>
      </c>
      <c r="AA151" s="23">
        <f>EXP(-LN(2)/25)*AA150+(1-EXP(-LN(2)/25))/(LN(2)/25)*Calculateur!V151*Calculateur!X151*VLOOKUP('Données projet'!$B$9,Paramètres!$A$1:$I$89,3,0)*0.475*44/12</f>
        <v>1.3285956927415481</v>
      </c>
      <c r="AB151" s="23">
        <f>EXP(-LN(2)/2)*AB150+(1-EXP(-LN(2)/2))/(LN(2)/2)*V151*Y151*VLOOKUP('Données projet'!$B$9,Paramètres!$A$1:$I$89,3,0)*0.475*44/12</f>
        <v>1.625629419259669E-5</v>
      </c>
      <c r="AC151" s="24">
        <f t="shared" si="111"/>
        <v>41.244850195511766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306.99999999999994</v>
      </c>
      <c r="AJ151" s="14">
        <f>AI151*VLOOKUP('Données projet'!$B$10,Paramètres!$A$1:$I$89,3,0)*VLOOKUP('Données projet'!$B$10,Paramètres!$A$1:$I$89,5,0)</f>
        <v>311.298</v>
      </c>
      <c r="AK151" s="14">
        <f t="shared" si="143"/>
        <v>73.539838278528748</v>
      </c>
      <c r="AL151" s="22">
        <f t="shared" si="112"/>
        <v>670.25923500177089</v>
      </c>
      <c r="AM151" s="62">
        <f t="shared" si="113"/>
        <v>963.59256833510426</v>
      </c>
      <c r="AN151" s="62">
        <f ca="1">AVERAGE(OFFSET($AM$3,0,0,'Données projet'!$E$10+1,1))-AVERAGE(OFFSET($H$3,0,0,'Données projet'!$E$10+1,1))</f>
        <v>360.56293184044779</v>
      </c>
      <c r="AO151" s="62">
        <f t="shared" si="144"/>
        <v>219.32252911220542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44.733715276223094</v>
      </c>
      <c r="AV151" s="23">
        <f>EXP(-LN(2)/25)*AV150+(1-EXP(-LN(2)/25))/(LN(2)/25)*Calculateur!AQ151*Calculateur!AS151*VLOOKUP('Données projet'!$B$10,Paramètres!$A$1:$I$89,3,0)*0.475*44/12</f>
        <v>1.4889434487620798</v>
      </c>
      <c r="AW151" s="23">
        <f>EXP(-LN(2)/2)*AW150+(1-EXP(-LN(2)/2))/(LN(2)/2)*AQ151*AT151*VLOOKUP('Données projet'!$B$10,Paramètres!$A$1:$I$89,3,0)*0.475*44/12</f>
        <v>1.8218260733082501E-5</v>
      </c>
      <c r="AX151" s="23">
        <f t="shared" si="114"/>
        <v>46.222676943245908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1.1368683772161603E-13</v>
      </c>
      <c r="BE151" s="14">
        <f>BD151*VLOOKUP('Données projet'!$B$11,Paramètres!$A$1:$I$89,3,0)*VLOOKUP('Données projet'!$B$11,Paramètres!$A$1:$I$89,5,0)</f>
        <v>8.3355189417488869E-14</v>
      </c>
      <c r="BF151" s="14">
        <f t="shared" si="145"/>
        <v>1.2790518435140618E-12</v>
      </c>
      <c r="BG151" s="22">
        <f t="shared" si="115"/>
        <v>2.3728589156891171E-12</v>
      </c>
      <c r="BH151" s="62">
        <f t="shared" si="116"/>
        <v>293.3333333333357</v>
      </c>
      <c r="BI151" s="62">
        <f ca="1">AVERAGE(OFFSET($BH$3,0,0,'Données projet'!$E$11+1,1))-AVERAGE(OFFSET($H$3,0,0,'Données projet'!$E$11+1,1))</f>
        <v>182.06733089745194</v>
      </c>
      <c r="BJ151" s="62">
        <f t="shared" si="146"/>
        <v>320.36755413886021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5.773320589108776</v>
      </c>
      <c r="BQ151" s="23">
        <f>EXP(-LN(2)/25)*BQ150+(1-EXP(-LN(2)/25))/(LN(2)/25)*Calculateur!BL151*Calculateur!BN151*VLOOKUP('Données projet'!$B$11,Paramètres!$A$1:$I$89,3,0)*0.475*44/12</f>
        <v>0.48214730004640405</v>
      </c>
      <c r="BR151" s="23">
        <f>EXP(-LN(2)/2)*BR150+(1-EXP(-LN(2)/2))/(LN(2)/2)*BL151*BO151*VLOOKUP('Données projet'!$B$11,Paramètres!$A$1:$I$89,3,0)*0.475*44/12</f>
        <v>1.2843617768455013E-15</v>
      </c>
      <c r="BS151" s="24">
        <f t="shared" si="117"/>
        <v>6.2554678891551809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319.99999999999972</v>
      </c>
      <c r="BZ151" s="14">
        <f>BY151*VLOOKUP('Données projet'!$B$12,Paramètres!$A$1:$I$89,3,0)*VLOOKUP('Données projet'!$B$12,Paramètres!$A$1:$I$89,5,0)</f>
        <v>279.55199999999979</v>
      </c>
      <c r="CA151" s="14">
        <f t="shared" si="147"/>
        <v>66.872324781216591</v>
      </c>
      <c r="CB151" s="22">
        <f t="shared" si="118"/>
        <v>603.35569899395182</v>
      </c>
      <c r="CC151" s="62">
        <f t="shared" si="119"/>
        <v>896.68903232728508</v>
      </c>
      <c r="CD151" s="62">
        <f ca="1">AVERAGE(OFFSET($CC$3,0,0,'Données projet'!$E$12+1,1))-AVERAGE(OFFSET($H$3,0,0,'Données projet'!$E$12+1,1))</f>
        <v>248.60758320902863</v>
      </c>
      <c r="CE151" s="62">
        <f t="shared" si="148"/>
        <v>222.23585883330111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14.075007951743162</v>
      </c>
      <c r="CL151" s="23">
        <f>EXP(-LN(2)/25)*CL150+(1-EXP(-LN(2)/25))/(LN(2)/25)*Calculateur!CG151*Calculateur!CI151*VLOOKUP('Données projet'!$B$12,Paramètres!$A$1:$I$89,3,0)*0.475*44/12</f>
        <v>1.0926205993721985</v>
      </c>
      <c r="CM151" s="23">
        <f>EXP(-LN(2)/2)*CM150+(1-EXP(-LN(2)/2))/(LN(2)/2)*CG151*CJ151*VLOOKUP('Données projet'!$B$12,Paramètres!$A$1:$I$89,3,0)*0.475*44/12</f>
        <v>1.0930310203780356E-10</v>
      </c>
      <c r="CN151" s="24">
        <f t="shared" si="120"/>
        <v>15.167628551224663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193.99999999999994</v>
      </c>
      <c r="CU151" s="18">
        <f>CT151*VLOOKUP('Données projet'!$B$13,Paramètres!$A$1:$I$89,3,0)*VLOOKUP('Données projet'!$B$13,Paramètres!$A$1:$I$89,5,0)</f>
        <v>105.92399999999998</v>
      </c>
      <c r="CV151" s="14">
        <f t="shared" si="149"/>
        <v>28.36854701055546</v>
      </c>
      <c r="CW151" s="22">
        <f t="shared" si="121"/>
        <v>233.89285271005073</v>
      </c>
      <c r="CX151" s="62">
        <f t="shared" si="122"/>
        <v>527.22618604338402</v>
      </c>
      <c r="CY151" s="62">
        <f ca="1">AVERAGE(OFFSET($CX$3,0,0,'Données projet'!$E$13+1,1))-AVERAGE(OFFSET($H$3,0,0,'Données projet'!$E$13+1,1))</f>
        <v>135.44138026609272</v>
      </c>
      <c r="CZ151" s="62">
        <f t="shared" si="150"/>
        <v>254.77247578425659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6.384983490556861</v>
      </c>
      <c r="DG151" s="23">
        <f>EXP(-LN(2)/25)*DG150+(1-EXP(-LN(2)/25))/(LN(2)/25)*Calculateur!DB151*Calculateur!DD151*VLOOKUP('Données projet'!$B$13,Paramètres!$A$1:$I$89,3,0)*0.475*44/12</f>
        <v>1.716445959922744</v>
      </c>
      <c r="DH151" s="23">
        <f>EXP(-LN(2)/2)*DH150+(1-EXP(-LN(2)/2))/(LN(2)/2)*DB151*DE151*VLOOKUP('Données projet'!$B$13,Paramètres!$A$1:$I$89,3,0)*0.475*44/12</f>
        <v>1.4754105774192703E-16</v>
      </c>
      <c r="DI151" s="24">
        <f t="shared" si="123"/>
        <v>8.1014294504796052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273.00000000000023</v>
      </c>
      <c r="DP151" s="18">
        <f>DO151*VLOOKUP('Données projet'!$B$14,Paramètres!$A$1:$I$89,3,0)*VLOOKUP('Données projet'!$B$14,Paramètres!$A$1:$I$89,5,0)</f>
        <v>264.04560000000021</v>
      </c>
      <c r="DQ151" s="14">
        <f t="shared" si="151"/>
        <v>63.583959929973794</v>
      </c>
      <c r="DR151" s="22">
        <f t="shared" si="124"/>
        <v>570.6214835447048</v>
      </c>
      <c r="DS151" s="62">
        <f t="shared" si="125"/>
        <v>863.95481687803817</v>
      </c>
      <c r="DT151" s="62">
        <f ca="1">AVERAGE(OFFSET($DS$3,0,0,'Données projet'!$E$14+1,1))-AVERAGE(OFFSET($H$3,0,0,'Données projet'!$E$14+1,1))</f>
        <v>271.09447278906288</v>
      </c>
      <c r="DU151" s="62">
        <f t="shared" si="152"/>
        <v>325.1094067861851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7.0844254609998139</v>
      </c>
      <c r="EB151" s="23">
        <f>EXP(-LN(2)/25)*EB150+(1-EXP(-LN(2)/25))/(LN(2)/25)*Calculateur!DW151*Calculateur!DY151*VLOOKUP('Données projet'!$B$14,Paramètres!$A$1:$I$89,3,0)*0.475*44/12</f>
        <v>0.64126225280016846</v>
      </c>
      <c r="EC151" s="23">
        <f>EXP(-LN(2)/2)*EC150+(1-EXP(-LN(2)/2))/(LN(2)/2)*DW151*DZ151*VLOOKUP('Données projet'!$B$14,Paramètres!$A$1:$I$89,3,0)*0.475*44/12</f>
        <v>3.463902357699019E-13</v>
      </c>
      <c r="ED151" s="24">
        <f t="shared" si="126"/>
        <v>7.7256877138003288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273.00000000000023</v>
      </c>
      <c r="EK151" s="18">
        <f>EJ151*VLOOKUP('Données projet'!$B$15,Paramètres!$A$1:$I$89,3,0)*VLOOKUP('Données projet'!$B$15,Paramètres!$A$1:$I$89,5,0)</f>
        <v>293.85720000000026</v>
      </c>
      <c r="EL151" s="14">
        <f t="shared" si="153"/>
        <v>69.887150190339895</v>
      </c>
      <c r="EM151" s="22">
        <f t="shared" si="127"/>
        <v>633.52140991484237</v>
      </c>
      <c r="EN151" s="62">
        <f t="shared" si="128"/>
        <v>926.85474324817574</v>
      </c>
      <c r="EO151" s="62">
        <f ca="1">AVERAGE(OFFSET($EN$3,0,0,'Données projet'!$E$15+1,1))-AVERAGE(OFFSET($H$3,0,0,'Données projet'!$E$15+1,1))</f>
        <v>306.50593475734655</v>
      </c>
      <c r="EP151" s="62">
        <f t="shared" si="154"/>
        <v>366.48643801375079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7.8842799485320532</v>
      </c>
      <c r="EW151" s="23">
        <f>EXP(-LN(2)/25)*EW150+(1-EXP(-LN(2)/25))/(LN(2)/25)*Calculateur!ER151*Calculateur!ET151*VLOOKUP('Données projet'!$B$15,Paramètres!$A$1:$I$89,3,0)*0.475*44/12</f>
        <v>0.71366282972921913</v>
      </c>
      <c r="EX151" s="23">
        <f>EXP(-LN(2)/2)*EX150+(1-EXP(-LN(2)/2))/(LN(2)/2)*ER151*EU151*VLOOKUP('Données projet'!$B$15,Paramètres!$A$1:$I$89,3,0)*0.475*44/12</f>
        <v>3.8549881077618094E-13</v>
      </c>
      <c r="EY151" s="24">
        <f t="shared" si="129"/>
        <v>8.5979427782616575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109.24679999999964</v>
      </c>
      <c r="D152" s="12">
        <f t="shared" si="140"/>
        <v>29.153453877230778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1068.3528369470421</v>
      </c>
      <c r="H152" s="70">
        <f t="shared" si="110"/>
        <v>534.38044216950959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306.99999999999994</v>
      </c>
      <c r="O152" s="14">
        <f>N152*VLOOKUP('Données projet'!$B$9,Paramètres!$A$1:$I$89,3,0)*VLOOKUP('Données projet'!$B$9,Paramètres!$A$1:$I$89,5,0)</f>
        <v>277.77359999999993</v>
      </c>
      <c r="P152" s="14">
        <f t="shared" si="141"/>
        <v>66.496288176842356</v>
      </c>
      <c r="Q152" s="22">
        <f t="shared" si="108"/>
        <v>599.60338857466706</v>
      </c>
      <c r="R152" s="62">
        <f t="shared" si="109"/>
        <v>892.93672190800044</v>
      </c>
      <c r="S152" s="62">
        <f ca="1">AVERAGE(OFFSET($R$3,0,0,'Données projet'!$E$9+1,1))-AVERAGE(OFFSET($H$3,0,0,'Données projet'!$E$9+1,1))</f>
        <v>312.57314929661908</v>
      </c>
      <c r="T152" s="62">
        <f t="shared" si="142"/>
        <v>190.92100876773804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39.133505160963935</v>
      </c>
      <c r="AA152" s="23">
        <f>EXP(-LN(2)/25)*AA151+(1-EXP(-LN(2)/25))/(LN(2)/25)*Calculateur!V152*Calculateur!X152*VLOOKUP('Données projet'!$B$9,Paramètres!$A$1:$I$89,3,0)*0.475*44/12</f>
        <v>1.2922651736557196</v>
      </c>
      <c r="AB152" s="23">
        <f>EXP(-LN(2)/2)*AB151+(1-EXP(-LN(2)/2))/(LN(2)/2)*V152*Y152*VLOOKUP('Données projet'!$B$9,Paramètres!$A$1:$I$89,3,0)*0.475*44/12</f>
        <v>1.1494935860548611E-5</v>
      </c>
      <c r="AC152" s="24">
        <f t="shared" si="111"/>
        <v>40.425781829555518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306.99999999999994</v>
      </c>
      <c r="AJ152" s="14">
        <f>AI152*VLOOKUP('Données projet'!$B$10,Paramètres!$A$1:$I$89,3,0)*VLOOKUP('Données projet'!$B$10,Paramètres!$A$1:$I$89,5,0)</f>
        <v>311.298</v>
      </c>
      <c r="AK152" s="14">
        <f t="shared" si="143"/>
        <v>73.539838278528748</v>
      </c>
      <c r="AL152" s="22">
        <f t="shared" si="112"/>
        <v>670.25923500177089</v>
      </c>
      <c r="AM152" s="62">
        <f t="shared" si="113"/>
        <v>963.59256833510426</v>
      </c>
      <c r="AN152" s="62">
        <f ca="1">AVERAGE(OFFSET($AM$3,0,0,'Données projet'!$E$10+1,1))-AVERAGE(OFFSET($H$3,0,0,'Données projet'!$E$10+1,1))</f>
        <v>360.56293184044779</v>
      </c>
      <c r="AO152" s="62">
        <f t="shared" si="144"/>
        <v>219.32252911220542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43.856514404528518</v>
      </c>
      <c r="AV152" s="23">
        <f>EXP(-LN(2)/25)*AV151+(1-EXP(-LN(2)/25))/(LN(2)/25)*Calculateur!AQ152*Calculateur!AS152*VLOOKUP('Données projet'!$B$10,Paramètres!$A$1:$I$89,3,0)*0.475*44/12</f>
        <v>1.4482282118555478</v>
      </c>
      <c r="AW152" s="23">
        <f>EXP(-LN(2)/2)*AW151+(1-EXP(-LN(2)/2))/(LN(2)/2)*AQ152*AT152*VLOOKUP('Données projet'!$B$10,Paramètres!$A$1:$I$89,3,0)*0.475*44/12</f>
        <v>1.2882255705787239E-5</v>
      </c>
      <c r="AX152" s="23">
        <f t="shared" si="114"/>
        <v>45.304755498639771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1.1368683772161603E-13</v>
      </c>
      <c r="BE152" s="14">
        <f>BD152*VLOOKUP('Données projet'!$B$11,Paramètres!$A$1:$I$89,3,0)*VLOOKUP('Données projet'!$B$11,Paramètres!$A$1:$I$89,5,0)</f>
        <v>8.3355189417488869E-14</v>
      </c>
      <c r="BF152" s="14">
        <f t="shared" si="145"/>
        <v>1.2790518435140618E-12</v>
      </c>
      <c r="BG152" s="22">
        <f t="shared" si="115"/>
        <v>2.3728589156891171E-12</v>
      </c>
      <c r="BH152" s="62">
        <f t="shared" si="116"/>
        <v>293.3333333333357</v>
      </c>
      <c r="BI152" s="62">
        <f ca="1">AVERAGE(OFFSET($BH$3,0,0,'Données projet'!$E$11+1,1))-AVERAGE(OFFSET($H$3,0,0,'Données projet'!$E$11+1,1))</f>
        <v>182.06733089745194</v>
      </c>
      <c r="BJ152" s="62">
        <f t="shared" si="146"/>
        <v>320.36755413886021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5.6601092937342052</v>
      </c>
      <c r="BQ152" s="23">
        <f>EXP(-LN(2)/25)*BQ151+(1-EXP(-LN(2)/25))/(LN(2)/25)*Calculateur!BL152*Calculateur!BN152*VLOOKUP('Données projet'!$B$11,Paramètres!$A$1:$I$89,3,0)*0.475*44/12</f>
        <v>0.4689629567716106</v>
      </c>
      <c r="BR152" s="23">
        <f>EXP(-LN(2)/2)*BR151+(1-EXP(-LN(2)/2))/(LN(2)/2)*BL152*BO152*VLOOKUP('Données projet'!$B$11,Paramètres!$A$1:$I$89,3,0)*0.475*44/12</f>
        <v>9.081809219042573E-16</v>
      </c>
      <c r="BS152" s="24">
        <f t="shared" si="117"/>
        <v>6.1290722505058168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319.99999999999972</v>
      </c>
      <c r="BZ152" s="14">
        <f>BY152*VLOOKUP('Données projet'!$B$12,Paramètres!$A$1:$I$89,3,0)*VLOOKUP('Données projet'!$B$12,Paramètres!$A$1:$I$89,5,0)</f>
        <v>279.55199999999979</v>
      </c>
      <c r="CA152" s="14">
        <f t="shared" si="147"/>
        <v>66.872324781216591</v>
      </c>
      <c r="CB152" s="22">
        <f t="shared" si="118"/>
        <v>603.35569899395182</v>
      </c>
      <c r="CC152" s="62">
        <f t="shared" si="119"/>
        <v>896.68903232728508</v>
      </c>
      <c r="CD152" s="62">
        <f ca="1">AVERAGE(OFFSET($CC$3,0,0,'Données projet'!$E$12+1,1))-AVERAGE(OFFSET($H$3,0,0,'Données projet'!$E$12+1,1))</f>
        <v>248.60758320902863</v>
      </c>
      <c r="CE152" s="62">
        <f t="shared" si="148"/>
        <v>222.23585883330111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13.799005630716639</v>
      </c>
      <c r="CL152" s="23">
        <f>EXP(-LN(2)/25)*CL151+(1-EXP(-LN(2)/25))/(LN(2)/25)*Calculateur!CG152*Calculateur!CI152*VLOOKUP('Données projet'!$B$12,Paramètres!$A$1:$I$89,3,0)*0.475*44/12</f>
        <v>1.0627428316239456</v>
      </c>
      <c r="CM152" s="23">
        <f>EXP(-LN(2)/2)*CM151+(1-EXP(-LN(2)/2))/(LN(2)/2)*CG152*CJ152*VLOOKUP('Données projet'!$B$12,Paramètres!$A$1:$I$89,3,0)*0.475*44/12</f>
        <v>7.7288964655656035E-11</v>
      </c>
      <c r="CN152" s="24">
        <f t="shared" si="120"/>
        <v>14.861748462417873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193.99999999999994</v>
      </c>
      <c r="CU152" s="18">
        <f>CT152*VLOOKUP('Données projet'!$B$13,Paramètres!$A$1:$I$89,3,0)*VLOOKUP('Données projet'!$B$13,Paramètres!$A$1:$I$89,5,0)</f>
        <v>105.92399999999998</v>
      </c>
      <c r="CV152" s="14">
        <f t="shared" si="149"/>
        <v>28.36854701055546</v>
      </c>
      <c r="CW152" s="22">
        <f t="shared" si="121"/>
        <v>233.89285271005073</v>
      </c>
      <c r="CX152" s="62">
        <f t="shared" si="122"/>
        <v>527.22618604338402</v>
      </c>
      <c r="CY152" s="62">
        <f ca="1">AVERAGE(OFFSET($CX$3,0,0,'Données projet'!$E$13+1,1))-AVERAGE(OFFSET($H$3,0,0,'Données projet'!$E$13+1,1))</f>
        <v>135.44138026609272</v>
      </c>
      <c r="CZ152" s="62">
        <f t="shared" si="150"/>
        <v>254.77247578425659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6.2597778587624244</v>
      </c>
      <c r="DG152" s="23">
        <f>EXP(-LN(2)/25)*DG151+(1-EXP(-LN(2)/25))/(LN(2)/25)*Calculateur!DB152*Calculateur!DD152*VLOOKUP('Données projet'!$B$13,Paramètres!$A$1:$I$89,3,0)*0.475*44/12</f>
        <v>1.6695096548846864</v>
      </c>
      <c r="DH152" s="23">
        <f>EXP(-LN(2)/2)*DH151+(1-EXP(-LN(2)/2))/(LN(2)/2)*DB152*DE152*VLOOKUP('Données projet'!$B$13,Paramètres!$A$1:$I$89,3,0)*0.475*44/12</f>
        <v>1.0432728243275257E-16</v>
      </c>
      <c r="DI152" s="24">
        <f t="shared" si="123"/>
        <v>7.929287513647111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273.00000000000023</v>
      </c>
      <c r="DP152" s="18">
        <f>DO152*VLOOKUP('Données projet'!$B$14,Paramètres!$A$1:$I$89,3,0)*VLOOKUP('Données projet'!$B$14,Paramètres!$A$1:$I$89,5,0)</f>
        <v>264.04560000000021</v>
      </c>
      <c r="DQ152" s="14">
        <f t="shared" si="151"/>
        <v>63.583959929973794</v>
      </c>
      <c r="DR152" s="22">
        <f t="shared" si="124"/>
        <v>570.6214835447048</v>
      </c>
      <c r="DS152" s="62">
        <f t="shared" si="125"/>
        <v>863.95481687803817</v>
      </c>
      <c r="DT152" s="62">
        <f ca="1">AVERAGE(OFFSET($DS$3,0,0,'Données projet'!$E$14+1,1))-AVERAGE(OFFSET($H$3,0,0,'Données projet'!$E$14+1,1))</f>
        <v>271.09447278906288</v>
      </c>
      <c r="DU152" s="62">
        <f t="shared" si="152"/>
        <v>325.1094067861851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6.9455041987824684</v>
      </c>
      <c r="EB152" s="23">
        <f>EXP(-LN(2)/25)*EB151+(1-EXP(-LN(2)/25))/(LN(2)/25)*Calculateur!DW152*Calculateur!DY152*VLOOKUP('Données projet'!$B$14,Paramètres!$A$1:$I$89,3,0)*0.475*44/12</f>
        <v>0.62372690277483156</v>
      </c>
      <c r="EC152" s="23">
        <f>EXP(-LN(2)/2)*EC151+(1-EXP(-LN(2)/2))/(LN(2)/2)*DW152*DZ152*VLOOKUP('Données projet'!$B$14,Paramètres!$A$1:$I$89,3,0)*0.475*44/12</f>
        <v>2.4493488464970463E-13</v>
      </c>
      <c r="ED152" s="24">
        <f t="shared" si="126"/>
        <v>7.5692311015575449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273.00000000000023</v>
      </c>
      <c r="EK152" s="18">
        <f>EJ152*VLOOKUP('Données projet'!$B$15,Paramètres!$A$1:$I$89,3,0)*VLOOKUP('Données projet'!$B$15,Paramètres!$A$1:$I$89,5,0)</f>
        <v>293.85720000000026</v>
      </c>
      <c r="EL152" s="14">
        <f t="shared" si="153"/>
        <v>69.887150190339895</v>
      </c>
      <c r="EM152" s="22">
        <f t="shared" si="127"/>
        <v>633.52140991484237</v>
      </c>
      <c r="EN152" s="62">
        <f t="shared" si="128"/>
        <v>926.85474324817574</v>
      </c>
      <c r="EO152" s="62">
        <f ca="1">AVERAGE(OFFSET($EN$3,0,0,'Données projet'!$E$15+1,1))-AVERAGE(OFFSET($H$3,0,0,'Données projet'!$E$15+1,1))</f>
        <v>306.50593475734655</v>
      </c>
      <c r="EP152" s="62">
        <f t="shared" si="154"/>
        <v>366.48643801375079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7.7296740276772651</v>
      </c>
      <c r="EW152" s="23">
        <f>EXP(-LN(2)/25)*EW151+(1-EXP(-LN(2)/25))/(LN(2)/25)*Calculateur!ER152*Calculateur!ET152*VLOOKUP('Données projet'!$B$15,Paramètres!$A$1:$I$89,3,0)*0.475*44/12</f>
        <v>0.69414768212037647</v>
      </c>
      <c r="EX152" s="23">
        <f>EXP(-LN(2)/2)*EX151+(1-EXP(-LN(2)/2))/(LN(2)/2)*ER152*EU152*VLOOKUP('Données projet'!$B$15,Paramètres!$A$1:$I$89,3,0)*0.475*44/12</f>
        <v>2.7258882323918727E-13</v>
      </c>
      <c r="EY152" s="24">
        <f t="shared" si="129"/>
        <v>8.4238217097979131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109.97999999999963</v>
      </c>
      <c r="D153" s="12">
        <f t="shared" si="140"/>
        <v>29.326272366698181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1075.3466638832815</v>
      </c>
      <c r="H153" s="70">
        <f t="shared" si="110"/>
        <v>535.95842437199872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306.99999999999994</v>
      </c>
      <c r="O153" s="14">
        <f>N153*VLOOKUP('Données projet'!$B$9,Paramètres!$A$1:$I$89,3,0)*VLOOKUP('Données projet'!$B$9,Paramètres!$A$1:$I$89,5,0)</f>
        <v>277.77359999999993</v>
      </c>
      <c r="P153" s="14">
        <f t="shared" si="141"/>
        <v>66.496288176842356</v>
      </c>
      <c r="Q153" s="22">
        <f t="shared" si="108"/>
        <v>599.60338857466706</v>
      </c>
      <c r="R153" s="62">
        <f t="shared" si="109"/>
        <v>892.93672190800044</v>
      </c>
      <c r="S153" s="62">
        <f ca="1">AVERAGE(OFFSET($R$3,0,0,'Données projet'!$E$9+1,1))-AVERAGE(OFFSET($H$3,0,0,'Données projet'!$E$9+1,1))</f>
        <v>312.57314929661908</v>
      </c>
      <c r="T153" s="62">
        <f t="shared" si="142"/>
        <v>190.92100876773804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38.366120993838706</v>
      </c>
      <c r="AA153" s="23">
        <f>EXP(-LN(2)/25)*AA152+(1-EXP(-LN(2)/25))/(LN(2)/25)*Calculateur!V153*Calculateur!X153*VLOOKUP('Données projet'!$B$9,Paramètres!$A$1:$I$89,3,0)*0.475*44/12</f>
        <v>1.2569281145248319</v>
      </c>
      <c r="AB153" s="23">
        <f>EXP(-LN(2)/2)*AB152+(1-EXP(-LN(2)/2))/(LN(2)/2)*V153*Y153*VLOOKUP('Données projet'!$B$9,Paramètres!$A$1:$I$89,3,0)*0.475*44/12</f>
        <v>8.1281470962983452E-6</v>
      </c>
      <c r="AC153" s="24">
        <f t="shared" si="111"/>
        <v>39.623057236510633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306.99999999999994</v>
      </c>
      <c r="AJ153" s="14">
        <f>AI153*VLOOKUP('Données projet'!$B$10,Paramètres!$A$1:$I$89,3,0)*VLOOKUP('Données projet'!$B$10,Paramètres!$A$1:$I$89,5,0)</f>
        <v>311.298</v>
      </c>
      <c r="AK153" s="14">
        <f t="shared" si="143"/>
        <v>73.539838278528748</v>
      </c>
      <c r="AL153" s="22">
        <f t="shared" si="112"/>
        <v>670.25923500177089</v>
      </c>
      <c r="AM153" s="62">
        <f t="shared" si="113"/>
        <v>963.59256833510426</v>
      </c>
      <c r="AN153" s="62">
        <f ca="1">AVERAGE(OFFSET($AM$3,0,0,'Données projet'!$E$10+1,1))-AVERAGE(OFFSET($H$3,0,0,'Données projet'!$E$10+1,1))</f>
        <v>360.56293184044779</v>
      </c>
      <c r="AO153" s="62">
        <f t="shared" si="144"/>
        <v>219.32252911220542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42.996514906888173</v>
      </c>
      <c r="AV153" s="23">
        <f>EXP(-LN(2)/25)*AV152+(1-EXP(-LN(2)/25))/(LN(2)/25)*Calculateur!AQ153*Calculateur!AS153*VLOOKUP('Données projet'!$B$10,Paramètres!$A$1:$I$89,3,0)*0.475*44/12</f>
        <v>1.4086263352433461</v>
      </c>
      <c r="AW153" s="23">
        <f>EXP(-LN(2)/2)*AW152+(1-EXP(-LN(2)/2))/(LN(2)/2)*AQ153*AT153*VLOOKUP('Données projet'!$B$10,Paramètres!$A$1:$I$89,3,0)*0.475*44/12</f>
        <v>9.1091303665412507E-6</v>
      </c>
      <c r="AX153" s="23">
        <f t="shared" si="114"/>
        <v>44.405150351261888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1.1368683772161603E-13</v>
      </c>
      <c r="BE153" s="14">
        <f>BD153*VLOOKUP('Données projet'!$B$11,Paramètres!$A$1:$I$89,3,0)*VLOOKUP('Données projet'!$B$11,Paramètres!$A$1:$I$89,5,0)</f>
        <v>8.3355189417488869E-14</v>
      </c>
      <c r="BF153" s="14">
        <f t="shared" si="145"/>
        <v>1.2790518435140618E-12</v>
      </c>
      <c r="BG153" s="22">
        <f t="shared" si="115"/>
        <v>2.3728589156891171E-12</v>
      </c>
      <c r="BH153" s="62">
        <f t="shared" si="116"/>
        <v>293.3333333333357</v>
      </c>
      <c r="BI153" s="62">
        <f ca="1">AVERAGE(OFFSET($BH$3,0,0,'Données projet'!$E$11+1,1))-AVERAGE(OFFSET($H$3,0,0,'Données projet'!$E$11+1,1))</f>
        <v>182.06733089745194</v>
      </c>
      <c r="BJ153" s="62">
        <f t="shared" si="146"/>
        <v>320.36755413886021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5.5491180028098581</v>
      </c>
      <c r="BQ153" s="23">
        <f>EXP(-LN(2)/25)*BQ152+(1-EXP(-LN(2)/25))/(LN(2)/25)*Calculateur!BL153*Calculateur!BN153*VLOOKUP('Données projet'!$B$11,Paramètres!$A$1:$I$89,3,0)*0.475*44/12</f>
        <v>0.45613914005700085</v>
      </c>
      <c r="BR153" s="23">
        <f>EXP(-LN(2)/2)*BR152+(1-EXP(-LN(2)/2))/(LN(2)/2)*BL153*BO153*VLOOKUP('Données projet'!$B$11,Paramètres!$A$1:$I$89,3,0)*0.475*44/12</f>
        <v>6.4218088842275067E-16</v>
      </c>
      <c r="BS153" s="24">
        <f t="shared" si="117"/>
        <v>6.00525714286686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319.99999999999972</v>
      </c>
      <c r="BZ153" s="14">
        <f>BY153*VLOOKUP('Données projet'!$B$12,Paramètres!$A$1:$I$89,3,0)*VLOOKUP('Données projet'!$B$12,Paramètres!$A$1:$I$89,5,0)</f>
        <v>279.55199999999979</v>
      </c>
      <c r="CA153" s="14">
        <f t="shared" si="147"/>
        <v>66.872324781216591</v>
      </c>
      <c r="CB153" s="22">
        <f t="shared" si="118"/>
        <v>603.35569899395182</v>
      </c>
      <c r="CC153" s="62">
        <f t="shared" si="119"/>
        <v>896.68903232728508</v>
      </c>
      <c r="CD153" s="62">
        <f ca="1">AVERAGE(OFFSET($CC$3,0,0,'Données projet'!$E$12+1,1))-AVERAGE(OFFSET($H$3,0,0,'Données projet'!$E$12+1,1))</f>
        <v>248.60758320902863</v>
      </c>
      <c r="CE153" s="62">
        <f t="shared" si="148"/>
        <v>222.23585883330111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13.528415546860654</v>
      </c>
      <c r="CL153" s="23">
        <f>EXP(-LN(2)/25)*CL152+(1-EXP(-LN(2)/25))/(LN(2)/25)*Calculateur!CG153*Calculateur!CI153*VLOOKUP('Données projet'!$B$12,Paramètres!$A$1:$I$89,3,0)*0.475*44/12</f>
        <v>1.0336820730059721</v>
      </c>
      <c r="CM153" s="23">
        <f>EXP(-LN(2)/2)*CM152+(1-EXP(-LN(2)/2))/(LN(2)/2)*CG153*CJ153*VLOOKUP('Données projet'!$B$12,Paramètres!$A$1:$I$89,3,0)*0.475*44/12</f>
        <v>5.4651551018901778E-11</v>
      </c>
      <c r="CN153" s="24">
        <f t="shared" si="120"/>
        <v>14.562097619921277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193.99999999999994</v>
      </c>
      <c r="CU153" s="18">
        <f>CT153*VLOOKUP('Données projet'!$B$13,Paramètres!$A$1:$I$89,3,0)*VLOOKUP('Données projet'!$B$13,Paramètres!$A$1:$I$89,5,0)</f>
        <v>105.92399999999998</v>
      </c>
      <c r="CV153" s="14">
        <f t="shared" si="149"/>
        <v>28.36854701055546</v>
      </c>
      <c r="CW153" s="22">
        <f t="shared" si="121"/>
        <v>233.89285271005073</v>
      </c>
      <c r="CX153" s="62">
        <f t="shared" si="122"/>
        <v>527.22618604338402</v>
      </c>
      <c r="CY153" s="62">
        <f ca="1">AVERAGE(OFFSET($CX$3,0,0,'Données projet'!$E$13+1,1))-AVERAGE(OFFSET($H$3,0,0,'Données projet'!$E$13+1,1))</f>
        <v>135.44138026609272</v>
      </c>
      <c r="CZ153" s="62">
        <f t="shared" si="150"/>
        <v>254.77247578425659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6.1370274330395826</v>
      </c>
      <c r="DG153" s="23">
        <f>EXP(-LN(2)/25)*DG152+(1-EXP(-LN(2)/25))/(LN(2)/25)*Calculateur!DB153*Calculateur!DD153*VLOOKUP('Données projet'!$B$13,Paramètres!$A$1:$I$89,3,0)*0.475*44/12</f>
        <v>1.6238568255761676</v>
      </c>
      <c r="DH153" s="23">
        <f>EXP(-LN(2)/2)*DH152+(1-EXP(-LN(2)/2))/(LN(2)/2)*DB153*DE153*VLOOKUP('Données projet'!$B$13,Paramètres!$A$1:$I$89,3,0)*0.475*44/12</f>
        <v>7.3770528870963517E-17</v>
      </c>
      <c r="DI153" s="24">
        <f t="shared" si="123"/>
        <v>7.76088425861575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273.00000000000023</v>
      </c>
      <c r="DP153" s="18">
        <f>DO153*VLOOKUP('Données projet'!$B$14,Paramètres!$A$1:$I$89,3,0)*VLOOKUP('Données projet'!$B$14,Paramètres!$A$1:$I$89,5,0)</f>
        <v>264.04560000000021</v>
      </c>
      <c r="DQ153" s="14">
        <f t="shared" si="151"/>
        <v>63.583959929973794</v>
      </c>
      <c r="DR153" s="22">
        <f t="shared" si="124"/>
        <v>570.6214835447048</v>
      </c>
      <c r="DS153" s="62">
        <f t="shared" si="125"/>
        <v>863.95481687803817</v>
      </c>
      <c r="DT153" s="62">
        <f ca="1">AVERAGE(OFFSET($DS$3,0,0,'Données projet'!$E$14+1,1))-AVERAGE(OFFSET($H$3,0,0,'Données projet'!$E$14+1,1))</f>
        <v>271.09447278906288</v>
      </c>
      <c r="DU153" s="62">
        <f t="shared" si="152"/>
        <v>325.1094067861851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6.8093070977836021</v>
      </c>
      <c r="EB153" s="23">
        <f>EXP(-LN(2)/25)*EB152+(1-EXP(-LN(2)/25))/(LN(2)/25)*Calculateur!DW153*Calculateur!DY153*VLOOKUP('Données projet'!$B$14,Paramètres!$A$1:$I$89,3,0)*0.475*44/12</f>
        <v>0.6066710578180815</v>
      </c>
      <c r="EC153" s="23">
        <f>EXP(-LN(2)/2)*EC152+(1-EXP(-LN(2)/2))/(LN(2)/2)*DW153*DZ153*VLOOKUP('Données projet'!$B$14,Paramètres!$A$1:$I$89,3,0)*0.475*44/12</f>
        <v>1.7319511788495095E-13</v>
      </c>
      <c r="ED153" s="24">
        <f t="shared" si="126"/>
        <v>7.4159781556018567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273.00000000000023</v>
      </c>
      <c r="EK153" s="18">
        <f>EJ153*VLOOKUP('Données projet'!$B$15,Paramètres!$A$1:$I$89,3,0)*VLOOKUP('Données projet'!$B$15,Paramètres!$A$1:$I$89,5,0)</f>
        <v>293.85720000000026</v>
      </c>
      <c r="EL153" s="14">
        <f t="shared" si="153"/>
        <v>69.887150190339895</v>
      </c>
      <c r="EM153" s="22">
        <f t="shared" si="127"/>
        <v>633.52140991484237</v>
      </c>
      <c r="EN153" s="62">
        <f t="shared" si="128"/>
        <v>926.85474324817574</v>
      </c>
      <c r="EO153" s="62">
        <f ca="1">AVERAGE(OFFSET($EN$3,0,0,'Données projet'!$E$15+1,1))-AVERAGE(OFFSET($H$3,0,0,'Données projet'!$E$15+1,1))</f>
        <v>306.50593475734655</v>
      </c>
      <c r="EP153" s="62">
        <f t="shared" si="154"/>
        <v>366.48643801375079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7.5780998346301391</v>
      </c>
      <c r="EW153" s="23">
        <f>EXP(-LN(2)/25)*EW152+(1-EXP(-LN(2)/25))/(LN(2)/25)*Calculateur!ER153*Calculateur!ET153*VLOOKUP('Données projet'!$B$15,Paramètres!$A$1:$I$89,3,0)*0.475*44/12</f>
        <v>0.67516617724915462</v>
      </c>
      <c r="EX153" s="23">
        <f>EXP(-LN(2)/2)*EX152+(1-EXP(-LN(2)/2))/(LN(2)/2)*ER153*EU153*VLOOKUP('Données projet'!$B$15,Paramètres!$A$1:$I$89,3,0)*0.475*44/12</f>
        <v>1.9274940538809047E-13</v>
      </c>
      <c r="EY153" s="24">
        <f t="shared" si="129"/>
        <v>8.2532660118794876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110.71319999999963</v>
      </c>
      <c r="D154" s="12">
        <f t="shared" si="140"/>
        <v>29.498956799987411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1082.3394559998999</v>
      </c>
      <c r="H154" s="70">
        <f t="shared" si="110"/>
        <v>537.53617309331071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306.99999999999994</v>
      </c>
      <c r="O154" s="14">
        <f>N154*VLOOKUP('Données projet'!$B$9,Paramètres!$A$1:$I$89,3,0)*VLOOKUP('Données projet'!$B$9,Paramètres!$A$1:$I$89,5,0)</f>
        <v>277.77359999999993</v>
      </c>
      <c r="P154" s="14">
        <f t="shared" si="141"/>
        <v>66.496288176842356</v>
      </c>
      <c r="Q154" s="22">
        <f t="shared" ref="Q154:Q203" si="162">(O154+P154)*0.475*44/12</f>
        <v>599.60338857466706</v>
      </c>
      <c r="R154" s="62">
        <f t="shared" si="109"/>
        <v>892.93672190800044</v>
      </c>
      <c r="S154" s="62">
        <f ca="1">AVERAGE(OFFSET($R$3,0,0,'Données projet'!$E$9+1,1))-AVERAGE(OFFSET($H$3,0,0,'Données projet'!$E$9+1,1))</f>
        <v>312.57314929661908</v>
      </c>
      <c r="T154" s="62">
        <f t="shared" si="142"/>
        <v>190.92100876773804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37.613784762172678</v>
      </c>
      <c r="AA154" s="23">
        <f>EXP(-LN(2)/25)*AA153+(1-EXP(-LN(2)/25))/(LN(2)/25)*Calculateur!V154*Calculateur!X154*VLOOKUP('Données projet'!$B$9,Paramètres!$A$1:$I$89,3,0)*0.475*44/12</f>
        <v>1.2225573491341735</v>
      </c>
      <c r="AB154" s="23">
        <f>EXP(-LN(2)/2)*AB153+(1-EXP(-LN(2)/2))/(LN(2)/2)*V154*Y154*VLOOKUP('Données projet'!$B$9,Paramètres!$A$1:$I$89,3,0)*0.475*44/12</f>
        <v>5.7474679302743056E-6</v>
      </c>
      <c r="AC154" s="24">
        <f t="shared" ref="AC154:AC203" si="163">SUM(Z154:AB154)</f>
        <v>38.836347858774779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306.99999999999994</v>
      </c>
      <c r="AJ154" s="14">
        <f>AI154*VLOOKUP('Données projet'!$B$10,Paramètres!$A$1:$I$89,3,0)*VLOOKUP('Données projet'!$B$10,Paramètres!$A$1:$I$89,5,0)</f>
        <v>311.298</v>
      </c>
      <c r="AK154" s="14">
        <f t="shared" ref="AK154:AK203" si="164">EXP(-1.0587+0.8836*LN(AJ154)+0.284)</f>
        <v>73.539838278528748</v>
      </c>
      <c r="AL154" s="22">
        <f t="shared" ref="AL154:AL203" si="165">(AJ154+AK154)*0.475*44/12</f>
        <v>670.25923500177089</v>
      </c>
      <c r="AM154" s="62">
        <f t="shared" si="113"/>
        <v>963.59256833510426</v>
      </c>
      <c r="AN154" s="62">
        <f ca="1">AVERAGE(OFFSET($AM$3,0,0,'Données projet'!$E$10+1,1))-AVERAGE(OFFSET($H$3,0,0,'Données projet'!$E$10+1,1))</f>
        <v>360.56293184044779</v>
      </c>
      <c r="AO154" s="62">
        <f t="shared" si="144"/>
        <v>219.32252911220542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42.153379474848656</v>
      </c>
      <c r="AV154" s="23">
        <f>EXP(-LN(2)/25)*AV153+(1-EXP(-LN(2)/25))/(LN(2)/25)*Calculateur!AQ154*Calculateur!AS154*VLOOKUP('Données projet'!$B$10,Paramètres!$A$1:$I$89,3,0)*0.475*44/12</f>
        <v>1.3701073740296774</v>
      </c>
      <c r="AW154" s="23">
        <f>EXP(-LN(2)/2)*AW153+(1-EXP(-LN(2)/2))/(LN(2)/2)*AQ154*AT154*VLOOKUP('Données projet'!$B$10,Paramètres!$A$1:$I$89,3,0)*0.475*44/12</f>
        <v>6.4411278528936196E-6</v>
      </c>
      <c r="AX154" s="23">
        <f t="shared" ref="AX154:AX203" si="166">SUM(AU154:AW154)</f>
        <v>43.523493290006186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1.1368683772161603E-13</v>
      </c>
      <c r="BE154" s="14">
        <f>BD154*VLOOKUP('Données projet'!$B$11,Paramètres!$A$1:$I$89,3,0)*VLOOKUP('Données projet'!$B$11,Paramètres!$A$1:$I$89,5,0)</f>
        <v>8.3355189417488869E-14</v>
      </c>
      <c r="BF154" s="14">
        <f t="shared" ref="BF154:BF203" si="167">EXP(-1.0587+0.8836*LN(BE154)+0.284)</f>
        <v>1.2790518435140618E-12</v>
      </c>
      <c r="BG154" s="22">
        <f t="shared" ref="BG154:BG203" si="168">(BE154+BF154)*0.475*44/12</f>
        <v>2.3728589156891171E-12</v>
      </c>
      <c r="BH154" s="62">
        <f t="shared" si="116"/>
        <v>293.3333333333357</v>
      </c>
      <c r="BI154" s="62">
        <f ca="1">AVERAGE(OFFSET($BH$3,0,0,'Données projet'!$E$11+1,1))-AVERAGE(OFFSET($H$3,0,0,'Données projet'!$E$11+1,1))</f>
        <v>182.06733089745194</v>
      </c>
      <c r="BJ154" s="62">
        <f t="shared" si="146"/>
        <v>320.36755413886021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5.4403031834025342</v>
      </c>
      <c r="BQ154" s="23">
        <f>EXP(-LN(2)/25)*BQ153+(1-EXP(-LN(2)/25))/(LN(2)/25)*Calculateur!BL154*Calculateur!BN154*VLOOKUP('Données projet'!$B$11,Paramètres!$A$1:$I$89,3,0)*0.475*44/12</f>
        <v>0.44366599128482731</v>
      </c>
      <c r="BR154" s="23">
        <f>EXP(-LN(2)/2)*BR153+(1-EXP(-LN(2)/2))/(LN(2)/2)*BL154*BO154*VLOOKUP('Données projet'!$B$11,Paramètres!$A$1:$I$89,3,0)*0.475*44/12</f>
        <v>4.5409046095212865E-16</v>
      </c>
      <c r="BS154" s="24">
        <f t="shared" ref="BS154:BS203" si="169">SUM(BP154:BR154)</f>
        <v>5.8839691746873628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319.99999999999972</v>
      </c>
      <c r="BZ154" s="14">
        <f>BY154*VLOOKUP('Données projet'!$B$12,Paramètres!$A$1:$I$89,3,0)*VLOOKUP('Données projet'!$B$12,Paramètres!$A$1:$I$89,5,0)</f>
        <v>279.55199999999979</v>
      </c>
      <c r="CA154" s="14">
        <f t="shared" ref="CA154:CA203" si="170">EXP(-1.0587+0.8836*LN(BZ154)+0.284)</f>
        <v>66.872324781216591</v>
      </c>
      <c r="CB154" s="22">
        <f t="shared" ref="CB154:CB203" si="171">(BZ154+CA154)*0.475*44/12</f>
        <v>603.35569899395182</v>
      </c>
      <c r="CC154" s="62">
        <f t="shared" si="119"/>
        <v>896.68903232728508</v>
      </c>
      <c r="CD154" s="62">
        <f ca="1">AVERAGE(OFFSET($CC$3,0,0,'Données projet'!$E$12+1,1))-AVERAGE(OFFSET($H$3,0,0,'Données projet'!$E$12+1,1))</f>
        <v>248.60758320902863</v>
      </c>
      <c r="CE154" s="62">
        <f t="shared" si="148"/>
        <v>222.23585883330111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13.263131569505429</v>
      </c>
      <c r="CL154" s="23">
        <f>EXP(-LN(2)/25)*CL153+(1-EXP(-LN(2)/25))/(LN(2)/25)*Calculateur!CG154*Calculateur!CI154*VLOOKUP('Données projet'!$B$12,Paramètres!$A$1:$I$89,3,0)*0.475*44/12</f>
        <v>1.0054159823606461</v>
      </c>
      <c r="CM154" s="23">
        <f>EXP(-LN(2)/2)*CM153+(1-EXP(-LN(2)/2))/(LN(2)/2)*CG154*CJ154*VLOOKUP('Données projet'!$B$12,Paramètres!$A$1:$I$89,3,0)*0.475*44/12</f>
        <v>3.8644482327828018E-11</v>
      </c>
      <c r="CN154" s="24">
        <f t="shared" ref="CN154:CN203" si="172">SUM(CK154:CM154)</f>
        <v>14.268547551904719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193.99999999999994</v>
      </c>
      <c r="CU154" s="18">
        <f>CT154*VLOOKUP('Données projet'!$B$13,Paramètres!$A$1:$I$89,3,0)*VLOOKUP('Données projet'!$B$13,Paramètres!$A$1:$I$89,5,0)</f>
        <v>105.92399999999998</v>
      </c>
      <c r="CV154" s="14">
        <f t="shared" ref="CV154:CV203" si="173">EXP(-1.0587+0.8836*LN(CU154)+0.284)</f>
        <v>28.36854701055546</v>
      </c>
      <c r="CW154" s="22">
        <f t="shared" ref="CW154:CW203" si="174">(CU154+CV154)*0.475*44/12</f>
        <v>233.89285271005073</v>
      </c>
      <c r="CX154" s="62">
        <f t="shared" si="122"/>
        <v>527.22618604338402</v>
      </c>
      <c r="CY154" s="62">
        <f ca="1">AVERAGE(OFFSET($CX$3,0,0,'Données projet'!$E$13+1,1))-AVERAGE(OFFSET($H$3,0,0,'Données projet'!$E$13+1,1))</f>
        <v>135.44138026609272</v>
      </c>
      <c r="CZ154" s="62">
        <f t="shared" si="150"/>
        <v>254.77247578425659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6.0166840682947988</v>
      </c>
      <c r="DG154" s="23">
        <f>EXP(-LN(2)/25)*DG153+(1-EXP(-LN(2)/25))/(LN(2)/25)*Calculateur!DB154*Calculateur!DD154*VLOOKUP('Données projet'!$B$13,Paramètres!$A$1:$I$89,3,0)*0.475*44/12</f>
        <v>1.5794523752858682</v>
      </c>
      <c r="DH154" s="23">
        <f>EXP(-LN(2)/2)*DH153+(1-EXP(-LN(2)/2))/(LN(2)/2)*DB154*DE154*VLOOKUP('Données projet'!$B$13,Paramètres!$A$1:$I$89,3,0)*0.475*44/12</f>
        <v>5.2163641216376287E-17</v>
      </c>
      <c r="DI154" s="24">
        <f t="shared" ref="DI154:DI203" si="175">SUM(DF154:DH154)</f>
        <v>7.5961364435806669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273.00000000000023</v>
      </c>
      <c r="DP154" s="18">
        <f>DO154*VLOOKUP('Données projet'!$B$14,Paramètres!$A$1:$I$89,3,0)*VLOOKUP('Données projet'!$B$14,Paramètres!$A$1:$I$89,5,0)</f>
        <v>264.04560000000021</v>
      </c>
      <c r="DQ154" s="14">
        <f t="shared" ref="DQ154:DQ203" si="176">EXP(-1.0587+0.8836*LN(DP154)+0.284)</f>
        <v>63.583959929973794</v>
      </c>
      <c r="DR154" s="22">
        <f t="shared" ref="DR154:DR203" si="177">(DP154+DQ154)*0.475*44/12</f>
        <v>570.6214835447048</v>
      </c>
      <c r="DS154" s="62">
        <f t="shared" si="125"/>
        <v>863.95481687803817</v>
      </c>
      <c r="DT154" s="62">
        <f ca="1">AVERAGE(OFFSET($DS$3,0,0,'Données projet'!$E$14+1,1))-AVERAGE(OFFSET($H$3,0,0,'Données projet'!$E$14+1,1))</f>
        <v>271.09447278906288</v>
      </c>
      <c r="DU154" s="62">
        <f t="shared" si="152"/>
        <v>325.1094067861851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6.6757807388632946</v>
      </c>
      <c r="EB154" s="23">
        <f>EXP(-LN(2)/25)*EB153+(1-EXP(-LN(2)/25))/(LN(2)/25)*Calculateur!DW154*Calculateur!DY154*VLOOKUP('Données projet'!$B$14,Paramètres!$A$1:$I$89,3,0)*0.475*44/12</f>
        <v>0.5900816058386017</v>
      </c>
      <c r="EC154" s="23">
        <f>EXP(-LN(2)/2)*EC153+(1-EXP(-LN(2)/2))/(LN(2)/2)*DW154*DZ154*VLOOKUP('Données projet'!$B$14,Paramètres!$A$1:$I$89,3,0)*0.475*44/12</f>
        <v>1.2246744232485232E-13</v>
      </c>
      <c r="ED154" s="24">
        <f t="shared" ref="ED154:ED203" si="178">SUM(EA154:EC154)</f>
        <v>7.2658623447020192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273.00000000000023</v>
      </c>
      <c r="EK154" s="18">
        <f>EJ154*VLOOKUP('Données projet'!$B$15,Paramètres!$A$1:$I$89,3,0)*VLOOKUP('Données projet'!$B$15,Paramètres!$A$1:$I$89,5,0)</f>
        <v>293.85720000000026</v>
      </c>
      <c r="EL154" s="14">
        <f t="shared" ref="EL154:EL203" si="179">EXP(-1.0587+0.8836*LN(EK154)+0.284)</f>
        <v>69.887150190339895</v>
      </c>
      <c r="EM154" s="22">
        <f t="shared" ref="EM154:EM203" si="180">(EK154+EL154)*0.475*44/12</f>
        <v>633.52140991484237</v>
      </c>
      <c r="EN154" s="62">
        <f t="shared" si="128"/>
        <v>926.85474324817574</v>
      </c>
      <c r="EO154" s="62">
        <f ca="1">AVERAGE(OFFSET($EN$3,0,0,'Données projet'!$E$15+1,1))-AVERAGE(OFFSET($H$3,0,0,'Données projet'!$E$15+1,1))</f>
        <v>306.50593475734655</v>
      </c>
      <c r="EP154" s="62">
        <f t="shared" si="154"/>
        <v>366.48643801375079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7.4294979190575381</v>
      </c>
      <c r="EW154" s="23">
        <f>EXP(-LN(2)/25)*EW153+(1-EXP(-LN(2)/25))/(LN(2)/25)*Calculateur!ER154*Calculateur!ET154*VLOOKUP('Données projet'!$B$15,Paramètres!$A$1:$I$89,3,0)*0.475*44/12</f>
        <v>0.6567037226268303</v>
      </c>
      <c r="EX154" s="23">
        <f>EXP(-LN(2)/2)*EX153+(1-EXP(-LN(2)/2))/(LN(2)/2)*ER154*EU154*VLOOKUP('Données projet'!$B$15,Paramètres!$A$1:$I$89,3,0)*0.475*44/12</f>
        <v>1.3629441161959363E-13</v>
      </c>
      <c r="EY154" s="24">
        <f t="shared" ref="EY154:EY203" si="181">SUM(EV154:EX154)</f>
        <v>8.0862016416845055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111.44639999999963</v>
      </c>
      <c r="D155" s="12">
        <f t="shared" si="140"/>
        <v>29.671508167859105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1089.3312209448743</v>
      </c>
      <c r="H155" s="70">
        <f t="shared" si="110"/>
        <v>539.11369005902054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306.99999999999994</v>
      </c>
      <c r="O155" s="14">
        <f>N155*VLOOKUP('Données projet'!$B$9,Paramètres!$A$1:$I$89,3,0)*VLOOKUP('Données projet'!$B$9,Paramètres!$A$1:$I$89,5,0)</f>
        <v>277.77359999999993</v>
      </c>
      <c r="P155" s="14">
        <f t="shared" si="141"/>
        <v>66.496288176842356</v>
      </c>
      <c r="Q155" s="22">
        <f t="shared" si="162"/>
        <v>599.60338857466706</v>
      </c>
      <c r="R155" s="62">
        <f t="shared" si="109"/>
        <v>892.93672190800044</v>
      </c>
      <c r="S155" s="62">
        <f ca="1">AVERAGE(OFFSET($R$3,0,0,'Données projet'!$E$9+1,1))-AVERAGE(OFFSET($H$3,0,0,'Données projet'!$E$9+1,1))</f>
        <v>312.57314929661908</v>
      </c>
      <c r="T155" s="62">
        <f t="shared" si="142"/>
        <v>190.92100876773804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36.876201385129825</v>
      </c>
      <c r="AA155" s="23">
        <f>EXP(-LN(2)/25)*AA154+(1-EXP(-LN(2)/25))/(LN(2)/25)*Calculateur!V155*Calculateur!X155*VLOOKUP('Données projet'!$B$9,Paramètres!$A$1:$I$89,3,0)*0.475*44/12</f>
        <v>1.1891264541306026</v>
      </c>
      <c r="AB155" s="23">
        <f>EXP(-LN(2)/2)*AB154+(1-EXP(-LN(2)/2))/(LN(2)/2)*V155*Y155*VLOOKUP('Données projet'!$B$9,Paramètres!$A$1:$I$89,3,0)*0.475*44/12</f>
        <v>4.0640735481491726E-6</v>
      </c>
      <c r="AC155" s="24">
        <f t="shared" si="163"/>
        <v>38.065331903333977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306.99999999999994</v>
      </c>
      <c r="AJ155" s="14">
        <f>AI155*VLOOKUP('Données projet'!$B$10,Paramètres!$A$1:$I$89,3,0)*VLOOKUP('Données projet'!$B$10,Paramètres!$A$1:$I$89,5,0)</f>
        <v>311.298</v>
      </c>
      <c r="AK155" s="14">
        <f t="shared" si="164"/>
        <v>73.539838278528748</v>
      </c>
      <c r="AL155" s="22">
        <f t="shared" si="165"/>
        <v>670.25923500177089</v>
      </c>
      <c r="AM155" s="62">
        <f t="shared" si="113"/>
        <v>963.59256833510426</v>
      </c>
      <c r="AN155" s="62">
        <f ca="1">AVERAGE(OFFSET($AM$3,0,0,'Données projet'!$E$10+1,1))-AVERAGE(OFFSET($H$3,0,0,'Données projet'!$E$10+1,1))</f>
        <v>360.56293184044779</v>
      </c>
      <c r="AO155" s="62">
        <f t="shared" si="144"/>
        <v>219.32252911220542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41.326777414369602</v>
      </c>
      <c r="AV155" s="23">
        <f>EXP(-LN(2)/25)*AV154+(1-EXP(-LN(2)/25))/(LN(2)/25)*Calculateur!AQ155*Calculateur!AS155*VLOOKUP('Données projet'!$B$10,Paramètres!$A$1:$I$89,3,0)*0.475*44/12</f>
        <v>1.3326417158360204</v>
      </c>
      <c r="AW155" s="23">
        <f>EXP(-LN(2)/2)*AW154+(1-EXP(-LN(2)/2))/(LN(2)/2)*AQ155*AT155*VLOOKUP('Données projet'!$B$10,Paramètres!$A$1:$I$89,3,0)*0.475*44/12</f>
        <v>4.5545651832706253E-6</v>
      </c>
      <c r="AX155" s="23">
        <f t="shared" si="166"/>
        <v>42.6594236847708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1.1368683772161603E-13</v>
      </c>
      <c r="BE155" s="14">
        <f>BD155*VLOOKUP('Données projet'!$B$11,Paramètres!$A$1:$I$89,3,0)*VLOOKUP('Données projet'!$B$11,Paramètres!$A$1:$I$89,5,0)</f>
        <v>8.3355189417488869E-14</v>
      </c>
      <c r="BF155" s="14">
        <f t="shared" si="167"/>
        <v>1.2790518435140618E-12</v>
      </c>
      <c r="BG155" s="22">
        <f t="shared" si="168"/>
        <v>2.3728589156891171E-12</v>
      </c>
      <c r="BH155" s="62">
        <f t="shared" si="116"/>
        <v>293.3333333333357</v>
      </c>
      <c r="BI155" s="62">
        <f ca="1">AVERAGE(OFFSET($BH$3,0,0,'Données projet'!$E$11+1,1))-AVERAGE(OFFSET($H$3,0,0,'Données projet'!$E$11+1,1))</f>
        <v>182.06733089745194</v>
      </c>
      <c r="BJ155" s="62">
        <f t="shared" si="146"/>
        <v>320.36755413886021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5.3336221562333019</v>
      </c>
      <c r="BQ155" s="23">
        <f>EXP(-LN(2)/25)*BQ154+(1-EXP(-LN(2)/25))/(LN(2)/25)*Calculateur!BL155*Calculateur!BN155*VLOOKUP('Données projet'!$B$11,Paramètres!$A$1:$I$89,3,0)*0.475*44/12</f>
        <v>0.43153392142176322</v>
      </c>
      <c r="BR155" s="23">
        <f>EXP(-LN(2)/2)*BR154+(1-EXP(-LN(2)/2))/(LN(2)/2)*BL155*BO155*VLOOKUP('Données projet'!$B$11,Paramètres!$A$1:$I$89,3,0)*0.475*44/12</f>
        <v>3.2109044421137533E-16</v>
      </c>
      <c r="BS155" s="24">
        <f t="shared" si="169"/>
        <v>5.7651560776550648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319.99999999999972</v>
      </c>
      <c r="BZ155" s="14">
        <f>BY155*VLOOKUP('Données projet'!$B$12,Paramètres!$A$1:$I$89,3,0)*VLOOKUP('Données projet'!$B$12,Paramètres!$A$1:$I$89,5,0)</f>
        <v>279.55199999999979</v>
      </c>
      <c r="CA155" s="14">
        <f t="shared" si="170"/>
        <v>66.872324781216591</v>
      </c>
      <c r="CB155" s="22">
        <f t="shared" si="171"/>
        <v>603.35569899395182</v>
      </c>
      <c r="CC155" s="62">
        <f t="shared" si="119"/>
        <v>896.68903232728508</v>
      </c>
      <c r="CD155" s="62">
        <f ca="1">AVERAGE(OFFSET($CC$3,0,0,'Données projet'!$E$12+1,1))-AVERAGE(OFFSET($H$3,0,0,'Données projet'!$E$12+1,1))</f>
        <v>248.60758320902863</v>
      </c>
      <c r="CE155" s="62">
        <f t="shared" si="148"/>
        <v>222.23585883330111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13.003049649138893</v>
      </c>
      <c r="CL155" s="23">
        <f>EXP(-LN(2)/25)*CL154+(1-EXP(-LN(2)/25))/(LN(2)/25)*Calculateur!CG155*Calculateur!CI155*VLOOKUP('Données projet'!$B$12,Paramètres!$A$1:$I$89,3,0)*0.475*44/12</f>
        <v>0.9779228294504656</v>
      </c>
      <c r="CM155" s="23">
        <f>EXP(-LN(2)/2)*CM154+(1-EXP(-LN(2)/2))/(LN(2)/2)*CG155*CJ155*VLOOKUP('Données projet'!$B$12,Paramètres!$A$1:$I$89,3,0)*0.475*44/12</f>
        <v>2.7325775509450889E-11</v>
      </c>
      <c r="CN155" s="24">
        <f t="shared" si="172"/>
        <v>13.980972478616684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193.99999999999994</v>
      </c>
      <c r="CU155" s="18">
        <f>CT155*VLOOKUP('Données projet'!$B$13,Paramètres!$A$1:$I$89,3,0)*VLOOKUP('Données projet'!$B$13,Paramètres!$A$1:$I$89,5,0)</f>
        <v>105.92399999999998</v>
      </c>
      <c r="CV155" s="14">
        <f t="shared" si="173"/>
        <v>28.36854701055546</v>
      </c>
      <c r="CW155" s="22">
        <f t="shared" si="174"/>
        <v>233.89285271005073</v>
      </c>
      <c r="CX155" s="62">
        <f t="shared" si="122"/>
        <v>527.22618604338402</v>
      </c>
      <c r="CY155" s="62">
        <f ca="1">AVERAGE(OFFSET($CX$3,0,0,'Données projet'!$E$13+1,1))-AVERAGE(OFFSET($H$3,0,0,'Données projet'!$E$13+1,1))</f>
        <v>135.44138026609272</v>
      </c>
      <c r="CZ155" s="62">
        <f t="shared" si="150"/>
        <v>254.77247578425659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5.898700563530455</v>
      </c>
      <c r="DG155" s="23">
        <f>EXP(-LN(2)/25)*DG154+(1-EXP(-LN(2)/25))/(LN(2)/25)*Calculateur!DB155*Calculateur!DD155*VLOOKUP('Données projet'!$B$13,Paramètres!$A$1:$I$89,3,0)*0.475*44/12</f>
        <v>1.5362621670238856</v>
      </c>
      <c r="DH155" s="23">
        <f>EXP(-LN(2)/2)*DH154+(1-EXP(-LN(2)/2))/(LN(2)/2)*DB155*DE155*VLOOKUP('Données projet'!$B$13,Paramètres!$A$1:$I$89,3,0)*0.475*44/12</f>
        <v>3.6885264435481758E-17</v>
      </c>
      <c r="DI155" s="24">
        <f t="shared" si="175"/>
        <v>7.4349627305543411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273.00000000000023</v>
      </c>
      <c r="DP155" s="18">
        <f>DO155*VLOOKUP('Données projet'!$B$14,Paramètres!$A$1:$I$89,3,0)*VLOOKUP('Données projet'!$B$14,Paramètres!$A$1:$I$89,5,0)</f>
        <v>264.04560000000021</v>
      </c>
      <c r="DQ155" s="14">
        <f t="shared" si="176"/>
        <v>63.583959929973794</v>
      </c>
      <c r="DR155" s="22">
        <f t="shared" si="177"/>
        <v>570.6214835447048</v>
      </c>
      <c r="DS155" s="62">
        <f t="shared" si="125"/>
        <v>863.95481687803817</v>
      </c>
      <c r="DT155" s="62">
        <f ca="1">AVERAGE(OFFSET($DS$3,0,0,'Données projet'!$E$14+1,1))-AVERAGE(OFFSET($H$3,0,0,'Données projet'!$E$14+1,1))</f>
        <v>271.09447278906288</v>
      </c>
      <c r="DU155" s="62">
        <f t="shared" si="152"/>
        <v>325.1094067861851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6.544872750398377</v>
      </c>
      <c r="EB155" s="23">
        <f>EXP(-LN(2)/25)*EB154+(1-EXP(-LN(2)/25))/(LN(2)/25)*Calculateur!DW155*Calculateur!DY155*VLOOKUP('Données projet'!$B$14,Paramètres!$A$1:$I$89,3,0)*0.475*44/12</f>
        <v>0.57394579329590212</v>
      </c>
      <c r="EC155" s="23">
        <f>EXP(-LN(2)/2)*EC154+(1-EXP(-LN(2)/2))/(LN(2)/2)*DW155*DZ155*VLOOKUP('Données projet'!$B$14,Paramètres!$A$1:$I$89,3,0)*0.475*44/12</f>
        <v>8.6597558942475476E-14</v>
      </c>
      <c r="ED155" s="24">
        <f t="shared" si="178"/>
        <v>7.1188185436943652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273.00000000000023</v>
      </c>
      <c r="EK155" s="18">
        <f>EJ155*VLOOKUP('Données projet'!$B$15,Paramètres!$A$1:$I$89,3,0)*VLOOKUP('Données projet'!$B$15,Paramètres!$A$1:$I$89,5,0)</f>
        <v>293.85720000000026</v>
      </c>
      <c r="EL155" s="14">
        <f t="shared" si="179"/>
        <v>69.887150190339895</v>
      </c>
      <c r="EM155" s="22">
        <f t="shared" si="180"/>
        <v>633.52140991484237</v>
      </c>
      <c r="EN155" s="62">
        <f t="shared" si="128"/>
        <v>926.85474324817574</v>
      </c>
      <c r="EO155" s="62">
        <f ca="1">AVERAGE(OFFSET($EN$3,0,0,'Données projet'!$E$15+1,1))-AVERAGE(OFFSET($H$3,0,0,'Données projet'!$E$15+1,1))</f>
        <v>306.50593475734655</v>
      </c>
      <c r="EP155" s="62">
        <f t="shared" si="154"/>
        <v>366.48643801375079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7.2838099964110974</v>
      </c>
      <c r="EW155" s="23">
        <f>EXP(-LN(2)/25)*EW154+(1-EXP(-LN(2)/25))/(LN(2)/25)*Calculateur!ER155*Calculateur!ET155*VLOOKUP('Données projet'!$B$15,Paramètres!$A$1:$I$89,3,0)*0.475*44/12</f>
        <v>0.63874612479705173</v>
      </c>
      <c r="EX155" s="23">
        <f>EXP(-LN(2)/2)*EX154+(1-EXP(-LN(2)/2))/(LN(2)/2)*ER155*EU155*VLOOKUP('Données projet'!$B$15,Paramètres!$A$1:$I$89,3,0)*0.475*44/12</f>
        <v>9.6374702694045236E-14</v>
      </c>
      <c r="EY155" s="24">
        <f t="shared" si="181"/>
        <v>7.9225561212082463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112.17959999999962</v>
      </c>
      <c r="D156" s="12">
        <f t="shared" si="140"/>
        <v>29.843927447283722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1096.3219662597312</v>
      </c>
      <c r="H156" s="70">
        <f t="shared" si="110"/>
        <v>540.69097697068514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306.99999999999994</v>
      </c>
      <c r="O156" s="14">
        <f>N156*VLOOKUP('Données projet'!$B$9,Paramètres!$A$1:$I$89,3,0)*VLOOKUP('Données projet'!$B$9,Paramètres!$A$1:$I$89,5,0)</f>
        <v>277.77359999999993</v>
      </c>
      <c r="P156" s="14">
        <f t="shared" si="141"/>
        <v>66.496288176842356</v>
      </c>
      <c r="Q156" s="22">
        <f t="shared" si="162"/>
        <v>599.60338857466706</v>
      </c>
      <c r="R156" s="62">
        <f t="shared" si="109"/>
        <v>892.93672190800044</v>
      </c>
      <c r="S156" s="62">
        <f ca="1">AVERAGE(OFFSET($R$3,0,0,'Données projet'!$E$9+1,1))-AVERAGE(OFFSET($H$3,0,0,'Données projet'!$E$9+1,1))</f>
        <v>312.57314929661908</v>
      </c>
      <c r="T156" s="62">
        <f t="shared" si="142"/>
        <v>190.92100876773804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36.153081568229346</v>
      </c>
      <c r="AA156" s="23">
        <f>EXP(-LN(2)/25)*AA155+(1-EXP(-LN(2)/25))/(LN(2)/25)*Calculateur!V156*Calculateur!X156*VLOOKUP('Données projet'!$B$9,Paramètres!$A$1:$I$89,3,0)*0.475*44/12</f>
        <v>1.1566097287089587</v>
      </c>
      <c r="AB156" s="23">
        <f>EXP(-LN(2)/2)*AB155+(1-EXP(-LN(2)/2))/(LN(2)/2)*V156*Y156*VLOOKUP('Données projet'!$B$9,Paramètres!$A$1:$I$89,3,0)*0.475*44/12</f>
        <v>2.8737339651371528E-6</v>
      </c>
      <c r="AC156" s="24">
        <f t="shared" si="163"/>
        <v>37.309694170672266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306.99999999999994</v>
      </c>
      <c r="AJ156" s="14">
        <f>AI156*VLOOKUP('Données projet'!$B$10,Paramètres!$A$1:$I$89,3,0)*VLOOKUP('Données projet'!$B$10,Paramètres!$A$1:$I$89,5,0)</f>
        <v>311.298</v>
      </c>
      <c r="AK156" s="14">
        <f t="shared" si="164"/>
        <v>73.539838278528748</v>
      </c>
      <c r="AL156" s="22">
        <f t="shared" si="165"/>
        <v>670.25923500177089</v>
      </c>
      <c r="AM156" s="62">
        <f t="shared" si="113"/>
        <v>963.59256833510426</v>
      </c>
      <c r="AN156" s="62">
        <f ca="1">AVERAGE(OFFSET($AM$3,0,0,'Données projet'!$E$10+1,1))-AVERAGE(OFFSET($H$3,0,0,'Données projet'!$E$10+1,1))</f>
        <v>360.56293184044779</v>
      </c>
      <c r="AO156" s="62">
        <f t="shared" si="144"/>
        <v>219.32252911220542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40.516384516119068</v>
      </c>
      <c r="AV156" s="23">
        <f>EXP(-LN(2)/25)*AV155+(1-EXP(-LN(2)/25))/(LN(2)/25)*Calculateur!AQ156*Calculateur!AS156*VLOOKUP('Données projet'!$B$10,Paramètres!$A$1:$I$89,3,0)*0.475*44/12</f>
        <v>1.2962005580359024</v>
      </c>
      <c r="AW156" s="23">
        <f>EXP(-LN(2)/2)*AW155+(1-EXP(-LN(2)/2))/(LN(2)/2)*AQ156*AT156*VLOOKUP('Données projet'!$B$10,Paramètres!$A$1:$I$89,3,0)*0.475*44/12</f>
        <v>3.2205639264468098E-6</v>
      </c>
      <c r="AX156" s="23">
        <f t="shared" si="166"/>
        <v>41.812588294718893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1.1368683772161603E-13</v>
      </c>
      <c r="BE156" s="14">
        <f>BD156*VLOOKUP('Données projet'!$B$11,Paramètres!$A$1:$I$89,3,0)*VLOOKUP('Données projet'!$B$11,Paramètres!$A$1:$I$89,5,0)</f>
        <v>8.3355189417488869E-14</v>
      </c>
      <c r="BF156" s="14">
        <f t="shared" si="167"/>
        <v>1.2790518435140618E-12</v>
      </c>
      <c r="BG156" s="22">
        <f t="shared" si="168"/>
        <v>2.3728589156891171E-12</v>
      </c>
      <c r="BH156" s="62">
        <f t="shared" si="116"/>
        <v>293.3333333333357</v>
      </c>
      <c r="BI156" s="62">
        <f ca="1">AVERAGE(OFFSET($BH$3,0,0,'Données projet'!$E$11+1,1))-AVERAGE(OFFSET($H$3,0,0,'Données projet'!$E$11+1,1))</f>
        <v>182.06733089745194</v>
      </c>
      <c r="BJ156" s="62">
        <f t="shared" si="146"/>
        <v>320.36755413886021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5.2290330789378565</v>
      </c>
      <c r="BQ156" s="23">
        <f>EXP(-LN(2)/25)*BQ155+(1-EXP(-LN(2)/25))/(LN(2)/25)*Calculateur!BL156*Calculateur!BN156*VLOOKUP('Données projet'!$B$11,Paramètres!$A$1:$I$89,3,0)*0.475*44/12</f>
        <v>0.41973360364710244</v>
      </c>
      <c r="BR156" s="23">
        <f>EXP(-LN(2)/2)*BR155+(1-EXP(-LN(2)/2))/(LN(2)/2)*BL156*BO156*VLOOKUP('Données projet'!$B$11,Paramètres!$A$1:$I$89,3,0)*0.475*44/12</f>
        <v>2.2704523047606433E-16</v>
      </c>
      <c r="BS156" s="24">
        <f t="shared" si="169"/>
        <v>5.6487666825849594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319.99999999999972</v>
      </c>
      <c r="BZ156" s="14">
        <f>BY156*VLOOKUP('Données projet'!$B$12,Paramètres!$A$1:$I$89,3,0)*VLOOKUP('Données projet'!$B$12,Paramètres!$A$1:$I$89,5,0)</f>
        <v>279.55199999999979</v>
      </c>
      <c r="CA156" s="14">
        <f t="shared" si="170"/>
        <v>66.872324781216591</v>
      </c>
      <c r="CB156" s="22">
        <f t="shared" si="171"/>
        <v>603.35569899395182</v>
      </c>
      <c r="CC156" s="62">
        <f t="shared" si="119"/>
        <v>896.68903232728508</v>
      </c>
      <c r="CD156" s="62">
        <f ca="1">AVERAGE(OFFSET($CC$3,0,0,'Données projet'!$E$12+1,1))-AVERAGE(OFFSET($H$3,0,0,'Données projet'!$E$12+1,1))</f>
        <v>248.60758320902863</v>
      </c>
      <c r="CE156" s="62">
        <f t="shared" si="148"/>
        <v>222.23585883330111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12.748067776596436</v>
      </c>
      <c r="CL156" s="23">
        <f>EXP(-LN(2)/25)*CL155+(1-EXP(-LN(2)/25))/(LN(2)/25)*Calculateur!CG156*Calculateur!CI156*VLOOKUP('Données projet'!$B$12,Paramètres!$A$1:$I$89,3,0)*0.475*44/12</f>
        <v>0.95118147825241606</v>
      </c>
      <c r="CM156" s="23">
        <f>EXP(-LN(2)/2)*CM155+(1-EXP(-LN(2)/2))/(LN(2)/2)*CG156*CJ156*VLOOKUP('Données projet'!$B$12,Paramètres!$A$1:$I$89,3,0)*0.475*44/12</f>
        <v>1.9322241163914009E-11</v>
      </c>
      <c r="CN156" s="24">
        <f t="shared" si="172"/>
        <v>13.699249254868173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193.99999999999994</v>
      </c>
      <c r="CU156" s="18">
        <f>CT156*VLOOKUP('Données projet'!$B$13,Paramètres!$A$1:$I$89,3,0)*VLOOKUP('Données projet'!$B$13,Paramètres!$A$1:$I$89,5,0)</f>
        <v>105.92399999999998</v>
      </c>
      <c r="CV156" s="14">
        <f t="shared" si="173"/>
        <v>28.36854701055546</v>
      </c>
      <c r="CW156" s="22">
        <f t="shared" si="174"/>
        <v>233.89285271005073</v>
      </c>
      <c r="CX156" s="62">
        <f t="shared" si="122"/>
        <v>527.22618604338402</v>
      </c>
      <c r="CY156" s="62">
        <f ca="1">AVERAGE(OFFSET($CX$3,0,0,'Données projet'!$E$13+1,1))-AVERAGE(OFFSET($H$3,0,0,'Données projet'!$E$13+1,1))</f>
        <v>135.44138026609272</v>
      </c>
      <c r="CZ156" s="62">
        <f t="shared" si="150"/>
        <v>254.77247578425659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5.783030643331708</v>
      </c>
      <c r="DG156" s="23">
        <f>EXP(-LN(2)/25)*DG155+(1-EXP(-LN(2)/25))/(LN(2)/25)*Calculateur!DB156*Calculateur!DD156*VLOOKUP('Données projet'!$B$13,Paramètres!$A$1:$I$89,3,0)*0.475*44/12</f>
        <v>1.4942529972781013</v>
      </c>
      <c r="DH156" s="23">
        <f>EXP(-LN(2)/2)*DH155+(1-EXP(-LN(2)/2))/(LN(2)/2)*DB156*DE156*VLOOKUP('Données projet'!$B$13,Paramètres!$A$1:$I$89,3,0)*0.475*44/12</f>
        <v>2.6081820608188143E-17</v>
      </c>
      <c r="DI156" s="24">
        <f t="shared" si="175"/>
        <v>7.2772836406098094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273.00000000000023</v>
      </c>
      <c r="DP156" s="18">
        <f>DO156*VLOOKUP('Données projet'!$B$14,Paramètres!$A$1:$I$89,3,0)*VLOOKUP('Données projet'!$B$14,Paramètres!$A$1:$I$89,5,0)</f>
        <v>264.04560000000021</v>
      </c>
      <c r="DQ156" s="14">
        <f t="shared" si="176"/>
        <v>63.583959929973794</v>
      </c>
      <c r="DR156" s="22">
        <f t="shared" si="177"/>
        <v>570.6214835447048</v>
      </c>
      <c r="DS156" s="62">
        <f t="shared" si="125"/>
        <v>863.95481687803817</v>
      </c>
      <c r="DT156" s="62">
        <f ca="1">AVERAGE(OFFSET($DS$3,0,0,'Données projet'!$E$14+1,1))-AVERAGE(OFFSET($H$3,0,0,'Données projet'!$E$14+1,1))</f>
        <v>271.09447278906288</v>
      </c>
      <c r="DU156" s="62">
        <f t="shared" si="152"/>
        <v>325.1094067861851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6.4165317877412678</v>
      </c>
      <c r="EB156" s="23">
        <f>EXP(-LN(2)/25)*EB155+(1-EXP(-LN(2)/25))/(LN(2)/25)*Calculateur!DW156*Calculateur!DY156*VLOOKUP('Données projet'!$B$14,Paramètres!$A$1:$I$89,3,0)*0.475*44/12</f>
        <v>0.5582512153957282</v>
      </c>
      <c r="EC156" s="23">
        <f>EXP(-LN(2)/2)*EC155+(1-EXP(-LN(2)/2))/(LN(2)/2)*DW156*DZ156*VLOOKUP('Données projet'!$B$14,Paramètres!$A$1:$I$89,3,0)*0.475*44/12</f>
        <v>6.1233721162426158E-14</v>
      </c>
      <c r="ED156" s="24">
        <f t="shared" si="178"/>
        <v>6.9747830031370572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273.00000000000023</v>
      </c>
      <c r="EK156" s="18">
        <f>EJ156*VLOOKUP('Données projet'!$B$15,Paramètres!$A$1:$I$89,3,0)*VLOOKUP('Données projet'!$B$15,Paramètres!$A$1:$I$89,5,0)</f>
        <v>293.85720000000026</v>
      </c>
      <c r="EL156" s="14">
        <f t="shared" si="179"/>
        <v>69.887150190339895</v>
      </c>
      <c r="EM156" s="22">
        <f t="shared" si="180"/>
        <v>633.52140991484237</v>
      </c>
      <c r="EN156" s="62">
        <f t="shared" si="128"/>
        <v>926.85474324817574</v>
      </c>
      <c r="EO156" s="62">
        <f ca="1">AVERAGE(OFFSET($EN$3,0,0,'Données projet'!$E$15+1,1))-AVERAGE(OFFSET($H$3,0,0,'Données projet'!$E$15+1,1))</f>
        <v>306.50593475734655</v>
      </c>
      <c r="EP156" s="62">
        <f t="shared" si="154"/>
        <v>366.48643801375079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7.1409789250668947</v>
      </c>
      <c r="EW156" s="23">
        <f>EXP(-LN(2)/25)*EW155+(1-EXP(-LN(2)/25))/(LN(2)/25)*Calculateur!ER156*Calculateur!ET156*VLOOKUP('Données projet'!$B$15,Paramètres!$A$1:$I$89,3,0)*0.475*44/12</f>
        <v>0.6212795784242775</v>
      </c>
      <c r="EX156" s="23">
        <f>EXP(-LN(2)/2)*EX155+(1-EXP(-LN(2)/2))/(LN(2)/2)*ER156*EU156*VLOOKUP('Données projet'!$B$15,Paramètres!$A$1:$I$89,3,0)*0.475*44/12</f>
        <v>6.8147205809796816E-14</v>
      </c>
      <c r="EY156" s="24">
        <f t="shared" si="181"/>
        <v>7.7622585034912408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112.91279999999962</v>
      </c>
      <c r="D157" s="12">
        <f t="shared" si="140"/>
        <v>30.016215601722468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1103.3116993817143</v>
      </c>
      <c r="H157" s="70">
        <f t="shared" si="110"/>
        <v>542.26803550633258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306.99999999999994</v>
      </c>
      <c r="O157" s="14">
        <f>N157*VLOOKUP('Données projet'!$B$9,Paramètres!$A$1:$I$89,3,0)*VLOOKUP('Données projet'!$B$9,Paramètres!$A$1:$I$89,5,0)</f>
        <v>277.77359999999993</v>
      </c>
      <c r="P157" s="14">
        <f t="shared" si="141"/>
        <v>66.496288176842356</v>
      </c>
      <c r="Q157" s="22">
        <f t="shared" si="162"/>
        <v>599.60338857466706</v>
      </c>
      <c r="R157" s="62">
        <f t="shared" si="109"/>
        <v>892.93672190800044</v>
      </c>
      <c r="S157" s="62">
        <f ca="1">AVERAGE(OFFSET($R$3,0,0,'Données projet'!$E$9+1,1))-AVERAGE(OFFSET($H$3,0,0,'Données projet'!$E$9+1,1))</f>
        <v>312.57314929661908</v>
      </c>
      <c r="T157" s="62">
        <f t="shared" si="142"/>
        <v>190.92100876773804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35.444141689878748</v>
      </c>
      <c r="AA157" s="23">
        <f>EXP(-LN(2)/25)*AA156+(1-EXP(-LN(2)/25))/(LN(2)/25)*Calculateur!V157*Calculateur!X157*VLOOKUP('Données projet'!$B$9,Paramètres!$A$1:$I$89,3,0)*0.475*44/12</f>
        <v>1.1249821748539501</v>
      </c>
      <c r="AB157" s="23">
        <f>EXP(-LN(2)/2)*AB156+(1-EXP(-LN(2)/2))/(LN(2)/2)*V157*Y157*VLOOKUP('Données projet'!$B$9,Paramètres!$A$1:$I$89,3,0)*0.475*44/12</f>
        <v>2.0320367740745863E-6</v>
      </c>
      <c r="AC157" s="24">
        <f t="shared" si="163"/>
        <v>36.569125896769471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306.99999999999994</v>
      </c>
      <c r="AJ157" s="14">
        <f>AI157*VLOOKUP('Données projet'!$B$10,Paramètres!$A$1:$I$89,3,0)*VLOOKUP('Données projet'!$B$10,Paramètres!$A$1:$I$89,5,0)</f>
        <v>311.298</v>
      </c>
      <c r="AK157" s="14">
        <f t="shared" si="164"/>
        <v>73.539838278528748</v>
      </c>
      <c r="AL157" s="22">
        <f t="shared" si="165"/>
        <v>670.25923500177089</v>
      </c>
      <c r="AM157" s="62">
        <f t="shared" si="113"/>
        <v>963.59256833510426</v>
      </c>
      <c r="AN157" s="62">
        <f ca="1">AVERAGE(OFFSET($AM$3,0,0,'Données projet'!$E$10+1,1))-AVERAGE(OFFSET($H$3,0,0,'Données projet'!$E$10+1,1))</f>
        <v>360.56293184044779</v>
      </c>
      <c r="AO157" s="62">
        <f t="shared" si="144"/>
        <v>219.32252911220542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39.721882928312368</v>
      </c>
      <c r="AV157" s="23">
        <f>EXP(-LN(2)/25)*AV156+(1-EXP(-LN(2)/25))/(LN(2)/25)*Calculateur!AQ157*Calculateur!AS157*VLOOKUP('Données projet'!$B$10,Paramètres!$A$1:$I$89,3,0)*0.475*44/12</f>
        <v>1.2607558856121859</v>
      </c>
      <c r="AW157" s="23">
        <f>EXP(-LN(2)/2)*AW156+(1-EXP(-LN(2)/2))/(LN(2)/2)*AQ157*AT157*VLOOKUP('Données projet'!$B$10,Paramètres!$A$1:$I$89,3,0)*0.475*44/12</f>
        <v>2.2772825916353127E-6</v>
      </c>
      <c r="AX157" s="23">
        <f t="shared" si="166"/>
        <v>40.982641091207142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1.1368683772161603E-13</v>
      </c>
      <c r="BE157" s="14">
        <f>BD157*VLOOKUP('Données projet'!$B$11,Paramètres!$A$1:$I$89,3,0)*VLOOKUP('Données projet'!$B$11,Paramètres!$A$1:$I$89,5,0)</f>
        <v>8.3355189417488869E-14</v>
      </c>
      <c r="BF157" s="14">
        <f t="shared" si="167"/>
        <v>1.2790518435140618E-12</v>
      </c>
      <c r="BG157" s="22">
        <f t="shared" si="168"/>
        <v>2.3728589156891171E-12</v>
      </c>
      <c r="BH157" s="62">
        <f t="shared" si="116"/>
        <v>293.3333333333357</v>
      </c>
      <c r="BI157" s="62">
        <f ca="1">AVERAGE(OFFSET($BH$3,0,0,'Données projet'!$E$11+1,1))-AVERAGE(OFFSET($H$3,0,0,'Données projet'!$E$11+1,1))</f>
        <v>182.06733089745194</v>
      </c>
      <c r="BJ157" s="62">
        <f t="shared" si="146"/>
        <v>320.36755413886021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5.126494929655137</v>
      </c>
      <c r="BQ157" s="23">
        <f>EXP(-LN(2)/25)*BQ156+(1-EXP(-LN(2)/25))/(LN(2)/25)*Calculateur!BL157*Calculateur!BN157*VLOOKUP('Données projet'!$B$11,Paramètres!$A$1:$I$89,3,0)*0.475*44/12</f>
        <v>0.40825596618254151</v>
      </c>
      <c r="BR157" s="23">
        <f>EXP(-LN(2)/2)*BR156+(1-EXP(-LN(2)/2))/(LN(2)/2)*BL157*BO157*VLOOKUP('Données projet'!$B$11,Paramètres!$A$1:$I$89,3,0)*0.475*44/12</f>
        <v>1.6054522210568767E-16</v>
      </c>
      <c r="BS157" s="24">
        <f t="shared" si="169"/>
        <v>5.5347508958376785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319.99999999999972</v>
      </c>
      <c r="BZ157" s="14">
        <f>BY157*VLOOKUP('Données projet'!$B$12,Paramètres!$A$1:$I$89,3,0)*VLOOKUP('Données projet'!$B$12,Paramètres!$A$1:$I$89,5,0)</f>
        <v>279.55199999999979</v>
      </c>
      <c r="CA157" s="14">
        <f t="shared" si="170"/>
        <v>66.872324781216591</v>
      </c>
      <c r="CB157" s="22">
        <f t="shared" si="171"/>
        <v>603.35569899395182</v>
      </c>
      <c r="CC157" s="62">
        <f t="shared" si="119"/>
        <v>896.68903232728508</v>
      </c>
      <c r="CD157" s="62">
        <f ca="1">AVERAGE(OFFSET($CC$3,0,0,'Données projet'!$E$12+1,1))-AVERAGE(OFFSET($H$3,0,0,'Données projet'!$E$12+1,1))</f>
        <v>248.60758320902863</v>
      </c>
      <c r="CE157" s="62">
        <f t="shared" si="148"/>
        <v>222.23585883330111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12.498085943050951</v>
      </c>
      <c r="CL157" s="23">
        <f>EXP(-LN(2)/25)*CL156+(1-EXP(-LN(2)/25))/(LN(2)/25)*Calculateur!CG157*Calculateur!CI157*VLOOKUP('Données projet'!$B$12,Paramètres!$A$1:$I$89,3,0)*0.475*44/12</f>
        <v>0.92517137070914379</v>
      </c>
      <c r="CM157" s="23">
        <f>EXP(-LN(2)/2)*CM156+(1-EXP(-LN(2)/2))/(LN(2)/2)*CG157*CJ157*VLOOKUP('Données projet'!$B$12,Paramètres!$A$1:$I$89,3,0)*0.475*44/12</f>
        <v>1.3662887754725445E-11</v>
      </c>
      <c r="CN157" s="24">
        <f t="shared" si="172"/>
        <v>13.423257313773759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193.99999999999994</v>
      </c>
      <c r="CU157" s="18">
        <f>CT157*VLOOKUP('Données projet'!$B$13,Paramètres!$A$1:$I$89,3,0)*VLOOKUP('Données projet'!$B$13,Paramètres!$A$1:$I$89,5,0)</f>
        <v>105.92399999999998</v>
      </c>
      <c r="CV157" s="14">
        <f t="shared" si="173"/>
        <v>28.36854701055546</v>
      </c>
      <c r="CW157" s="22">
        <f t="shared" si="174"/>
        <v>233.89285271005073</v>
      </c>
      <c r="CX157" s="62">
        <f t="shared" si="122"/>
        <v>527.22618604338402</v>
      </c>
      <c r="CY157" s="62">
        <f ca="1">AVERAGE(OFFSET($CX$3,0,0,'Données projet'!$E$13+1,1))-AVERAGE(OFFSET($H$3,0,0,'Données projet'!$E$13+1,1))</f>
        <v>135.44138026609272</v>
      </c>
      <c r="CZ157" s="62">
        <f t="shared" si="150"/>
        <v>254.77247578425659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5.6696289397163735</v>
      </c>
      <c r="DG157" s="23">
        <f>EXP(-LN(2)/25)*DG156+(1-EXP(-LN(2)/25))/(LN(2)/25)*Calculateur!DB157*Calculateur!DD157*VLOOKUP('Données projet'!$B$13,Paramètres!$A$1:$I$89,3,0)*0.475*44/12</f>
        <v>1.4533925704881816</v>
      </c>
      <c r="DH157" s="23">
        <f>EXP(-LN(2)/2)*DH156+(1-EXP(-LN(2)/2))/(LN(2)/2)*DB157*DE157*VLOOKUP('Données projet'!$B$13,Paramètres!$A$1:$I$89,3,0)*0.475*44/12</f>
        <v>1.8442632217740879E-17</v>
      </c>
      <c r="DI157" s="24">
        <f t="shared" si="175"/>
        <v>7.1230215102045555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273.00000000000023</v>
      </c>
      <c r="DP157" s="18">
        <f>DO157*VLOOKUP('Données projet'!$B$14,Paramètres!$A$1:$I$89,3,0)*VLOOKUP('Données projet'!$B$14,Paramètres!$A$1:$I$89,5,0)</f>
        <v>264.04560000000021</v>
      </c>
      <c r="DQ157" s="14">
        <f t="shared" si="176"/>
        <v>63.583959929973794</v>
      </c>
      <c r="DR157" s="22">
        <f t="shared" si="177"/>
        <v>570.6214835447048</v>
      </c>
      <c r="DS157" s="62">
        <f t="shared" si="125"/>
        <v>863.95481687803817</v>
      </c>
      <c r="DT157" s="62">
        <f ca="1">AVERAGE(OFFSET($DS$3,0,0,'Données projet'!$E$14+1,1))-AVERAGE(OFFSET($H$3,0,0,'Données projet'!$E$14+1,1))</f>
        <v>271.09447278906288</v>
      </c>
      <c r="DU157" s="62">
        <f t="shared" si="152"/>
        <v>325.1094067861851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6.2907075130816068</v>
      </c>
      <c r="EB157" s="23">
        <f>EXP(-LN(2)/25)*EB156+(1-EXP(-LN(2)/25))/(LN(2)/25)*Calculateur!DW157*Calculateur!DY157*VLOOKUP('Données projet'!$B$14,Paramètres!$A$1:$I$89,3,0)*0.475*44/12</f>
        <v>0.54298580655357653</v>
      </c>
      <c r="EC157" s="23">
        <f>EXP(-LN(2)/2)*EC156+(1-EXP(-LN(2)/2))/(LN(2)/2)*DW157*DZ157*VLOOKUP('Données projet'!$B$14,Paramètres!$A$1:$I$89,3,0)*0.475*44/12</f>
        <v>4.3298779471237738E-14</v>
      </c>
      <c r="ED157" s="24">
        <f t="shared" si="178"/>
        <v>6.833693319635227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273.00000000000023</v>
      </c>
      <c r="EK157" s="18">
        <f>EJ157*VLOOKUP('Données projet'!$B$15,Paramètres!$A$1:$I$89,3,0)*VLOOKUP('Données projet'!$B$15,Paramètres!$A$1:$I$89,5,0)</f>
        <v>293.85720000000026</v>
      </c>
      <c r="EL157" s="14">
        <f t="shared" si="179"/>
        <v>69.887150190339895</v>
      </c>
      <c r="EM157" s="22">
        <f t="shared" si="180"/>
        <v>633.52140991484237</v>
      </c>
      <c r="EN157" s="62">
        <f t="shared" si="128"/>
        <v>926.85474324817574</v>
      </c>
      <c r="EO157" s="62">
        <f ca="1">AVERAGE(OFFSET($EN$3,0,0,'Données projet'!$E$15+1,1))-AVERAGE(OFFSET($H$3,0,0,'Données projet'!$E$15+1,1))</f>
        <v>306.50593475734655</v>
      </c>
      <c r="EP157" s="62">
        <f t="shared" si="154"/>
        <v>366.48643801375079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7.0009486839134007</v>
      </c>
      <c r="EW157" s="23">
        <f>EXP(-LN(2)/25)*EW156+(1-EXP(-LN(2)/25))/(LN(2)/25)*Calculateur!ER157*Calculateur!ET157*VLOOKUP('Données projet'!$B$15,Paramètres!$A$1:$I$89,3,0)*0.475*44/12</f>
        <v>0.60429065568059259</v>
      </c>
      <c r="EX157" s="23">
        <f>EXP(-LN(2)/2)*EX156+(1-EXP(-LN(2)/2))/(LN(2)/2)*ER157*EU157*VLOOKUP('Données projet'!$B$15,Paramètres!$A$1:$I$89,3,0)*0.475*44/12</f>
        <v>4.8187351347022618E-14</v>
      </c>
      <c r="EY157" s="24">
        <f t="shared" si="181"/>
        <v>7.605239339594041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113.64599999999962</v>
      </c>
      <c r="D158" s="12">
        <f t="shared" si="140"/>
        <v>30.188373581400619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1110.3004276458964</v>
      </c>
      <c r="H158" s="70">
        <f t="shared" si="110"/>
        <v>543.84486732093865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306.99999999999994</v>
      </c>
      <c r="O158" s="14">
        <f>N158*VLOOKUP('Données projet'!$B$9,Paramètres!$A$1:$I$89,3,0)*VLOOKUP('Données projet'!$B$9,Paramètres!$A$1:$I$89,5,0)</f>
        <v>277.77359999999993</v>
      </c>
      <c r="P158" s="14">
        <f t="shared" si="141"/>
        <v>66.496288176842356</v>
      </c>
      <c r="Q158" s="22">
        <f t="shared" si="162"/>
        <v>599.60338857466706</v>
      </c>
      <c r="R158" s="62">
        <f t="shared" si="109"/>
        <v>892.93672190800044</v>
      </c>
      <c r="S158" s="62">
        <f ca="1">AVERAGE(OFFSET($R$3,0,0,'Données projet'!$E$9+1,1))-AVERAGE(OFFSET($H$3,0,0,'Données projet'!$E$9+1,1))</f>
        <v>312.57314929661908</v>
      </c>
      <c r="T158" s="62">
        <f t="shared" si="142"/>
        <v>190.92100876773804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34.749103690131982</v>
      </c>
      <c r="AA158" s="23">
        <f>EXP(-LN(2)/25)*AA157+(1-EXP(-LN(2)/25))/(LN(2)/25)*Calculateur!V158*Calculateur!X158*VLOOKUP('Données projet'!$B$9,Paramètres!$A$1:$I$89,3,0)*0.475*44/12</f>
        <v>1.0942194781223276</v>
      </c>
      <c r="AB158" s="23">
        <f>EXP(-LN(2)/2)*AB157+(1-EXP(-LN(2)/2))/(LN(2)/2)*V158*Y158*VLOOKUP('Données projet'!$B$9,Paramètres!$A$1:$I$89,3,0)*0.475*44/12</f>
        <v>1.4368669825685764E-6</v>
      </c>
      <c r="AC158" s="24">
        <f t="shared" si="163"/>
        <v>35.843324605121289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306.99999999999994</v>
      </c>
      <c r="AJ158" s="14">
        <f>AI158*VLOOKUP('Données projet'!$B$10,Paramètres!$A$1:$I$89,3,0)*VLOOKUP('Données projet'!$B$10,Paramètres!$A$1:$I$89,5,0)</f>
        <v>311.298</v>
      </c>
      <c r="AK158" s="14">
        <f t="shared" si="164"/>
        <v>73.539838278528748</v>
      </c>
      <c r="AL158" s="22">
        <f t="shared" si="165"/>
        <v>670.25923500177089</v>
      </c>
      <c r="AM158" s="62">
        <f t="shared" si="113"/>
        <v>963.59256833510426</v>
      </c>
      <c r="AN158" s="62">
        <f ca="1">AVERAGE(OFFSET($AM$3,0,0,'Données projet'!$E$10+1,1))-AVERAGE(OFFSET($H$3,0,0,'Données projet'!$E$10+1,1))</f>
        <v>360.56293184044779</v>
      </c>
      <c r="AO158" s="62">
        <f t="shared" si="144"/>
        <v>219.32252911220542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38.942961032044437</v>
      </c>
      <c r="AV158" s="23">
        <f>EXP(-LN(2)/25)*AV157+(1-EXP(-LN(2)/25))/(LN(2)/25)*Calculateur!AQ158*Calculateur!AS158*VLOOKUP('Données projet'!$B$10,Paramètres!$A$1:$I$89,3,0)*0.475*44/12</f>
        <v>1.2262804496198501</v>
      </c>
      <c r="AW158" s="23">
        <f>EXP(-LN(2)/2)*AW157+(1-EXP(-LN(2)/2))/(LN(2)/2)*AQ158*AT158*VLOOKUP('Données projet'!$B$10,Paramètres!$A$1:$I$89,3,0)*0.475*44/12</f>
        <v>1.6102819632234049E-6</v>
      </c>
      <c r="AX158" s="23">
        <f t="shared" si="166"/>
        <v>40.16924309194625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1.1368683772161603E-13</v>
      </c>
      <c r="BE158" s="14">
        <f>BD158*VLOOKUP('Données projet'!$B$11,Paramètres!$A$1:$I$89,3,0)*VLOOKUP('Données projet'!$B$11,Paramètres!$A$1:$I$89,5,0)</f>
        <v>8.3355189417488869E-14</v>
      </c>
      <c r="BF158" s="14">
        <f t="shared" si="167"/>
        <v>1.2790518435140618E-12</v>
      </c>
      <c r="BG158" s="22">
        <f t="shared" si="168"/>
        <v>2.3728589156891171E-12</v>
      </c>
      <c r="BH158" s="62">
        <f t="shared" si="116"/>
        <v>293.3333333333357</v>
      </c>
      <c r="BI158" s="62">
        <f ca="1">AVERAGE(OFFSET($BH$3,0,0,'Données projet'!$E$11+1,1))-AVERAGE(OFFSET($H$3,0,0,'Données projet'!$E$11+1,1))</f>
        <v>182.06733089745194</v>
      </c>
      <c r="BJ158" s="62">
        <f t="shared" si="146"/>
        <v>320.36755413886021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5.0259674909377559</v>
      </c>
      <c r="BQ158" s="23">
        <f>EXP(-LN(2)/25)*BQ157+(1-EXP(-LN(2)/25))/(LN(2)/25)*Calculateur!BL158*Calculateur!BN158*VLOOKUP('Données projet'!$B$11,Paramètres!$A$1:$I$89,3,0)*0.475*44/12</f>
        <v>0.39709218531803175</v>
      </c>
      <c r="BR158" s="23">
        <f>EXP(-LN(2)/2)*BR157+(1-EXP(-LN(2)/2))/(LN(2)/2)*BL158*BO158*VLOOKUP('Données projet'!$B$11,Paramètres!$A$1:$I$89,3,0)*0.475*44/12</f>
        <v>1.1352261523803216E-16</v>
      </c>
      <c r="BS158" s="24">
        <f t="shared" si="169"/>
        <v>5.4230596762557877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319.99999999999972</v>
      </c>
      <c r="BZ158" s="14">
        <f>BY158*VLOOKUP('Données projet'!$B$12,Paramètres!$A$1:$I$89,3,0)*VLOOKUP('Données projet'!$B$12,Paramètres!$A$1:$I$89,5,0)</f>
        <v>279.55199999999979</v>
      </c>
      <c r="CA158" s="14">
        <f t="shared" si="170"/>
        <v>66.872324781216591</v>
      </c>
      <c r="CB158" s="22">
        <f t="shared" si="171"/>
        <v>603.35569899395182</v>
      </c>
      <c r="CC158" s="62">
        <f t="shared" si="119"/>
        <v>896.68903232728508</v>
      </c>
      <c r="CD158" s="62">
        <f ca="1">AVERAGE(OFFSET($CC$3,0,0,'Données projet'!$E$12+1,1))-AVERAGE(OFFSET($H$3,0,0,'Données projet'!$E$12+1,1))</f>
        <v>248.60758320902863</v>
      </c>
      <c r="CE158" s="62">
        <f t="shared" si="148"/>
        <v>222.23585883330111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12.253006100787431</v>
      </c>
      <c r="CL158" s="23">
        <f>EXP(-LN(2)/25)*CL157+(1-EXP(-LN(2)/25))/(LN(2)/25)*Calculateur!CG158*Calculateur!CI158*VLOOKUP('Données projet'!$B$12,Paramètres!$A$1:$I$89,3,0)*0.475*44/12</f>
        <v>0.89987251092445442</v>
      </c>
      <c r="CM158" s="23">
        <f>EXP(-LN(2)/2)*CM157+(1-EXP(-LN(2)/2))/(LN(2)/2)*CG158*CJ158*VLOOKUP('Données projet'!$B$12,Paramètres!$A$1:$I$89,3,0)*0.475*44/12</f>
        <v>9.6611205819570044E-12</v>
      </c>
      <c r="CN158" s="24">
        <f t="shared" si="172"/>
        <v>13.152878611721547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193.99999999999994</v>
      </c>
      <c r="CU158" s="18">
        <f>CT158*VLOOKUP('Données projet'!$B$13,Paramètres!$A$1:$I$89,3,0)*VLOOKUP('Données projet'!$B$13,Paramètres!$A$1:$I$89,5,0)</f>
        <v>105.92399999999998</v>
      </c>
      <c r="CV158" s="14">
        <f t="shared" si="173"/>
        <v>28.36854701055546</v>
      </c>
      <c r="CW158" s="22">
        <f t="shared" si="174"/>
        <v>233.89285271005073</v>
      </c>
      <c r="CX158" s="62">
        <f t="shared" si="122"/>
        <v>527.22618604338402</v>
      </c>
      <c r="CY158" s="62">
        <f ca="1">AVERAGE(OFFSET($CX$3,0,0,'Données projet'!$E$13+1,1))-AVERAGE(OFFSET($H$3,0,0,'Données projet'!$E$13+1,1))</f>
        <v>135.44138026609272</v>
      </c>
      <c r="CZ158" s="62">
        <f t="shared" si="150"/>
        <v>254.77247578425659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5.5584509743407269</v>
      </c>
      <c r="DG158" s="23">
        <f>EXP(-LN(2)/25)*DG157+(1-EXP(-LN(2)/25))/(LN(2)/25)*Calculateur!DB158*Calculateur!DD158*VLOOKUP('Données projet'!$B$13,Paramètres!$A$1:$I$89,3,0)*0.475*44/12</f>
        <v>1.4136494742175887</v>
      </c>
      <c r="DH158" s="23">
        <f>EXP(-LN(2)/2)*DH157+(1-EXP(-LN(2)/2))/(LN(2)/2)*DB158*DE158*VLOOKUP('Données projet'!$B$13,Paramètres!$A$1:$I$89,3,0)*0.475*44/12</f>
        <v>1.3040910304094072E-17</v>
      </c>
      <c r="DI158" s="24">
        <f t="shared" si="175"/>
        <v>6.9721004485583151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273.00000000000023</v>
      </c>
      <c r="DP158" s="18">
        <f>DO158*VLOOKUP('Données projet'!$B$14,Paramètres!$A$1:$I$89,3,0)*VLOOKUP('Données projet'!$B$14,Paramètres!$A$1:$I$89,5,0)</f>
        <v>264.04560000000021</v>
      </c>
      <c r="DQ158" s="14">
        <f t="shared" si="176"/>
        <v>63.583959929973794</v>
      </c>
      <c r="DR158" s="22">
        <f t="shared" si="177"/>
        <v>570.6214835447048</v>
      </c>
      <c r="DS158" s="62">
        <f t="shared" si="125"/>
        <v>863.95481687803817</v>
      </c>
      <c r="DT158" s="62">
        <f ca="1">AVERAGE(OFFSET($DS$3,0,0,'Données projet'!$E$14+1,1))-AVERAGE(OFFSET($H$3,0,0,'Données projet'!$E$14+1,1))</f>
        <v>271.09447278906288</v>
      </c>
      <c r="DU158" s="62">
        <f t="shared" si="152"/>
        <v>325.1094067861851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6.167350575702792</v>
      </c>
      <c r="EB158" s="23">
        <f>EXP(-LN(2)/25)*EB157+(1-EXP(-LN(2)/25))/(LN(2)/25)*Calculateur!DW158*Calculateur!DY158*VLOOKUP('Données projet'!$B$14,Paramètres!$A$1:$I$89,3,0)*0.475*44/12</f>
        <v>0.52813783111898638</v>
      </c>
      <c r="EC158" s="23">
        <f>EXP(-LN(2)/2)*EC157+(1-EXP(-LN(2)/2))/(LN(2)/2)*DW158*DZ158*VLOOKUP('Données projet'!$B$14,Paramètres!$A$1:$I$89,3,0)*0.475*44/12</f>
        <v>3.0616860581213079E-14</v>
      </c>
      <c r="ED158" s="24">
        <f t="shared" si="178"/>
        <v>6.6954884068218083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273.00000000000023</v>
      </c>
      <c r="EK158" s="18">
        <f>EJ158*VLOOKUP('Données projet'!$B$15,Paramètres!$A$1:$I$89,3,0)*VLOOKUP('Données projet'!$B$15,Paramètres!$A$1:$I$89,5,0)</f>
        <v>293.85720000000026</v>
      </c>
      <c r="EL158" s="14">
        <f t="shared" si="179"/>
        <v>69.887150190339895</v>
      </c>
      <c r="EM158" s="22">
        <f t="shared" si="180"/>
        <v>633.52140991484237</v>
      </c>
      <c r="EN158" s="62">
        <f t="shared" si="128"/>
        <v>926.85474324817574</v>
      </c>
      <c r="EO158" s="62">
        <f ca="1">AVERAGE(OFFSET($EN$3,0,0,'Données projet'!$E$15+1,1))-AVERAGE(OFFSET($H$3,0,0,'Données projet'!$E$15+1,1))</f>
        <v>306.50593475734655</v>
      </c>
      <c r="EP158" s="62">
        <f t="shared" si="154"/>
        <v>366.48643801375079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6.8636643503789134</v>
      </c>
      <c r="EW158" s="23">
        <f>EXP(-LN(2)/25)*EW157+(1-EXP(-LN(2)/25))/(LN(2)/25)*Calculateur!ER158*Calculateur!ET158*VLOOKUP('Données projet'!$B$15,Paramètres!$A$1:$I$89,3,0)*0.475*44/12</f>
        <v>0.58776629592274232</v>
      </c>
      <c r="EX158" s="23">
        <f>EXP(-LN(2)/2)*EX157+(1-EXP(-LN(2)/2))/(LN(2)/2)*ER158*EU158*VLOOKUP('Données projet'!$B$15,Paramètres!$A$1:$I$89,3,0)*0.475*44/12</f>
        <v>3.4073602904898408E-14</v>
      </c>
      <c r="EY158" s="24">
        <f t="shared" si="181"/>
        <v>7.4514306463016897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114.37919999999961</v>
      </c>
      <c r="D159" s="12">
        <f t="shared" si="140"/>
        <v>30.360402323573442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1117.2881582872308</v>
      </c>
      <c r="H159" s="70">
        <f t="shared" si="110"/>
        <v>545.42147404688967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306.99999999999994</v>
      </c>
      <c r="O159" s="14">
        <f>N159*VLOOKUP('Données projet'!$B$9,Paramètres!$A$1:$I$89,3,0)*VLOOKUP('Données projet'!$B$9,Paramètres!$A$1:$I$89,5,0)</f>
        <v>277.77359999999993</v>
      </c>
      <c r="P159" s="14">
        <f t="shared" si="141"/>
        <v>66.496288176842356</v>
      </c>
      <c r="Q159" s="22">
        <f t="shared" si="162"/>
        <v>599.60338857466706</v>
      </c>
      <c r="R159" s="62">
        <f t="shared" si="109"/>
        <v>892.93672190800044</v>
      </c>
      <c r="S159" s="62">
        <f ca="1">AVERAGE(OFFSET($R$3,0,0,'Données projet'!$E$9+1,1))-AVERAGE(OFFSET($H$3,0,0,'Données projet'!$E$9+1,1))</f>
        <v>312.57314929661908</v>
      </c>
      <c r="T159" s="62">
        <f t="shared" si="142"/>
        <v>190.92100876773804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34.067694961628924</v>
      </c>
      <c r="AA159" s="23">
        <f>EXP(-LN(2)/25)*AA158+(1-EXP(-LN(2)/25))/(LN(2)/25)*Calculateur!V159*Calculateur!X159*VLOOKUP('Données projet'!$B$9,Paramètres!$A$1:$I$89,3,0)*0.475*44/12</f>
        <v>1.064297988950571</v>
      </c>
      <c r="AB159" s="23">
        <f>EXP(-LN(2)/2)*AB158+(1-EXP(-LN(2)/2))/(LN(2)/2)*V159*Y159*VLOOKUP('Données projet'!$B$9,Paramètres!$A$1:$I$89,3,0)*0.475*44/12</f>
        <v>1.0160183870372932E-6</v>
      </c>
      <c r="AC159" s="24">
        <f t="shared" si="163"/>
        <v>35.131993966597882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306.99999999999994</v>
      </c>
      <c r="AJ159" s="14">
        <f>AI159*VLOOKUP('Données projet'!$B$10,Paramètres!$A$1:$I$89,3,0)*VLOOKUP('Données projet'!$B$10,Paramètres!$A$1:$I$89,5,0)</f>
        <v>311.298</v>
      </c>
      <c r="AK159" s="14">
        <f t="shared" si="164"/>
        <v>73.539838278528748</v>
      </c>
      <c r="AL159" s="22">
        <f t="shared" si="165"/>
        <v>670.25923500177089</v>
      </c>
      <c r="AM159" s="62">
        <f t="shared" si="113"/>
        <v>963.59256833510426</v>
      </c>
      <c r="AN159" s="62">
        <f ca="1">AVERAGE(OFFSET($AM$3,0,0,'Données projet'!$E$10+1,1))-AVERAGE(OFFSET($H$3,0,0,'Données projet'!$E$10+1,1))</f>
        <v>360.56293184044779</v>
      </c>
      <c r="AO159" s="62">
        <f t="shared" si="144"/>
        <v>219.32252911220542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38.179313319066878</v>
      </c>
      <c r="AV159" s="23">
        <f>EXP(-LN(2)/25)*AV158+(1-EXP(-LN(2)/25))/(LN(2)/25)*Calculateur!AQ159*Calculateur!AS159*VLOOKUP('Données projet'!$B$10,Paramètres!$A$1:$I$89,3,0)*0.475*44/12</f>
        <v>1.1927477462377092</v>
      </c>
      <c r="AW159" s="23">
        <f>EXP(-LN(2)/2)*AW158+(1-EXP(-LN(2)/2))/(LN(2)/2)*AQ159*AT159*VLOOKUP('Données projet'!$B$10,Paramètres!$A$1:$I$89,3,0)*0.475*44/12</f>
        <v>1.1386412958176563E-6</v>
      </c>
      <c r="AX159" s="23">
        <f t="shared" si="166"/>
        <v>39.37206220394588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1.1368683772161603E-13</v>
      </c>
      <c r="BE159" s="14">
        <f>BD159*VLOOKUP('Données projet'!$B$11,Paramètres!$A$1:$I$89,3,0)*VLOOKUP('Données projet'!$B$11,Paramètres!$A$1:$I$89,5,0)</f>
        <v>8.3355189417488869E-14</v>
      </c>
      <c r="BF159" s="14">
        <f t="shared" si="167"/>
        <v>1.2790518435140618E-12</v>
      </c>
      <c r="BG159" s="22">
        <f t="shared" si="168"/>
        <v>2.3728589156891171E-12</v>
      </c>
      <c r="BH159" s="62">
        <f t="shared" si="116"/>
        <v>293.3333333333357</v>
      </c>
      <c r="BI159" s="62">
        <f ca="1">AVERAGE(OFFSET($BH$3,0,0,'Données projet'!$E$11+1,1))-AVERAGE(OFFSET($H$3,0,0,'Données projet'!$E$11+1,1))</f>
        <v>182.06733089745194</v>
      </c>
      <c r="BJ159" s="62">
        <f t="shared" si="146"/>
        <v>320.36755413886021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4.9274113339779388</v>
      </c>
      <c r="BQ159" s="23">
        <f>EXP(-LN(2)/25)*BQ158+(1-EXP(-LN(2)/25))/(LN(2)/25)*Calculateur!BL159*Calculateur!BN159*VLOOKUP('Données projet'!$B$11,Paramètres!$A$1:$I$89,3,0)*0.475*44/12</f>
        <v>0.38623367862833974</v>
      </c>
      <c r="BR159" s="23">
        <f>EXP(-LN(2)/2)*BR158+(1-EXP(-LN(2)/2))/(LN(2)/2)*BL159*BO159*VLOOKUP('Données projet'!$B$11,Paramètres!$A$1:$I$89,3,0)*0.475*44/12</f>
        <v>8.0272611052843834E-17</v>
      </c>
      <c r="BS159" s="24">
        <f t="shared" si="169"/>
        <v>5.3136450126062789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319.99999999999972</v>
      </c>
      <c r="BZ159" s="14">
        <f>BY159*VLOOKUP('Données projet'!$B$12,Paramètres!$A$1:$I$89,3,0)*VLOOKUP('Données projet'!$B$12,Paramètres!$A$1:$I$89,5,0)</f>
        <v>279.55199999999979</v>
      </c>
      <c r="CA159" s="14">
        <f t="shared" si="170"/>
        <v>66.872324781216591</v>
      </c>
      <c r="CB159" s="22">
        <f t="shared" si="171"/>
        <v>603.35569899395182</v>
      </c>
      <c r="CC159" s="62">
        <f t="shared" si="119"/>
        <v>896.68903232728508</v>
      </c>
      <c r="CD159" s="62">
        <f ca="1">AVERAGE(OFFSET($CC$3,0,0,'Données projet'!$E$12+1,1))-AVERAGE(OFFSET($H$3,0,0,'Données projet'!$E$12+1,1))</f>
        <v>248.60758320902863</v>
      </c>
      <c r="CE159" s="62">
        <f t="shared" si="148"/>
        <v>222.23585883330111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12.012732124746755</v>
      </c>
      <c r="CL159" s="23">
        <f>EXP(-LN(2)/25)*CL158+(1-EXP(-LN(2)/25))/(LN(2)/25)*Calculateur!CG159*Calculateur!CI159*VLOOKUP('Données projet'!$B$12,Paramètres!$A$1:$I$89,3,0)*0.475*44/12</f>
        <v>0.87526544979098653</v>
      </c>
      <c r="CM159" s="23">
        <f>EXP(-LN(2)/2)*CM158+(1-EXP(-LN(2)/2))/(LN(2)/2)*CG159*CJ159*VLOOKUP('Données projet'!$B$12,Paramètres!$A$1:$I$89,3,0)*0.475*44/12</f>
        <v>6.8314438773627223E-12</v>
      </c>
      <c r="CN159" s="24">
        <f t="shared" si="172"/>
        <v>12.887997574544574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193.99999999999994</v>
      </c>
      <c r="CU159" s="18">
        <f>CT159*VLOOKUP('Données projet'!$B$13,Paramètres!$A$1:$I$89,3,0)*VLOOKUP('Données projet'!$B$13,Paramètres!$A$1:$I$89,5,0)</f>
        <v>105.92399999999998</v>
      </c>
      <c r="CV159" s="14">
        <f t="shared" si="173"/>
        <v>28.36854701055546</v>
      </c>
      <c r="CW159" s="22">
        <f t="shared" si="174"/>
        <v>233.89285271005073</v>
      </c>
      <c r="CX159" s="62">
        <f t="shared" si="122"/>
        <v>527.22618604338402</v>
      </c>
      <c r="CY159" s="62">
        <f ca="1">AVERAGE(OFFSET($CX$3,0,0,'Données projet'!$E$13+1,1))-AVERAGE(OFFSET($H$3,0,0,'Données projet'!$E$13+1,1))</f>
        <v>135.44138026609272</v>
      </c>
      <c r="CZ159" s="62">
        <f t="shared" si="150"/>
        <v>254.77247578425659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5.4494531410542333</v>
      </c>
      <c r="DG159" s="23">
        <f>EXP(-LN(2)/25)*DG158+(1-EXP(-LN(2)/25))/(LN(2)/25)*Calculateur!DB159*Calculateur!DD159*VLOOKUP('Données projet'!$B$13,Paramètres!$A$1:$I$89,3,0)*0.475*44/12</f>
        <v>1.3749931550045138</v>
      </c>
      <c r="DH159" s="23">
        <f>EXP(-LN(2)/2)*DH158+(1-EXP(-LN(2)/2))/(LN(2)/2)*DB159*DE159*VLOOKUP('Données projet'!$B$13,Paramètres!$A$1:$I$89,3,0)*0.475*44/12</f>
        <v>9.2213161088704396E-18</v>
      </c>
      <c r="DI159" s="24">
        <f t="shared" si="175"/>
        <v>6.8244462960587473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273.00000000000023</v>
      </c>
      <c r="DP159" s="18">
        <f>DO159*VLOOKUP('Données projet'!$B$14,Paramètres!$A$1:$I$89,3,0)*VLOOKUP('Données projet'!$B$14,Paramètres!$A$1:$I$89,5,0)</f>
        <v>264.04560000000021</v>
      </c>
      <c r="DQ159" s="14">
        <f t="shared" si="176"/>
        <v>63.583959929973794</v>
      </c>
      <c r="DR159" s="22">
        <f t="shared" si="177"/>
        <v>570.6214835447048</v>
      </c>
      <c r="DS159" s="62">
        <f t="shared" si="125"/>
        <v>863.95481687803817</v>
      </c>
      <c r="DT159" s="62">
        <f ca="1">AVERAGE(OFFSET($DS$3,0,0,'Données projet'!$E$14+1,1))-AVERAGE(OFFSET($H$3,0,0,'Données projet'!$E$14+1,1))</f>
        <v>271.09447278906288</v>
      </c>
      <c r="DU159" s="62">
        <f t="shared" si="152"/>
        <v>325.1094067861851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6.0464125926256731</v>
      </c>
      <c r="EB159" s="23">
        <f>EXP(-LN(2)/25)*EB158+(1-EXP(-LN(2)/25))/(LN(2)/25)*Calculateur!DW159*Calculateur!DY159*VLOOKUP('Données projet'!$B$14,Paramètres!$A$1:$I$89,3,0)*0.475*44/12</f>
        <v>0.51369587435347619</v>
      </c>
      <c r="EC159" s="23">
        <f>EXP(-LN(2)/2)*EC158+(1-EXP(-LN(2)/2))/(LN(2)/2)*DW159*DZ159*VLOOKUP('Données projet'!$B$14,Paramètres!$A$1:$I$89,3,0)*0.475*44/12</f>
        <v>2.1649389735618869E-14</v>
      </c>
      <c r="ED159" s="24">
        <f t="shared" si="178"/>
        <v>6.5601084669791705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273.00000000000023</v>
      </c>
      <c r="EK159" s="18">
        <f>EJ159*VLOOKUP('Données projet'!$B$15,Paramètres!$A$1:$I$89,3,0)*VLOOKUP('Données projet'!$B$15,Paramètres!$A$1:$I$89,5,0)</f>
        <v>293.85720000000026</v>
      </c>
      <c r="EL159" s="14">
        <f t="shared" si="179"/>
        <v>69.887150190339895</v>
      </c>
      <c r="EM159" s="22">
        <f t="shared" si="180"/>
        <v>633.52140991484237</v>
      </c>
      <c r="EN159" s="62">
        <f t="shared" si="128"/>
        <v>926.85474324817574</v>
      </c>
      <c r="EO159" s="62">
        <f ca="1">AVERAGE(OFFSET($EN$3,0,0,'Données projet'!$E$15+1,1))-AVERAGE(OFFSET($H$3,0,0,'Données projet'!$E$15+1,1))</f>
        <v>306.50593475734655</v>
      </c>
      <c r="EP159" s="62">
        <f t="shared" si="154"/>
        <v>366.48643801375079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6.7290720788898621</v>
      </c>
      <c r="EW159" s="23">
        <f>EXP(-LN(2)/25)*EW158+(1-EXP(-LN(2)/25))/(LN(2)/25)*Calculateur!ER159*Calculateur!ET159*VLOOKUP('Données projet'!$B$15,Paramètres!$A$1:$I$89,3,0)*0.475*44/12</f>
        <v>0.57169379565144873</v>
      </c>
      <c r="EX159" s="23">
        <f>EXP(-LN(2)/2)*EX158+(1-EXP(-LN(2)/2))/(LN(2)/2)*ER159*EU159*VLOOKUP('Données projet'!$B$15,Paramètres!$A$1:$I$89,3,0)*0.475*44/12</f>
        <v>2.4093675673511309E-14</v>
      </c>
      <c r="EY159" s="24">
        <f t="shared" si="181"/>
        <v>7.3007658745413346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115.11239999999961</v>
      </c>
      <c r="D160" s="12">
        <f t="shared" si="140"/>
        <v>30.532302752785306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1124.2748984425502</v>
      </c>
      <c r="H160" s="70">
        <f t="shared" si="110"/>
        <v>546.99785729443374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306.99999999999994</v>
      </c>
      <c r="O160" s="14">
        <f>N160*VLOOKUP('Données projet'!$B$9,Paramètres!$A$1:$I$89,3,0)*VLOOKUP('Données projet'!$B$9,Paramètres!$A$1:$I$89,5,0)</f>
        <v>277.77359999999993</v>
      </c>
      <c r="P160" s="14">
        <f t="shared" si="141"/>
        <v>66.496288176842356</v>
      </c>
      <c r="Q160" s="22">
        <f t="shared" si="162"/>
        <v>599.60338857466706</v>
      </c>
      <c r="R160" s="62">
        <f t="shared" si="109"/>
        <v>892.93672190800044</v>
      </c>
      <c r="S160" s="62">
        <f ca="1">AVERAGE(OFFSET($R$3,0,0,'Données projet'!$E$9+1,1))-AVERAGE(OFFSET($H$3,0,0,'Données projet'!$E$9+1,1))</f>
        <v>312.57314929661908</v>
      </c>
      <c r="T160" s="62">
        <f t="shared" si="142"/>
        <v>190.92100876773804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33.399648242673528</v>
      </c>
      <c r="AA160" s="23">
        <f>EXP(-LN(2)/25)*AA159+(1-EXP(-LN(2)/25))/(LN(2)/25)*Calculateur!V160*Calculateur!X160*VLOOKUP('Données projet'!$B$9,Paramètres!$A$1:$I$89,3,0)*0.475*44/12</f>
        <v>1.0351947044737189</v>
      </c>
      <c r="AB160" s="23">
        <f>EXP(-LN(2)/2)*AB159+(1-EXP(-LN(2)/2))/(LN(2)/2)*V160*Y160*VLOOKUP('Données projet'!$B$9,Paramètres!$A$1:$I$89,3,0)*0.475*44/12</f>
        <v>7.1843349128428821E-7</v>
      </c>
      <c r="AC160" s="24">
        <f t="shared" si="163"/>
        <v>34.434843665580736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306.99999999999994</v>
      </c>
      <c r="AJ160" s="14">
        <f>AI160*VLOOKUP('Données projet'!$B$10,Paramètres!$A$1:$I$89,3,0)*VLOOKUP('Données projet'!$B$10,Paramètres!$A$1:$I$89,5,0)</f>
        <v>311.298</v>
      </c>
      <c r="AK160" s="14">
        <f t="shared" si="164"/>
        <v>73.539838278528748</v>
      </c>
      <c r="AL160" s="22">
        <f t="shared" si="165"/>
        <v>670.25923500177089</v>
      </c>
      <c r="AM160" s="62">
        <f t="shared" si="113"/>
        <v>963.59256833510426</v>
      </c>
      <c r="AN160" s="62">
        <f ca="1">AVERAGE(OFFSET($AM$3,0,0,'Données projet'!$E$10+1,1))-AVERAGE(OFFSET($H$3,0,0,'Données projet'!$E$10+1,1))</f>
        <v>360.56293184044779</v>
      </c>
      <c r="AO160" s="62">
        <f t="shared" si="144"/>
        <v>219.32252911220542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37.430640271961693</v>
      </c>
      <c r="AV160" s="23">
        <f>EXP(-LN(2)/25)*AV159+(1-EXP(-LN(2)/25))/(LN(2)/25)*Calculateur!AQ160*Calculateur!AS160*VLOOKUP('Données projet'!$B$10,Paramètres!$A$1:$I$89,3,0)*0.475*44/12</f>
        <v>1.1601319963929611</v>
      </c>
      <c r="AW160" s="23">
        <f>EXP(-LN(2)/2)*AW159+(1-EXP(-LN(2)/2))/(LN(2)/2)*AQ160*AT160*VLOOKUP('Données projet'!$B$10,Paramètres!$A$1:$I$89,3,0)*0.475*44/12</f>
        <v>8.0514098161170245E-7</v>
      </c>
      <c r="AX160" s="23">
        <f t="shared" si="166"/>
        <v>38.59077307349564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1.1368683772161603E-13</v>
      </c>
      <c r="BE160" s="14">
        <f>BD160*VLOOKUP('Données projet'!$B$11,Paramètres!$A$1:$I$89,3,0)*VLOOKUP('Données projet'!$B$11,Paramètres!$A$1:$I$89,5,0)</f>
        <v>8.3355189417488869E-14</v>
      </c>
      <c r="BF160" s="14">
        <f t="shared" si="167"/>
        <v>1.2790518435140618E-12</v>
      </c>
      <c r="BG160" s="22">
        <f t="shared" si="168"/>
        <v>2.3728589156891171E-12</v>
      </c>
      <c r="BH160" s="62">
        <f t="shared" si="116"/>
        <v>293.3333333333357</v>
      </c>
      <c r="BI160" s="62">
        <f ca="1">AVERAGE(OFFSET($BH$3,0,0,'Données projet'!$E$11+1,1))-AVERAGE(OFFSET($H$3,0,0,'Données projet'!$E$11+1,1))</f>
        <v>182.06733089745194</v>
      </c>
      <c r="BJ160" s="62">
        <f t="shared" si="146"/>
        <v>320.36755413886021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4.8307878031427842</v>
      </c>
      <c r="BQ160" s="23">
        <f>EXP(-LN(2)/25)*BQ159+(1-EXP(-LN(2)/25))/(LN(2)/25)*Calculateur!BL160*Calculateur!BN160*VLOOKUP('Données projet'!$B$11,Paramètres!$A$1:$I$89,3,0)*0.475*44/12</f>
        <v>0.3756720983751014</v>
      </c>
      <c r="BR160" s="23">
        <f>EXP(-LN(2)/2)*BR159+(1-EXP(-LN(2)/2))/(LN(2)/2)*BL160*BO160*VLOOKUP('Données projet'!$B$11,Paramètres!$A$1:$I$89,3,0)*0.475*44/12</f>
        <v>5.6761307619016081E-17</v>
      </c>
      <c r="BS160" s="24">
        <f t="shared" si="169"/>
        <v>5.2064599015178858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319.99999999999972</v>
      </c>
      <c r="BZ160" s="14">
        <f>BY160*VLOOKUP('Données projet'!$B$12,Paramètres!$A$1:$I$89,3,0)*VLOOKUP('Données projet'!$B$12,Paramètres!$A$1:$I$89,5,0)</f>
        <v>279.55199999999979</v>
      </c>
      <c r="CA160" s="14">
        <f t="shared" si="170"/>
        <v>66.872324781216591</v>
      </c>
      <c r="CB160" s="22">
        <f t="shared" si="171"/>
        <v>603.35569899395182</v>
      </c>
      <c r="CC160" s="62">
        <f t="shared" si="119"/>
        <v>896.68903232728508</v>
      </c>
      <c r="CD160" s="62">
        <f ca="1">AVERAGE(OFFSET($CC$3,0,0,'Données projet'!$E$12+1,1))-AVERAGE(OFFSET($H$3,0,0,'Données projet'!$E$12+1,1))</f>
        <v>248.60758320902863</v>
      </c>
      <c r="CE160" s="62">
        <f t="shared" si="148"/>
        <v>222.23585883330111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11.777169774823582</v>
      </c>
      <c r="CL160" s="23">
        <f>EXP(-LN(2)/25)*CL159+(1-EXP(-LN(2)/25))/(LN(2)/25)*Calculateur!CG160*Calculateur!CI160*VLOOKUP('Données projet'!$B$12,Paramètres!$A$1:$I$89,3,0)*0.475*44/12</f>
        <v>0.85133127003824249</v>
      </c>
      <c r="CM160" s="23">
        <f>EXP(-LN(2)/2)*CM159+(1-EXP(-LN(2)/2))/(LN(2)/2)*CG160*CJ160*VLOOKUP('Données projet'!$B$12,Paramètres!$A$1:$I$89,3,0)*0.475*44/12</f>
        <v>4.8305602909785022E-12</v>
      </c>
      <c r="CN160" s="24">
        <f t="shared" si="172"/>
        <v>12.628501044866654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193.99999999999994</v>
      </c>
      <c r="CU160" s="18">
        <f>CT160*VLOOKUP('Données projet'!$B$13,Paramètres!$A$1:$I$89,3,0)*VLOOKUP('Données projet'!$B$13,Paramètres!$A$1:$I$89,5,0)</f>
        <v>105.92399999999998</v>
      </c>
      <c r="CV160" s="14">
        <f t="shared" si="173"/>
        <v>28.36854701055546</v>
      </c>
      <c r="CW160" s="22">
        <f t="shared" si="174"/>
        <v>233.89285271005073</v>
      </c>
      <c r="CX160" s="62">
        <f t="shared" si="122"/>
        <v>527.22618604338402</v>
      </c>
      <c r="CY160" s="62">
        <f ca="1">AVERAGE(OFFSET($CX$3,0,0,'Données projet'!$E$13+1,1))-AVERAGE(OFFSET($H$3,0,0,'Données projet'!$E$13+1,1))</f>
        <v>135.44138026609272</v>
      </c>
      <c r="CZ160" s="62">
        <f t="shared" si="150"/>
        <v>254.77247578425659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5.3425926887963744</v>
      </c>
      <c r="DG160" s="23">
        <f>EXP(-LN(2)/25)*DG159+(1-EXP(-LN(2)/25))/(LN(2)/25)*Calculateur!DB160*Calculateur!DD160*VLOOKUP('Données projet'!$B$13,Paramètres!$A$1:$I$89,3,0)*0.475*44/12</f>
        <v>1.3373938948731678</v>
      </c>
      <c r="DH160" s="23">
        <f>EXP(-LN(2)/2)*DH159+(1-EXP(-LN(2)/2))/(LN(2)/2)*DB160*DE160*VLOOKUP('Données projet'!$B$13,Paramètres!$A$1:$I$89,3,0)*0.475*44/12</f>
        <v>6.5204551520470358E-18</v>
      </c>
      <c r="DI160" s="24">
        <f t="shared" si="175"/>
        <v>6.6799865836695425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273.00000000000023</v>
      </c>
      <c r="DP160" s="18">
        <f>DO160*VLOOKUP('Données projet'!$B$14,Paramètres!$A$1:$I$89,3,0)*VLOOKUP('Données projet'!$B$14,Paramètres!$A$1:$I$89,5,0)</f>
        <v>264.04560000000021</v>
      </c>
      <c r="DQ160" s="14">
        <f t="shared" si="176"/>
        <v>63.583959929973794</v>
      </c>
      <c r="DR160" s="22">
        <f t="shared" si="177"/>
        <v>570.6214835447048</v>
      </c>
      <c r="DS160" s="62">
        <f t="shared" si="125"/>
        <v>863.95481687803817</v>
      </c>
      <c r="DT160" s="62">
        <f ca="1">AVERAGE(OFFSET($DS$3,0,0,'Données projet'!$E$14+1,1))-AVERAGE(OFFSET($H$3,0,0,'Données projet'!$E$14+1,1))</f>
        <v>271.09447278906288</v>
      </c>
      <c r="DU160" s="62">
        <f t="shared" si="152"/>
        <v>325.1094067861851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5.9278461296318108</v>
      </c>
      <c r="EB160" s="23">
        <f>EXP(-LN(2)/25)*EB159+(1-EXP(-LN(2)/25))/(LN(2)/25)*Calculateur!DW160*Calculateur!DY160*VLOOKUP('Données projet'!$B$14,Paramètres!$A$1:$I$89,3,0)*0.475*44/12</f>
        <v>0.49964883365518842</v>
      </c>
      <c r="EC160" s="23">
        <f>EXP(-LN(2)/2)*EC159+(1-EXP(-LN(2)/2))/(LN(2)/2)*DW160*DZ160*VLOOKUP('Données projet'!$B$14,Paramètres!$A$1:$I$89,3,0)*0.475*44/12</f>
        <v>1.5308430290606539E-14</v>
      </c>
      <c r="ED160" s="24">
        <f t="shared" si="178"/>
        <v>6.427494963287014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273.00000000000023</v>
      </c>
      <c r="EK160" s="18">
        <f>EJ160*VLOOKUP('Données projet'!$B$15,Paramètres!$A$1:$I$89,3,0)*VLOOKUP('Données projet'!$B$15,Paramètres!$A$1:$I$89,5,0)</f>
        <v>293.85720000000026</v>
      </c>
      <c r="EL160" s="14">
        <f t="shared" si="179"/>
        <v>69.887150190339895</v>
      </c>
      <c r="EM160" s="22">
        <f t="shared" si="180"/>
        <v>633.52140991484237</v>
      </c>
      <c r="EN160" s="62">
        <f t="shared" si="128"/>
        <v>926.85474324817574</v>
      </c>
      <c r="EO160" s="62">
        <f ca="1">AVERAGE(OFFSET($EN$3,0,0,'Données projet'!$E$15+1,1))-AVERAGE(OFFSET($H$3,0,0,'Données projet'!$E$15+1,1))</f>
        <v>306.50593475734655</v>
      </c>
      <c r="EP160" s="62">
        <f t="shared" si="154"/>
        <v>366.48643801375079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6.5971190797515309</v>
      </c>
      <c r="EW160" s="23">
        <f>EXP(-LN(2)/25)*EW159+(1-EXP(-LN(2)/25))/(LN(2)/25)*Calculateur!ER160*Calculateur!ET160*VLOOKUP('Données projet'!$B$15,Paramètres!$A$1:$I$89,3,0)*0.475*44/12</f>
        <v>0.5560607987452898</v>
      </c>
      <c r="EX160" s="23">
        <f>EXP(-LN(2)/2)*EX159+(1-EXP(-LN(2)/2))/(LN(2)/2)*ER160*EU160*VLOOKUP('Données projet'!$B$15,Paramètres!$A$1:$I$89,3,0)*0.475*44/12</f>
        <v>1.7036801452449204E-14</v>
      </c>
      <c r="EY160" s="24">
        <f t="shared" si="181"/>
        <v>7.1531798784968377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115.84559999999961</v>
      </c>
      <c r="D161" s="12">
        <f t="shared" si="140"/>
        <v>30.704075781121787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1131.2606551525159</v>
      </c>
      <c r="H161" s="70">
        <f t="shared" si="110"/>
        <v>548.57401865211966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306.99999999999994</v>
      </c>
      <c r="O161" s="14">
        <f>N161*VLOOKUP('Données projet'!$B$9,Paramètres!$A$1:$I$89,3,0)*VLOOKUP('Données projet'!$B$9,Paramètres!$A$1:$I$89,5,0)</f>
        <v>277.77359999999993</v>
      </c>
      <c r="P161" s="14">
        <f t="shared" si="141"/>
        <v>66.496288176842356</v>
      </c>
      <c r="Q161" s="22">
        <f t="shared" si="162"/>
        <v>599.60338857466706</v>
      </c>
      <c r="R161" s="62">
        <f t="shared" si="109"/>
        <v>892.93672190800044</v>
      </c>
      <c r="S161" s="62">
        <f ca="1">AVERAGE(OFFSET($R$3,0,0,'Données projet'!$E$9+1,1))-AVERAGE(OFFSET($H$3,0,0,'Données projet'!$E$9+1,1))</f>
        <v>312.57314929661908</v>
      </c>
      <c r="T161" s="62">
        <f t="shared" si="142"/>
        <v>190.92100876773804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32.744701512408582</v>
      </c>
      <c r="AA161" s="23">
        <f>EXP(-LN(2)/25)*AA160+(1-EXP(-LN(2)/25))/(LN(2)/25)*Calculateur!V161*Calculateur!X161*VLOOKUP('Données projet'!$B$9,Paramètres!$A$1:$I$89,3,0)*0.475*44/12</f>
        <v>1.0068872508413615</v>
      </c>
      <c r="AB161" s="23">
        <f>EXP(-LN(2)/2)*AB160+(1-EXP(-LN(2)/2))/(LN(2)/2)*V161*Y161*VLOOKUP('Données projet'!$B$9,Paramètres!$A$1:$I$89,3,0)*0.475*44/12</f>
        <v>5.0800919351864658E-7</v>
      </c>
      <c r="AC161" s="24">
        <f t="shared" si="163"/>
        <v>33.751589271259135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306.99999999999994</v>
      </c>
      <c r="AJ161" s="14">
        <f>AI161*VLOOKUP('Données projet'!$B$10,Paramètres!$A$1:$I$89,3,0)*VLOOKUP('Données projet'!$B$10,Paramètres!$A$1:$I$89,5,0)</f>
        <v>311.298</v>
      </c>
      <c r="AK161" s="14">
        <f t="shared" si="164"/>
        <v>73.539838278528748</v>
      </c>
      <c r="AL161" s="22">
        <f t="shared" si="165"/>
        <v>670.25923500177089</v>
      </c>
      <c r="AM161" s="62">
        <f t="shared" si="113"/>
        <v>963.59256833510426</v>
      </c>
      <c r="AN161" s="62">
        <f ca="1">AVERAGE(OFFSET($AM$3,0,0,'Données projet'!$E$10+1,1))-AVERAGE(OFFSET($H$3,0,0,'Données projet'!$E$10+1,1))</f>
        <v>360.56293184044779</v>
      </c>
      <c r="AO161" s="62">
        <f t="shared" si="144"/>
        <v>219.32252911220542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36.696648246664772</v>
      </c>
      <c r="AV161" s="23">
        <f>EXP(-LN(2)/25)*AV160+(1-EXP(-LN(2)/25))/(LN(2)/25)*Calculateur!AQ161*Calculateur!AS161*VLOOKUP('Données projet'!$B$10,Paramètres!$A$1:$I$89,3,0)*0.475*44/12</f>
        <v>1.1284081259429053</v>
      </c>
      <c r="AW161" s="23">
        <f>EXP(-LN(2)/2)*AW160+(1-EXP(-LN(2)/2))/(LN(2)/2)*AQ161*AT161*VLOOKUP('Données projet'!$B$10,Paramètres!$A$1:$I$89,3,0)*0.475*44/12</f>
        <v>5.6932064790882817E-7</v>
      </c>
      <c r="AX161" s="23">
        <f t="shared" si="166"/>
        <v>37.825056941928324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1.1368683772161603E-13</v>
      </c>
      <c r="BE161" s="14">
        <f>BD161*VLOOKUP('Données projet'!$B$11,Paramètres!$A$1:$I$89,3,0)*VLOOKUP('Données projet'!$B$11,Paramètres!$A$1:$I$89,5,0)</f>
        <v>8.3355189417488869E-14</v>
      </c>
      <c r="BF161" s="14">
        <f t="shared" si="167"/>
        <v>1.2790518435140618E-12</v>
      </c>
      <c r="BG161" s="22">
        <f t="shared" si="168"/>
        <v>2.3728589156891171E-12</v>
      </c>
      <c r="BH161" s="62">
        <f t="shared" si="116"/>
        <v>293.3333333333357</v>
      </c>
      <c r="BI161" s="62">
        <f ca="1">AVERAGE(OFFSET($BH$3,0,0,'Données projet'!$E$11+1,1))-AVERAGE(OFFSET($H$3,0,0,'Données projet'!$E$11+1,1))</f>
        <v>182.06733089745194</v>
      </c>
      <c r="BJ161" s="62">
        <f t="shared" si="146"/>
        <v>320.36755413886021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4.7360590008127721</v>
      </c>
      <c r="BQ161" s="23">
        <f>EXP(-LN(2)/25)*BQ160+(1-EXP(-LN(2)/25))/(LN(2)/25)*Calculateur!BL161*Calculateur!BN161*VLOOKUP('Données projet'!$B$11,Paramètres!$A$1:$I$89,3,0)*0.475*44/12</f>
        <v>0.36539932508929723</v>
      </c>
      <c r="BR161" s="23">
        <f>EXP(-LN(2)/2)*BR160+(1-EXP(-LN(2)/2))/(LN(2)/2)*BL161*BO161*VLOOKUP('Données projet'!$B$11,Paramètres!$A$1:$I$89,3,0)*0.475*44/12</f>
        <v>4.0136305526421917E-17</v>
      </c>
      <c r="BS161" s="24">
        <f t="shared" si="169"/>
        <v>5.1014583259020689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319.99999999999972</v>
      </c>
      <c r="BZ161" s="14">
        <f>BY161*VLOOKUP('Données projet'!$B$12,Paramètres!$A$1:$I$89,3,0)*VLOOKUP('Données projet'!$B$12,Paramètres!$A$1:$I$89,5,0)</f>
        <v>279.55199999999979</v>
      </c>
      <c r="CA161" s="14">
        <f t="shared" si="170"/>
        <v>66.872324781216591</v>
      </c>
      <c r="CB161" s="22">
        <f t="shared" si="171"/>
        <v>603.35569899395182</v>
      </c>
      <c r="CC161" s="62">
        <f t="shared" si="119"/>
        <v>896.68903232728508</v>
      </c>
      <c r="CD161" s="62">
        <f ca="1">AVERAGE(OFFSET($CC$3,0,0,'Données projet'!$E$12+1,1))-AVERAGE(OFFSET($H$3,0,0,'Données projet'!$E$12+1,1))</f>
        <v>248.60758320902863</v>
      </c>
      <c r="CE161" s="62">
        <f t="shared" si="148"/>
        <v>222.23585883330111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11.546226658903556</v>
      </c>
      <c r="CL161" s="23">
        <f>EXP(-LN(2)/25)*CL160+(1-EXP(-LN(2)/25))/(LN(2)/25)*Calculateur!CG161*Calculateur!CI161*VLOOKUP('Données projet'!$B$12,Paramètres!$A$1:$I$89,3,0)*0.475*44/12</f>
        <v>0.82805157168948096</v>
      </c>
      <c r="CM161" s="23">
        <f>EXP(-LN(2)/2)*CM160+(1-EXP(-LN(2)/2))/(LN(2)/2)*CG161*CJ161*VLOOKUP('Données projet'!$B$12,Paramètres!$A$1:$I$89,3,0)*0.475*44/12</f>
        <v>3.4157219386813612E-12</v>
      </c>
      <c r="CN161" s="24">
        <f t="shared" si="172"/>
        <v>12.374278230596454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193.99999999999994</v>
      </c>
      <c r="CU161" s="18">
        <f>CT161*VLOOKUP('Données projet'!$B$13,Paramètres!$A$1:$I$89,3,0)*VLOOKUP('Données projet'!$B$13,Paramètres!$A$1:$I$89,5,0)</f>
        <v>105.92399999999998</v>
      </c>
      <c r="CV161" s="14">
        <f t="shared" si="173"/>
        <v>28.36854701055546</v>
      </c>
      <c r="CW161" s="22">
        <f t="shared" si="174"/>
        <v>233.89285271005073</v>
      </c>
      <c r="CX161" s="62">
        <f t="shared" si="122"/>
        <v>527.22618604338402</v>
      </c>
      <c r="CY161" s="62">
        <f ca="1">AVERAGE(OFFSET($CX$3,0,0,'Données projet'!$E$13+1,1))-AVERAGE(OFFSET($H$3,0,0,'Données projet'!$E$13+1,1))</f>
        <v>135.44138026609272</v>
      </c>
      <c r="CZ161" s="62">
        <f t="shared" si="150"/>
        <v>254.77247578425659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5.2378277048288515</v>
      </c>
      <c r="DG161" s="23">
        <f>EXP(-LN(2)/25)*DG160+(1-EXP(-LN(2)/25))/(LN(2)/25)*Calculateur!DB161*Calculateur!DD161*VLOOKUP('Données projet'!$B$13,Paramètres!$A$1:$I$89,3,0)*0.475*44/12</f>
        <v>1.3008227884873729</v>
      </c>
      <c r="DH161" s="23">
        <f>EXP(-LN(2)/2)*DH160+(1-EXP(-LN(2)/2))/(LN(2)/2)*DB161*DE161*VLOOKUP('Données projet'!$B$13,Paramètres!$A$1:$I$89,3,0)*0.475*44/12</f>
        <v>4.6106580544352198E-18</v>
      </c>
      <c r="DI161" s="24">
        <f t="shared" si="175"/>
        <v>6.5386504933162239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273.00000000000023</v>
      </c>
      <c r="DP161" s="18">
        <f>DO161*VLOOKUP('Données projet'!$B$14,Paramètres!$A$1:$I$89,3,0)*VLOOKUP('Données projet'!$B$14,Paramètres!$A$1:$I$89,5,0)</f>
        <v>264.04560000000021</v>
      </c>
      <c r="DQ161" s="14">
        <f t="shared" si="176"/>
        <v>63.583959929973794</v>
      </c>
      <c r="DR161" s="22">
        <f t="shared" si="177"/>
        <v>570.6214835447048</v>
      </c>
      <c r="DS161" s="62">
        <f t="shared" si="125"/>
        <v>863.95481687803817</v>
      </c>
      <c r="DT161" s="62">
        <f ca="1">AVERAGE(OFFSET($DS$3,0,0,'Données projet'!$E$14+1,1))-AVERAGE(OFFSET($H$3,0,0,'Données projet'!$E$14+1,1))</f>
        <v>271.09447278906288</v>
      </c>
      <c r="DU161" s="62">
        <f t="shared" si="152"/>
        <v>325.1094067861851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5.8116046826588565</v>
      </c>
      <c r="EB161" s="23">
        <f>EXP(-LN(2)/25)*EB160+(1-EXP(-LN(2)/25))/(LN(2)/25)*Calculateur!DW161*Calculateur!DY161*VLOOKUP('Données projet'!$B$14,Paramètres!$A$1:$I$89,3,0)*0.475*44/12</f>
        <v>0.48598591002349711</v>
      </c>
      <c r="EC161" s="23">
        <f>EXP(-LN(2)/2)*EC160+(1-EXP(-LN(2)/2))/(LN(2)/2)*DW161*DZ161*VLOOKUP('Données projet'!$B$14,Paramètres!$A$1:$I$89,3,0)*0.475*44/12</f>
        <v>1.0824694867809435E-14</v>
      </c>
      <c r="ED161" s="24">
        <f t="shared" si="178"/>
        <v>6.2975905926823641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273.00000000000023</v>
      </c>
      <c r="EK161" s="18">
        <f>EJ161*VLOOKUP('Données projet'!$B$15,Paramètres!$A$1:$I$89,3,0)*VLOOKUP('Données projet'!$B$15,Paramètres!$A$1:$I$89,5,0)</f>
        <v>293.85720000000026</v>
      </c>
      <c r="EL161" s="14">
        <f t="shared" si="179"/>
        <v>69.887150190339895</v>
      </c>
      <c r="EM161" s="22">
        <f t="shared" si="180"/>
        <v>633.52140991484237</v>
      </c>
      <c r="EN161" s="62">
        <f t="shared" si="128"/>
        <v>926.85474324817574</v>
      </c>
      <c r="EO161" s="62">
        <f ca="1">AVERAGE(OFFSET($EN$3,0,0,'Données projet'!$E$15+1,1))-AVERAGE(OFFSET($H$3,0,0,'Données projet'!$E$15+1,1))</f>
        <v>306.50593475734655</v>
      </c>
      <c r="EP161" s="62">
        <f t="shared" si="154"/>
        <v>366.48643801375079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6.4677535984429202</v>
      </c>
      <c r="EW161" s="23">
        <f>EXP(-LN(2)/25)*EW160+(1-EXP(-LN(2)/25))/(LN(2)/25)*Calculateur!ER161*Calculateur!ET161*VLOOKUP('Données projet'!$B$15,Paramètres!$A$1:$I$89,3,0)*0.475*44/12</f>
        <v>0.54085528696163332</v>
      </c>
      <c r="EX161" s="23">
        <f>EXP(-LN(2)/2)*EX160+(1-EXP(-LN(2)/2))/(LN(2)/2)*ER161*EU161*VLOOKUP('Données projet'!$B$15,Paramètres!$A$1:$I$89,3,0)*0.475*44/12</f>
        <v>1.2046837836755654E-14</v>
      </c>
      <c r="EY161" s="24">
        <f t="shared" si="181"/>
        <v>7.0086088854045663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116.5787999999996</v>
      </c>
      <c r="D162" s="12">
        <f t="shared" si="140"/>
        <v>30.875722308455476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1138.2454353635128</v>
      </c>
      <c r="H162" s="70">
        <f t="shared" si="110"/>
        <v>550.14995968722587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306.99999999999994</v>
      </c>
      <c r="O162" s="14">
        <f>N162*VLOOKUP('Données projet'!$B$9,Paramètres!$A$1:$I$89,3,0)*VLOOKUP('Données projet'!$B$9,Paramètres!$A$1:$I$89,5,0)</f>
        <v>277.77359999999993</v>
      </c>
      <c r="P162" s="14">
        <f t="shared" si="141"/>
        <v>66.496288176842356</v>
      </c>
      <c r="Q162" s="22">
        <f t="shared" si="162"/>
        <v>599.60338857466706</v>
      </c>
      <c r="R162" s="62">
        <f t="shared" si="109"/>
        <v>892.93672190800044</v>
      </c>
      <c r="S162" s="62">
        <f ca="1">AVERAGE(OFFSET($R$3,0,0,'Données projet'!$E$9+1,1))-AVERAGE(OFFSET($H$3,0,0,'Données projet'!$E$9+1,1))</f>
        <v>312.57314929661908</v>
      </c>
      <c r="T162" s="62">
        <f t="shared" si="142"/>
        <v>190.92100876773804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32.10259788804607</v>
      </c>
      <c r="AA162" s="23">
        <f>EXP(-LN(2)/25)*AA161+(1-EXP(-LN(2)/25))/(LN(2)/25)*Calculateur!V162*Calculateur!X162*VLOOKUP('Données projet'!$B$9,Paramètres!$A$1:$I$89,3,0)*0.475*44/12</f>
        <v>0.97935386601720531</v>
      </c>
      <c r="AB162" s="23">
        <f>EXP(-LN(2)/2)*AB161+(1-EXP(-LN(2)/2))/(LN(2)/2)*V162*Y162*VLOOKUP('Données projet'!$B$9,Paramètres!$A$1:$I$89,3,0)*0.475*44/12</f>
        <v>3.592167456421441E-7</v>
      </c>
      <c r="AC162" s="24">
        <f t="shared" si="163"/>
        <v>33.081952113280025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306.99999999999994</v>
      </c>
      <c r="AJ162" s="14">
        <f>AI162*VLOOKUP('Données projet'!$B$10,Paramètres!$A$1:$I$89,3,0)*VLOOKUP('Données projet'!$B$10,Paramètres!$A$1:$I$89,5,0)</f>
        <v>311.298</v>
      </c>
      <c r="AK162" s="14">
        <f t="shared" si="164"/>
        <v>73.539838278528748</v>
      </c>
      <c r="AL162" s="22">
        <f t="shared" si="165"/>
        <v>670.25923500177089</v>
      </c>
      <c r="AM162" s="62">
        <f t="shared" si="113"/>
        <v>963.59256833510426</v>
      </c>
      <c r="AN162" s="62">
        <f ca="1">AVERAGE(OFFSET($AM$3,0,0,'Données projet'!$E$10+1,1))-AVERAGE(OFFSET($H$3,0,0,'Données projet'!$E$10+1,1))</f>
        <v>360.56293184044779</v>
      </c>
      <c r="AO162" s="62">
        <f t="shared" si="144"/>
        <v>219.32252911220542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35.977049357292991</v>
      </c>
      <c r="AV162" s="23">
        <f>EXP(-LN(2)/25)*AV161+(1-EXP(-LN(2)/25))/(LN(2)/25)*Calculateur!AQ162*Calculateur!AS162*VLOOKUP('Données projet'!$B$10,Paramètres!$A$1:$I$89,3,0)*0.475*44/12</f>
        <v>1.0975517463985922</v>
      </c>
      <c r="AW162" s="23">
        <f>EXP(-LN(2)/2)*AW161+(1-EXP(-LN(2)/2))/(LN(2)/2)*AQ162*AT162*VLOOKUP('Données projet'!$B$10,Paramètres!$A$1:$I$89,3,0)*0.475*44/12</f>
        <v>4.0257049080585123E-7</v>
      </c>
      <c r="AX162" s="23">
        <f t="shared" si="166"/>
        <v>37.074601506262077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1.1368683772161603E-13</v>
      </c>
      <c r="BE162" s="14">
        <f>BD162*VLOOKUP('Données projet'!$B$11,Paramètres!$A$1:$I$89,3,0)*VLOOKUP('Données projet'!$B$11,Paramètres!$A$1:$I$89,5,0)</f>
        <v>8.3355189417488869E-14</v>
      </c>
      <c r="BF162" s="14">
        <f t="shared" si="167"/>
        <v>1.2790518435140618E-12</v>
      </c>
      <c r="BG162" s="22">
        <f t="shared" si="168"/>
        <v>2.3728589156891171E-12</v>
      </c>
      <c r="BH162" s="62">
        <f t="shared" si="116"/>
        <v>293.3333333333357</v>
      </c>
      <c r="BI162" s="62">
        <f ca="1">AVERAGE(OFFSET($BH$3,0,0,'Données projet'!$E$11+1,1))-AVERAGE(OFFSET($H$3,0,0,'Données projet'!$E$11+1,1))</f>
        <v>182.06733089745194</v>
      </c>
      <c r="BJ162" s="62">
        <f t="shared" si="146"/>
        <v>320.36755413886021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4.6431877725175879</v>
      </c>
      <c r="BQ162" s="23">
        <f>EXP(-LN(2)/25)*BQ161+(1-EXP(-LN(2)/25))/(LN(2)/25)*Calculateur!BL162*Calculateur!BN162*VLOOKUP('Données projet'!$B$11,Paramètres!$A$1:$I$89,3,0)*0.475*44/12</f>
        <v>0.35540746132921502</v>
      </c>
      <c r="BR162" s="23">
        <f>EXP(-LN(2)/2)*BR161+(1-EXP(-LN(2)/2))/(LN(2)/2)*BL162*BO162*VLOOKUP('Données projet'!$B$11,Paramètres!$A$1:$I$89,3,0)*0.475*44/12</f>
        <v>2.8380653809508041E-17</v>
      </c>
      <c r="BS162" s="24">
        <f t="shared" si="169"/>
        <v>4.9985952338468032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319.99999999999972</v>
      </c>
      <c r="BZ162" s="14">
        <f>BY162*VLOOKUP('Données projet'!$B$12,Paramètres!$A$1:$I$89,3,0)*VLOOKUP('Données projet'!$B$12,Paramètres!$A$1:$I$89,5,0)</f>
        <v>279.55199999999979</v>
      </c>
      <c r="CA162" s="14">
        <f t="shared" si="170"/>
        <v>66.872324781216591</v>
      </c>
      <c r="CB162" s="22">
        <f t="shared" si="171"/>
        <v>603.35569899395182</v>
      </c>
      <c r="CC162" s="62">
        <f t="shared" si="119"/>
        <v>896.68903232728508</v>
      </c>
      <c r="CD162" s="62">
        <f ca="1">AVERAGE(OFFSET($CC$3,0,0,'Données projet'!$E$12+1,1))-AVERAGE(OFFSET($H$3,0,0,'Données projet'!$E$12+1,1))</f>
        <v>248.60758320902863</v>
      </c>
      <c r="CE162" s="62">
        <f t="shared" si="148"/>
        <v>222.23585883330111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11.31981219662533</v>
      </c>
      <c r="CL162" s="23">
        <f>EXP(-LN(2)/25)*CL161+(1-EXP(-LN(2)/25))/(LN(2)/25)*Calculateur!CG162*Calculateur!CI162*VLOOKUP('Données projet'!$B$12,Paramètres!$A$1:$I$89,3,0)*0.475*44/12</f>
        <v>0.80540845791629245</v>
      </c>
      <c r="CM162" s="23">
        <f>EXP(-LN(2)/2)*CM161+(1-EXP(-LN(2)/2))/(LN(2)/2)*CG162*CJ162*VLOOKUP('Données projet'!$B$12,Paramètres!$A$1:$I$89,3,0)*0.475*44/12</f>
        <v>2.4152801454892511E-12</v>
      </c>
      <c r="CN162" s="24">
        <f t="shared" si="172"/>
        <v>12.125220654544039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193.99999999999994</v>
      </c>
      <c r="CU162" s="18">
        <f>CT162*VLOOKUP('Données projet'!$B$13,Paramètres!$A$1:$I$89,3,0)*VLOOKUP('Données projet'!$B$13,Paramètres!$A$1:$I$89,5,0)</f>
        <v>105.92399999999998</v>
      </c>
      <c r="CV162" s="14">
        <f t="shared" si="173"/>
        <v>28.36854701055546</v>
      </c>
      <c r="CW162" s="22">
        <f t="shared" si="174"/>
        <v>233.89285271005073</v>
      </c>
      <c r="CX162" s="62">
        <f t="shared" si="122"/>
        <v>527.22618604338402</v>
      </c>
      <c r="CY162" s="62">
        <f ca="1">AVERAGE(OFFSET($CX$3,0,0,'Données projet'!$E$13+1,1))-AVERAGE(OFFSET($H$3,0,0,'Données projet'!$E$13+1,1))</f>
        <v>135.44138026609272</v>
      </c>
      <c r="CZ162" s="62">
        <f t="shared" si="150"/>
        <v>254.77247578425659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5.1351170982966012</v>
      </c>
      <c r="DG162" s="23">
        <f>EXP(-LN(2)/25)*DG161+(1-EXP(-LN(2)/25))/(LN(2)/25)*Calculateur!DB162*Calculateur!DD162*VLOOKUP('Données projet'!$B$13,Paramètres!$A$1:$I$89,3,0)*0.475*44/12</f>
        <v>1.2652517209288883</v>
      </c>
      <c r="DH162" s="23">
        <f>EXP(-LN(2)/2)*DH161+(1-EXP(-LN(2)/2))/(LN(2)/2)*DB162*DE162*VLOOKUP('Données projet'!$B$13,Paramètres!$A$1:$I$89,3,0)*0.475*44/12</f>
        <v>3.2602275760235179E-18</v>
      </c>
      <c r="DI162" s="24">
        <f t="shared" si="175"/>
        <v>6.4003688192254895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273.00000000000023</v>
      </c>
      <c r="DP162" s="18">
        <f>DO162*VLOOKUP('Données projet'!$B$14,Paramètres!$A$1:$I$89,3,0)*VLOOKUP('Données projet'!$B$14,Paramètres!$A$1:$I$89,5,0)</f>
        <v>264.04560000000021</v>
      </c>
      <c r="DQ162" s="14">
        <f t="shared" si="176"/>
        <v>63.583959929973794</v>
      </c>
      <c r="DR162" s="22">
        <f t="shared" si="177"/>
        <v>570.6214835447048</v>
      </c>
      <c r="DS162" s="62">
        <f t="shared" si="125"/>
        <v>863.95481687803817</v>
      </c>
      <c r="DT162" s="62">
        <f ca="1">AVERAGE(OFFSET($DS$3,0,0,'Données projet'!$E$14+1,1))-AVERAGE(OFFSET($H$3,0,0,'Données projet'!$E$14+1,1))</f>
        <v>271.09447278906288</v>
      </c>
      <c r="DU162" s="62">
        <f t="shared" si="152"/>
        <v>325.1094067861851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5.6976426595607599</v>
      </c>
      <c r="EB162" s="23">
        <f>EXP(-LN(2)/25)*EB161+(1-EXP(-LN(2)/25))/(LN(2)/25)*Calculateur!DW162*Calculateur!DY162*VLOOKUP('Données projet'!$B$14,Paramètres!$A$1:$I$89,3,0)*0.475*44/12</f>
        <v>0.47269659975701633</v>
      </c>
      <c r="EC162" s="23">
        <f>EXP(-LN(2)/2)*EC161+(1-EXP(-LN(2)/2))/(LN(2)/2)*DW162*DZ162*VLOOKUP('Données projet'!$B$14,Paramètres!$A$1:$I$89,3,0)*0.475*44/12</f>
        <v>7.6542151453032697E-15</v>
      </c>
      <c r="ED162" s="24">
        <f t="shared" si="178"/>
        <v>6.1703392593177844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273.00000000000023</v>
      </c>
      <c r="EK162" s="18">
        <f>EJ162*VLOOKUP('Données projet'!$B$15,Paramètres!$A$1:$I$89,3,0)*VLOOKUP('Données projet'!$B$15,Paramètres!$A$1:$I$89,5,0)</f>
        <v>293.85720000000026</v>
      </c>
      <c r="EL162" s="14">
        <f t="shared" si="179"/>
        <v>69.887150190339895</v>
      </c>
      <c r="EM162" s="22">
        <f t="shared" si="180"/>
        <v>633.52140991484237</v>
      </c>
      <c r="EN162" s="62">
        <f t="shared" si="128"/>
        <v>926.85474324817574</v>
      </c>
      <c r="EO162" s="62">
        <f ca="1">AVERAGE(OFFSET($EN$3,0,0,'Données projet'!$E$15+1,1))-AVERAGE(OFFSET($H$3,0,0,'Données projet'!$E$15+1,1))</f>
        <v>306.50593475734655</v>
      </c>
      <c r="EP162" s="62">
        <f t="shared" si="154"/>
        <v>366.48643801375079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6.3409248953176194</v>
      </c>
      <c r="EW162" s="23">
        <f>EXP(-LN(2)/25)*EW161+(1-EXP(-LN(2)/25))/(LN(2)/25)*Calculateur!ER162*Calculateur!ET162*VLOOKUP('Données projet'!$B$15,Paramètres!$A$1:$I$89,3,0)*0.475*44/12</f>
        <v>0.52606557069732407</v>
      </c>
      <c r="EX162" s="23">
        <f>EXP(-LN(2)/2)*EX161+(1-EXP(-LN(2)/2))/(LN(2)/2)*ER162*EU162*VLOOKUP('Données projet'!$B$15,Paramètres!$A$1:$I$89,3,0)*0.475*44/12</f>
        <v>8.518400726224602E-15</v>
      </c>
      <c r="EY162" s="24">
        <f t="shared" si="181"/>
        <v>6.8669904660149523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117.3119999999996</v>
      </c>
      <c r="D163" s="12">
        <f t="shared" si="140"/>
        <v>31.047243222685147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1145.2292459294963</v>
      </c>
      <c r="H163" s="70">
        <f t="shared" si="110"/>
        <v>551.72568194617588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306.99999999999994</v>
      </c>
      <c r="O163" s="14">
        <f>N163*VLOOKUP('Données projet'!$B$9,Paramètres!$A$1:$I$89,3,0)*VLOOKUP('Données projet'!$B$9,Paramètres!$A$1:$I$89,5,0)</f>
        <v>277.77359999999993</v>
      </c>
      <c r="P163" s="14">
        <f t="shared" si="141"/>
        <v>66.496288176842356</v>
      </c>
      <c r="Q163" s="22">
        <f t="shared" si="162"/>
        <v>599.60338857466706</v>
      </c>
      <c r="R163" s="62">
        <f t="shared" si="109"/>
        <v>892.93672190800044</v>
      </c>
      <c r="S163" s="62">
        <f ca="1">AVERAGE(OFFSET($R$3,0,0,'Données projet'!$E$9+1,1))-AVERAGE(OFFSET($H$3,0,0,'Données projet'!$E$9+1,1))</f>
        <v>312.57314929661908</v>
      </c>
      <c r="T163" s="62">
        <f t="shared" si="142"/>
        <v>190.92100876773804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31.473085524112768</v>
      </c>
      <c r="AA163" s="23">
        <f>EXP(-LN(2)/25)*AA162+(1-EXP(-LN(2)/25))/(LN(2)/25)*Calculateur!V163*Calculateur!X163*VLOOKUP('Données projet'!$B$9,Paramètres!$A$1:$I$89,3,0)*0.475*44/12</f>
        <v>0.95257338304898331</v>
      </c>
      <c r="AB163" s="23">
        <f>EXP(-LN(2)/2)*AB162+(1-EXP(-LN(2)/2))/(LN(2)/2)*V163*Y163*VLOOKUP('Données projet'!$B$9,Paramètres!$A$1:$I$89,3,0)*0.475*44/12</f>
        <v>2.5400459675932329E-7</v>
      </c>
      <c r="AC163" s="24">
        <f t="shared" si="163"/>
        <v>32.425659161166351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306.99999999999994</v>
      </c>
      <c r="AJ163" s="14">
        <f>AI163*VLOOKUP('Données projet'!$B$10,Paramètres!$A$1:$I$89,3,0)*VLOOKUP('Données projet'!$B$10,Paramètres!$A$1:$I$89,5,0)</f>
        <v>311.298</v>
      </c>
      <c r="AK163" s="14">
        <f t="shared" si="164"/>
        <v>73.539838278528748</v>
      </c>
      <c r="AL163" s="22">
        <f t="shared" si="165"/>
        <v>670.25923500177089</v>
      </c>
      <c r="AM163" s="62">
        <f t="shared" si="113"/>
        <v>963.59256833510426</v>
      </c>
      <c r="AN163" s="62">
        <f ca="1">AVERAGE(OFFSET($AM$3,0,0,'Données projet'!$E$10+1,1))-AVERAGE(OFFSET($H$3,0,0,'Données projet'!$E$10+1,1))</f>
        <v>360.56293184044779</v>
      </c>
      <c r="AO163" s="62">
        <f t="shared" si="144"/>
        <v>219.32252911220542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35.271561363229807</v>
      </c>
      <c r="AV163" s="23">
        <f>EXP(-LN(2)/25)*AV162+(1-EXP(-LN(2)/25))/(LN(2)/25)*Calculateur!AQ163*Calculateur!AS163*VLOOKUP('Données projet'!$B$10,Paramètres!$A$1:$I$89,3,0)*0.475*44/12</f>
        <v>1.0675391361755848</v>
      </c>
      <c r="AW163" s="23">
        <f>EXP(-LN(2)/2)*AW162+(1-EXP(-LN(2)/2))/(LN(2)/2)*AQ163*AT163*VLOOKUP('Données projet'!$B$10,Paramètres!$A$1:$I$89,3,0)*0.475*44/12</f>
        <v>2.8466032395441408E-7</v>
      </c>
      <c r="AX163" s="23">
        <f t="shared" si="166"/>
        <v>36.339100784065714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1.1368683772161603E-13</v>
      </c>
      <c r="BE163" s="14">
        <f>BD163*VLOOKUP('Données projet'!$B$11,Paramètres!$A$1:$I$89,3,0)*VLOOKUP('Données projet'!$B$11,Paramètres!$A$1:$I$89,5,0)</f>
        <v>8.3355189417488869E-14</v>
      </c>
      <c r="BF163" s="14">
        <f t="shared" si="167"/>
        <v>1.2790518435140618E-12</v>
      </c>
      <c r="BG163" s="22">
        <f t="shared" si="168"/>
        <v>2.3728589156891171E-12</v>
      </c>
      <c r="BH163" s="62">
        <f t="shared" si="116"/>
        <v>293.3333333333357</v>
      </c>
      <c r="BI163" s="62">
        <f ca="1">AVERAGE(OFFSET($BH$3,0,0,'Données projet'!$E$11+1,1))-AVERAGE(OFFSET($H$3,0,0,'Données projet'!$E$11+1,1))</f>
        <v>182.06733089745194</v>
      </c>
      <c r="BJ163" s="62">
        <f t="shared" si="146"/>
        <v>320.36755413886021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4.5521376923634156</v>
      </c>
      <c r="BQ163" s="23">
        <f>EXP(-LN(2)/25)*BQ162+(1-EXP(-LN(2)/25))/(LN(2)/25)*Calculateur!BL163*Calculateur!BN163*VLOOKUP('Données projet'!$B$11,Paramètres!$A$1:$I$89,3,0)*0.475*44/12</f>
        <v>0.34568882560910152</v>
      </c>
      <c r="BR163" s="23">
        <f>EXP(-LN(2)/2)*BR162+(1-EXP(-LN(2)/2))/(LN(2)/2)*BL163*BO163*VLOOKUP('Données projet'!$B$11,Paramètres!$A$1:$I$89,3,0)*0.475*44/12</f>
        <v>2.0068152763210958E-17</v>
      </c>
      <c r="BS163" s="24">
        <f t="shared" si="169"/>
        <v>4.8978265179725167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319.99999999999972</v>
      </c>
      <c r="BZ163" s="14">
        <f>BY163*VLOOKUP('Données projet'!$B$12,Paramètres!$A$1:$I$89,3,0)*VLOOKUP('Données projet'!$B$12,Paramètres!$A$1:$I$89,5,0)</f>
        <v>279.55199999999979</v>
      </c>
      <c r="CA163" s="14">
        <f t="shared" si="170"/>
        <v>66.872324781216591</v>
      </c>
      <c r="CB163" s="22">
        <f t="shared" si="171"/>
        <v>603.35569899395182</v>
      </c>
      <c r="CC163" s="62">
        <f t="shared" si="119"/>
        <v>896.68903232728508</v>
      </c>
      <c r="CD163" s="62">
        <f ca="1">AVERAGE(OFFSET($CC$3,0,0,'Données projet'!$E$12+1,1))-AVERAGE(OFFSET($H$3,0,0,'Données projet'!$E$12+1,1))</f>
        <v>248.60758320902863</v>
      </c>
      <c r="CE163" s="62">
        <f t="shared" si="148"/>
        <v>222.23585883330111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11.097837583853194</v>
      </c>
      <c r="CL163" s="23">
        <f>EXP(-LN(2)/25)*CL162+(1-EXP(-LN(2)/25))/(LN(2)/25)*Calculateur!CG163*Calculateur!CI163*VLOOKUP('Données projet'!$B$12,Paramètres!$A$1:$I$89,3,0)*0.475*44/12</f>
        <v>0.78338452127998137</v>
      </c>
      <c r="CM163" s="23">
        <f>EXP(-LN(2)/2)*CM162+(1-EXP(-LN(2)/2))/(LN(2)/2)*CG163*CJ163*VLOOKUP('Données projet'!$B$12,Paramètres!$A$1:$I$89,3,0)*0.475*44/12</f>
        <v>1.7078609693406806E-12</v>
      </c>
      <c r="CN163" s="24">
        <f t="shared" si="172"/>
        <v>11.881222105134881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193.99999999999994</v>
      </c>
      <c r="CU163" s="18">
        <f>CT163*VLOOKUP('Données projet'!$B$13,Paramètres!$A$1:$I$89,3,0)*VLOOKUP('Données projet'!$B$13,Paramètres!$A$1:$I$89,5,0)</f>
        <v>105.92399999999998</v>
      </c>
      <c r="CV163" s="14">
        <f t="shared" si="173"/>
        <v>28.36854701055546</v>
      </c>
      <c r="CW163" s="22">
        <f t="shared" si="174"/>
        <v>233.89285271005073</v>
      </c>
      <c r="CX163" s="62">
        <f t="shared" si="122"/>
        <v>527.22618604338402</v>
      </c>
      <c r="CY163" s="62">
        <f ca="1">AVERAGE(OFFSET($CX$3,0,0,'Données projet'!$E$13+1,1))-AVERAGE(OFFSET($H$3,0,0,'Données projet'!$E$13+1,1))</f>
        <v>135.44138026609272</v>
      </c>
      <c r="CZ163" s="62">
        <f t="shared" si="150"/>
        <v>254.77247578425659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5.0344205841111647</v>
      </c>
      <c r="DG163" s="23">
        <f>EXP(-LN(2)/25)*DG162+(1-EXP(-LN(2)/25))/(LN(2)/25)*Calculateur!DB163*Calculateur!DD163*VLOOKUP('Données projet'!$B$13,Paramètres!$A$1:$I$89,3,0)*0.475*44/12</f>
        <v>1.2306533460833915</v>
      </c>
      <c r="DH163" s="23">
        <f>EXP(-LN(2)/2)*DH162+(1-EXP(-LN(2)/2))/(LN(2)/2)*DB163*DE163*VLOOKUP('Données projet'!$B$13,Paramètres!$A$1:$I$89,3,0)*0.475*44/12</f>
        <v>2.3053290272176099E-18</v>
      </c>
      <c r="DI163" s="24">
        <f t="shared" si="175"/>
        <v>6.2650739301945562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273.00000000000023</v>
      </c>
      <c r="DP163" s="18">
        <f>DO163*VLOOKUP('Données projet'!$B$14,Paramètres!$A$1:$I$89,3,0)*VLOOKUP('Données projet'!$B$14,Paramètres!$A$1:$I$89,5,0)</f>
        <v>264.04560000000021</v>
      </c>
      <c r="DQ163" s="14">
        <f t="shared" si="176"/>
        <v>63.583959929973794</v>
      </c>
      <c r="DR163" s="22">
        <f t="shared" si="177"/>
        <v>570.6214835447048</v>
      </c>
      <c r="DS163" s="62">
        <f t="shared" si="125"/>
        <v>863.95481687803817</v>
      </c>
      <c r="DT163" s="62">
        <f ca="1">AVERAGE(OFFSET($DS$3,0,0,'Données projet'!$E$14+1,1))-AVERAGE(OFFSET($H$3,0,0,'Données projet'!$E$14+1,1))</f>
        <v>271.09447278906288</v>
      </c>
      <c r="DU163" s="62">
        <f t="shared" si="152"/>
        <v>325.1094067861851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5.5859153622256468</v>
      </c>
      <c r="EB163" s="23">
        <f>EXP(-LN(2)/25)*EB162+(1-EXP(-LN(2)/25))/(LN(2)/25)*Calculateur!DW163*Calculateur!DY163*VLOOKUP('Données projet'!$B$14,Paramètres!$A$1:$I$89,3,0)*0.475*44/12</f>
        <v>0.45977068637862689</v>
      </c>
      <c r="EC163" s="23">
        <f>EXP(-LN(2)/2)*EC162+(1-EXP(-LN(2)/2))/(LN(2)/2)*DW163*DZ163*VLOOKUP('Données projet'!$B$14,Paramètres!$A$1:$I$89,3,0)*0.475*44/12</f>
        <v>5.4123474339047173E-15</v>
      </c>
      <c r="ED163" s="24">
        <f t="shared" si="178"/>
        <v>6.0456860486042787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273.00000000000023</v>
      </c>
      <c r="EK163" s="18">
        <f>EJ163*VLOOKUP('Données projet'!$B$15,Paramètres!$A$1:$I$89,3,0)*VLOOKUP('Données projet'!$B$15,Paramètres!$A$1:$I$89,5,0)</f>
        <v>293.85720000000026</v>
      </c>
      <c r="EL163" s="14">
        <f t="shared" si="179"/>
        <v>69.887150190339895</v>
      </c>
      <c r="EM163" s="22">
        <f t="shared" si="180"/>
        <v>633.52140991484237</v>
      </c>
      <c r="EN163" s="62">
        <f t="shared" si="128"/>
        <v>926.85474324817574</v>
      </c>
      <c r="EO163" s="62">
        <f ca="1">AVERAGE(OFFSET($EN$3,0,0,'Données projet'!$E$15+1,1))-AVERAGE(OFFSET($H$3,0,0,'Données projet'!$E$15+1,1))</f>
        <v>306.50593475734655</v>
      </c>
      <c r="EP163" s="62">
        <f t="shared" si="154"/>
        <v>366.48643801375079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6.2165832257027347</v>
      </c>
      <c r="EW163" s="23">
        <f>EXP(-LN(2)/25)*EW162+(1-EXP(-LN(2)/25))/(LN(2)/25)*Calculateur!ER163*Calculateur!ET163*VLOOKUP('Données projet'!$B$15,Paramètres!$A$1:$I$89,3,0)*0.475*44/12</f>
        <v>0.51168028000201971</v>
      </c>
      <c r="EX163" s="23">
        <f>EXP(-LN(2)/2)*EX162+(1-EXP(-LN(2)/2))/(LN(2)/2)*ER163*EU163*VLOOKUP('Données projet'!$B$15,Paramètres!$A$1:$I$89,3,0)*0.475*44/12</f>
        <v>6.0234189183778272E-15</v>
      </c>
      <c r="EY163" s="24">
        <f t="shared" si="181"/>
        <v>6.7282635057047608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118.0451999999996</v>
      </c>
      <c r="D164" s="12">
        <f t="shared" si="140"/>
        <v>31.218639399968879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1152.2120936137917</v>
      </c>
      <c r="H164" s="70">
        <f t="shared" si="110"/>
        <v>553.30118695494502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306.99999999999994</v>
      </c>
      <c r="O164" s="14">
        <f>N164*VLOOKUP('Données projet'!$B$9,Paramètres!$A$1:$I$89,3,0)*VLOOKUP('Données projet'!$B$9,Paramètres!$A$1:$I$89,5,0)</f>
        <v>277.77359999999993</v>
      </c>
      <c r="P164" s="14">
        <f t="shared" si="141"/>
        <v>66.496288176842356</v>
      </c>
      <c r="Q164" s="22">
        <f t="shared" si="162"/>
        <v>599.60338857466706</v>
      </c>
      <c r="R164" s="62">
        <f t="shared" si="109"/>
        <v>892.93672190800044</v>
      </c>
      <c r="S164" s="62">
        <f ca="1">AVERAGE(OFFSET($R$3,0,0,'Données projet'!$E$9+1,1))-AVERAGE(OFFSET($H$3,0,0,'Données projet'!$E$9+1,1))</f>
        <v>312.57314929661908</v>
      </c>
      <c r="T164" s="62">
        <f t="shared" si="142"/>
        <v>190.92100876773804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30.855917513671571</v>
      </c>
      <c r="AA164" s="23">
        <f>EXP(-LN(2)/25)*AA163+(1-EXP(-LN(2)/25))/(LN(2)/25)*Calculateur!V164*Calculateur!X164*VLOOKUP('Données projet'!$B$9,Paramètres!$A$1:$I$89,3,0)*0.475*44/12</f>
        <v>0.92652521379585173</v>
      </c>
      <c r="AB164" s="23">
        <f>EXP(-LN(2)/2)*AB163+(1-EXP(-LN(2)/2))/(LN(2)/2)*V164*Y164*VLOOKUP('Données projet'!$B$9,Paramètres!$A$1:$I$89,3,0)*0.475*44/12</f>
        <v>1.7960837282107205E-7</v>
      </c>
      <c r="AC164" s="24">
        <f t="shared" si="163"/>
        <v>31.782442907075797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306.99999999999994</v>
      </c>
      <c r="AJ164" s="14">
        <f>AI164*VLOOKUP('Données projet'!$B$10,Paramètres!$A$1:$I$89,3,0)*VLOOKUP('Données projet'!$B$10,Paramètres!$A$1:$I$89,5,0)</f>
        <v>311.298</v>
      </c>
      <c r="AK164" s="14">
        <f t="shared" si="164"/>
        <v>73.539838278528748</v>
      </c>
      <c r="AL164" s="22">
        <f t="shared" si="165"/>
        <v>670.25923500177089</v>
      </c>
      <c r="AM164" s="62">
        <f t="shared" si="113"/>
        <v>963.59256833510426</v>
      </c>
      <c r="AN164" s="62">
        <f ca="1">AVERAGE(OFFSET($AM$3,0,0,'Données projet'!$E$10+1,1))-AVERAGE(OFFSET($H$3,0,0,'Données projet'!$E$10+1,1))</f>
        <v>360.56293184044779</v>
      </c>
      <c r="AO164" s="62">
        <f t="shared" si="144"/>
        <v>219.32252911220542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34.57990755842502</v>
      </c>
      <c r="AV164" s="23">
        <f>EXP(-LN(2)/25)*AV163+(1-EXP(-LN(2)/25))/(LN(2)/25)*Calculateur!AQ164*Calculateur!AS164*VLOOKUP('Données projet'!$B$10,Paramètres!$A$1:$I$89,3,0)*0.475*44/12</f>
        <v>1.0383472223574202</v>
      </c>
      <c r="AW164" s="23">
        <f>EXP(-LN(2)/2)*AW163+(1-EXP(-LN(2)/2))/(LN(2)/2)*AQ164*AT164*VLOOKUP('Données projet'!$B$10,Paramètres!$A$1:$I$89,3,0)*0.475*44/12</f>
        <v>2.0128524540292561E-7</v>
      </c>
      <c r="AX164" s="23">
        <f t="shared" si="166"/>
        <v>35.61825498206769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1.1368683772161603E-13</v>
      </c>
      <c r="BE164" s="14">
        <f>BD164*VLOOKUP('Données projet'!$B$11,Paramètres!$A$1:$I$89,3,0)*VLOOKUP('Données projet'!$B$11,Paramètres!$A$1:$I$89,5,0)</f>
        <v>8.3355189417488869E-14</v>
      </c>
      <c r="BF164" s="14">
        <f t="shared" si="167"/>
        <v>1.2790518435140618E-12</v>
      </c>
      <c r="BG164" s="22">
        <f t="shared" si="168"/>
        <v>2.3728589156891171E-12</v>
      </c>
      <c r="BH164" s="62">
        <f t="shared" si="116"/>
        <v>293.3333333333357</v>
      </c>
      <c r="BI164" s="62">
        <f ca="1">AVERAGE(OFFSET($BH$3,0,0,'Données projet'!$E$11+1,1))-AVERAGE(OFFSET($H$3,0,0,'Données projet'!$E$11+1,1))</f>
        <v>182.06733089745194</v>
      </c>
      <c r="BJ164" s="62">
        <f t="shared" si="146"/>
        <v>320.36755413886021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4.462873048746002</v>
      </c>
      <c r="BQ164" s="23">
        <f>EXP(-LN(2)/25)*BQ163+(1-EXP(-LN(2)/25))/(LN(2)/25)*Calculateur!BL164*Calculateur!BN164*VLOOKUP('Données projet'!$B$11,Paramètres!$A$1:$I$89,3,0)*0.475*44/12</f>
        <v>0.33623594649383537</v>
      </c>
      <c r="BR164" s="23">
        <f>EXP(-LN(2)/2)*BR163+(1-EXP(-LN(2)/2))/(LN(2)/2)*BL164*BO164*VLOOKUP('Données projet'!$B$11,Paramètres!$A$1:$I$89,3,0)*0.475*44/12</f>
        <v>1.419032690475402E-17</v>
      </c>
      <c r="BS164" s="24">
        <f t="shared" si="169"/>
        <v>4.7991089952398376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319.99999999999972</v>
      </c>
      <c r="BZ164" s="14">
        <f>BY164*VLOOKUP('Données projet'!$B$12,Paramètres!$A$1:$I$89,3,0)*VLOOKUP('Données projet'!$B$12,Paramètres!$A$1:$I$89,5,0)</f>
        <v>279.55199999999979</v>
      </c>
      <c r="CA164" s="14">
        <f t="shared" si="170"/>
        <v>66.872324781216591</v>
      </c>
      <c r="CB164" s="22">
        <f t="shared" si="171"/>
        <v>603.35569899395182</v>
      </c>
      <c r="CC164" s="62">
        <f t="shared" si="119"/>
        <v>896.68903232728508</v>
      </c>
      <c r="CD164" s="62">
        <f ca="1">AVERAGE(OFFSET($CC$3,0,0,'Données projet'!$E$12+1,1))-AVERAGE(OFFSET($H$3,0,0,'Données projet'!$E$12+1,1))</f>
        <v>248.60758320902863</v>
      </c>
      <c r="CE164" s="62">
        <f t="shared" si="148"/>
        <v>222.23585883330111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10.880215757846374</v>
      </c>
      <c r="CL164" s="23">
        <f>EXP(-LN(2)/25)*CL163+(1-EXP(-LN(2)/25))/(LN(2)/25)*Calculateur!CG164*Calculateur!CI164*VLOOKUP('Données projet'!$B$12,Paramètres!$A$1:$I$89,3,0)*0.475*44/12</f>
        <v>0.76196283034917878</v>
      </c>
      <c r="CM164" s="23">
        <f>EXP(-LN(2)/2)*CM163+(1-EXP(-LN(2)/2))/(LN(2)/2)*CG164*CJ164*VLOOKUP('Données projet'!$B$12,Paramètres!$A$1:$I$89,3,0)*0.475*44/12</f>
        <v>1.2076400727446256E-12</v>
      </c>
      <c r="CN164" s="24">
        <f t="shared" si="172"/>
        <v>11.64217858819676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193.99999999999994</v>
      </c>
      <c r="CU164" s="18">
        <f>CT164*VLOOKUP('Données projet'!$B$13,Paramètres!$A$1:$I$89,3,0)*VLOOKUP('Données projet'!$B$13,Paramètres!$A$1:$I$89,5,0)</f>
        <v>105.92399999999998</v>
      </c>
      <c r="CV164" s="14">
        <f t="shared" si="173"/>
        <v>28.36854701055546</v>
      </c>
      <c r="CW164" s="22">
        <f t="shared" si="174"/>
        <v>233.89285271005073</v>
      </c>
      <c r="CX164" s="62">
        <f t="shared" si="122"/>
        <v>527.22618604338402</v>
      </c>
      <c r="CY164" s="62">
        <f ca="1">AVERAGE(OFFSET($CX$3,0,0,'Données projet'!$E$13+1,1))-AVERAGE(OFFSET($H$3,0,0,'Données projet'!$E$13+1,1))</f>
        <v>135.44138026609272</v>
      </c>
      <c r="CZ164" s="62">
        <f t="shared" si="150"/>
        <v>254.77247578425659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4.9356986671500955</v>
      </c>
      <c r="DG164" s="23">
        <f>EXP(-LN(2)/25)*DG163+(1-EXP(-LN(2)/25))/(LN(2)/25)*Calculateur!DB164*Calculateur!DD164*VLOOKUP('Données projet'!$B$13,Paramètres!$A$1:$I$89,3,0)*0.475*44/12</f>
        <v>1.1970010656174943</v>
      </c>
      <c r="DH164" s="23">
        <f>EXP(-LN(2)/2)*DH163+(1-EXP(-LN(2)/2))/(LN(2)/2)*DB164*DE164*VLOOKUP('Données projet'!$B$13,Paramètres!$A$1:$I$89,3,0)*0.475*44/12</f>
        <v>1.630113788011759E-18</v>
      </c>
      <c r="DI164" s="24">
        <f t="shared" si="175"/>
        <v>6.1326997327675894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273.00000000000023</v>
      </c>
      <c r="DP164" s="18">
        <f>DO164*VLOOKUP('Données projet'!$B$14,Paramètres!$A$1:$I$89,3,0)*VLOOKUP('Données projet'!$B$14,Paramètres!$A$1:$I$89,5,0)</f>
        <v>264.04560000000021</v>
      </c>
      <c r="DQ164" s="14">
        <f t="shared" si="176"/>
        <v>63.583959929973794</v>
      </c>
      <c r="DR164" s="22">
        <f t="shared" si="177"/>
        <v>570.6214835447048</v>
      </c>
      <c r="DS164" s="62">
        <f t="shared" si="125"/>
        <v>863.95481687803817</v>
      </c>
      <c r="DT164" s="62">
        <f ca="1">AVERAGE(OFFSET($DS$3,0,0,'Données projet'!$E$14+1,1))-AVERAGE(OFFSET($H$3,0,0,'Données projet'!$E$14+1,1))</f>
        <v>271.09447278906288</v>
      </c>
      <c r="DU164" s="62">
        <f t="shared" si="152"/>
        <v>325.1094067861851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5.4763789690443527</v>
      </c>
      <c r="EB164" s="23">
        <f>EXP(-LN(2)/25)*EB163+(1-EXP(-LN(2)/25))/(LN(2)/25)*Calculateur!DW164*Calculateur!DY164*VLOOKUP('Données projet'!$B$14,Paramètres!$A$1:$I$89,3,0)*0.475*44/12</f>
        <v>0.44719823278131376</v>
      </c>
      <c r="EC164" s="23">
        <f>EXP(-LN(2)/2)*EC163+(1-EXP(-LN(2)/2))/(LN(2)/2)*DW164*DZ164*VLOOKUP('Données projet'!$B$14,Paramètres!$A$1:$I$89,3,0)*0.475*44/12</f>
        <v>3.8271075726516349E-15</v>
      </c>
      <c r="ED164" s="24">
        <f t="shared" si="178"/>
        <v>5.9235772018256698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273.00000000000023</v>
      </c>
      <c r="EK164" s="18">
        <f>EJ164*VLOOKUP('Données projet'!$B$15,Paramètres!$A$1:$I$89,3,0)*VLOOKUP('Données projet'!$B$15,Paramètres!$A$1:$I$89,5,0)</f>
        <v>293.85720000000026</v>
      </c>
      <c r="EL164" s="14">
        <f t="shared" si="179"/>
        <v>69.887150190339895</v>
      </c>
      <c r="EM164" s="22">
        <f t="shared" si="180"/>
        <v>633.52140991484237</v>
      </c>
      <c r="EN164" s="62">
        <f t="shared" si="128"/>
        <v>926.85474324817574</v>
      </c>
      <c r="EO164" s="62">
        <f ca="1">AVERAGE(OFFSET($EN$3,0,0,'Données projet'!$E$15+1,1))-AVERAGE(OFFSET($H$3,0,0,'Données projet'!$E$15+1,1))</f>
        <v>306.50593475734655</v>
      </c>
      <c r="EP164" s="62">
        <f t="shared" si="154"/>
        <v>366.48643801375079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6.0946798203880688</v>
      </c>
      <c r="EW164" s="23">
        <f>EXP(-LN(2)/25)*EW163+(1-EXP(-LN(2)/25))/(LN(2)/25)*Calculateur!ER164*Calculateur!ET164*VLOOKUP('Données projet'!$B$15,Paramètres!$A$1:$I$89,3,0)*0.475*44/12</f>
        <v>0.497688355837268</v>
      </c>
      <c r="EX164" s="23">
        <f>EXP(-LN(2)/2)*EX163+(1-EXP(-LN(2)/2))/(LN(2)/2)*ER164*EU164*VLOOKUP('Données projet'!$B$15,Paramètres!$A$1:$I$89,3,0)*0.475*44/12</f>
        <v>4.259200363112301E-15</v>
      </c>
      <c r="EY164" s="24">
        <f t="shared" si="181"/>
        <v>6.5923681762253414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118.77839999999959</v>
      </c>
      <c r="D165" s="12">
        <f t="shared" si="140"/>
        <v>31.389911704951448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1159.19398509085</v>
      </c>
      <c r="H165" s="70">
        <f t="shared" si="110"/>
        <v>554.87647621945644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306.99999999999994</v>
      </c>
      <c r="O165" s="14">
        <f>N165*VLOOKUP('Données projet'!$B$9,Paramètres!$A$1:$I$89,3,0)*VLOOKUP('Données projet'!$B$9,Paramètres!$A$1:$I$89,5,0)</f>
        <v>277.77359999999993</v>
      </c>
      <c r="P165" s="14">
        <f t="shared" si="141"/>
        <v>66.496288176842356</v>
      </c>
      <c r="Q165" s="22">
        <f t="shared" si="162"/>
        <v>599.60338857466706</v>
      </c>
      <c r="R165" s="62">
        <f t="shared" si="109"/>
        <v>892.93672190800044</v>
      </c>
      <c r="S165" s="62">
        <f ca="1">AVERAGE(OFFSET($R$3,0,0,'Données projet'!$E$9+1,1))-AVERAGE(OFFSET($H$3,0,0,'Données projet'!$E$9+1,1))</f>
        <v>312.57314929661908</v>
      </c>
      <c r="T165" s="62">
        <f t="shared" si="142"/>
        <v>190.92100876773804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30.250851791479811</v>
      </c>
      <c r="AA165" s="23">
        <f>EXP(-LN(2)/25)*AA164+(1-EXP(-LN(2)/25))/(LN(2)/25)*Calculateur!V165*Calculateur!X165*VLOOKUP('Données projet'!$B$9,Paramètres!$A$1:$I$89,3,0)*0.475*44/12</f>
        <v>0.90118933310076077</v>
      </c>
      <c r="AB165" s="23">
        <f>EXP(-LN(2)/2)*AB164+(1-EXP(-LN(2)/2))/(LN(2)/2)*V165*Y165*VLOOKUP('Données projet'!$B$9,Paramètres!$A$1:$I$89,3,0)*0.475*44/12</f>
        <v>1.2700229837966164E-7</v>
      </c>
      <c r="AC165" s="24">
        <f t="shared" si="163"/>
        <v>31.152041251582869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306.99999999999994</v>
      </c>
      <c r="AJ165" s="14">
        <f>AI165*VLOOKUP('Données projet'!$B$10,Paramètres!$A$1:$I$89,3,0)*VLOOKUP('Données projet'!$B$10,Paramètres!$A$1:$I$89,5,0)</f>
        <v>311.298</v>
      </c>
      <c r="AK165" s="14">
        <f t="shared" si="164"/>
        <v>73.539838278528748</v>
      </c>
      <c r="AL165" s="22">
        <f t="shared" si="165"/>
        <v>670.25923500177089</v>
      </c>
      <c r="AM165" s="62">
        <f t="shared" si="113"/>
        <v>963.59256833510426</v>
      </c>
      <c r="AN165" s="62">
        <f ca="1">AVERAGE(OFFSET($AM$3,0,0,'Données projet'!$E$10+1,1))-AVERAGE(OFFSET($H$3,0,0,'Données projet'!$E$10+1,1))</f>
        <v>360.56293184044779</v>
      </c>
      <c r="AO165" s="62">
        <f t="shared" si="144"/>
        <v>219.32252911220542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33.901816662865286</v>
      </c>
      <c r="AV165" s="23">
        <f>EXP(-LN(2)/25)*AV164+(1-EXP(-LN(2)/25))/(LN(2)/25)*Calculateur!AQ165*Calculateur!AS165*VLOOKUP('Données projet'!$B$10,Paramètres!$A$1:$I$89,3,0)*0.475*44/12</f>
        <v>1.0099535629577492</v>
      </c>
      <c r="AW165" s="23">
        <f>EXP(-LN(2)/2)*AW164+(1-EXP(-LN(2)/2))/(LN(2)/2)*AQ165*AT165*VLOOKUP('Données projet'!$B$10,Paramètres!$A$1:$I$89,3,0)*0.475*44/12</f>
        <v>1.4233016197720704E-7</v>
      </c>
      <c r="AX165" s="23">
        <f t="shared" si="166"/>
        <v>34.911770368153199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1.1368683772161603E-13</v>
      </c>
      <c r="BE165" s="14">
        <f>BD165*VLOOKUP('Données projet'!$B$11,Paramètres!$A$1:$I$89,3,0)*VLOOKUP('Données projet'!$B$11,Paramètres!$A$1:$I$89,5,0)</f>
        <v>8.3355189417488869E-14</v>
      </c>
      <c r="BF165" s="14">
        <f t="shared" si="167"/>
        <v>1.2790518435140618E-12</v>
      </c>
      <c r="BG165" s="22">
        <f t="shared" si="168"/>
        <v>2.3728589156891171E-12</v>
      </c>
      <c r="BH165" s="62">
        <f t="shared" si="116"/>
        <v>293.3333333333357</v>
      </c>
      <c r="BI165" s="62">
        <f ca="1">AVERAGE(OFFSET($BH$3,0,0,'Données projet'!$E$11+1,1))-AVERAGE(OFFSET($H$3,0,0,'Données projet'!$E$11+1,1))</f>
        <v>182.06733089745194</v>
      </c>
      <c r="BJ165" s="62">
        <f t="shared" si="146"/>
        <v>320.36755413886021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4.3753588303438695</v>
      </c>
      <c r="BQ165" s="23">
        <f>EXP(-LN(2)/25)*BQ164+(1-EXP(-LN(2)/25))/(LN(2)/25)*Calculateur!BL165*Calculateur!BN165*VLOOKUP('Données projet'!$B$11,Paramètres!$A$1:$I$89,3,0)*0.475*44/12</f>
        <v>0.32704155685508152</v>
      </c>
      <c r="BR165" s="23">
        <f>EXP(-LN(2)/2)*BR164+(1-EXP(-LN(2)/2))/(LN(2)/2)*BL165*BO165*VLOOKUP('Données projet'!$B$11,Paramètres!$A$1:$I$89,3,0)*0.475*44/12</f>
        <v>1.0034076381605479E-17</v>
      </c>
      <c r="BS165" s="24">
        <f t="shared" si="169"/>
        <v>4.702400387198951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319.99999999999972</v>
      </c>
      <c r="BZ165" s="14">
        <f>BY165*VLOOKUP('Données projet'!$B$12,Paramètres!$A$1:$I$89,3,0)*VLOOKUP('Données projet'!$B$12,Paramètres!$A$1:$I$89,5,0)</f>
        <v>279.55199999999979</v>
      </c>
      <c r="CA165" s="14">
        <f t="shared" si="170"/>
        <v>66.872324781216591</v>
      </c>
      <c r="CB165" s="22">
        <f t="shared" si="171"/>
        <v>603.35569899395182</v>
      </c>
      <c r="CC165" s="62">
        <f t="shared" si="119"/>
        <v>896.68903232728508</v>
      </c>
      <c r="CD165" s="62">
        <f ca="1">AVERAGE(OFFSET($CC$3,0,0,'Données projet'!$E$12+1,1))-AVERAGE(OFFSET($H$3,0,0,'Données projet'!$E$12+1,1))</f>
        <v>248.60758320902863</v>
      </c>
      <c r="CE165" s="62">
        <f t="shared" si="148"/>
        <v>222.23585883330111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10.666861363111341</v>
      </c>
      <c r="CL165" s="23">
        <f>EXP(-LN(2)/25)*CL164+(1-EXP(-LN(2)/25))/(LN(2)/25)*Calculateur!CG165*Calculateur!CI165*VLOOKUP('Données projet'!$B$12,Paramètres!$A$1:$I$89,3,0)*0.475*44/12</f>
        <v>0.7411269166833967</v>
      </c>
      <c r="CM165" s="23">
        <f>EXP(-LN(2)/2)*CM164+(1-EXP(-LN(2)/2))/(LN(2)/2)*CG165*CJ165*VLOOKUP('Données projet'!$B$12,Paramètres!$A$1:$I$89,3,0)*0.475*44/12</f>
        <v>8.5393048467034029E-13</v>
      </c>
      <c r="CN165" s="24">
        <f t="shared" si="172"/>
        <v>11.407988279795592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193.99999999999994</v>
      </c>
      <c r="CU165" s="18">
        <f>CT165*VLOOKUP('Données projet'!$B$13,Paramètres!$A$1:$I$89,3,0)*VLOOKUP('Données projet'!$B$13,Paramètres!$A$1:$I$89,5,0)</f>
        <v>105.92399999999998</v>
      </c>
      <c r="CV165" s="14">
        <f t="shared" si="173"/>
        <v>28.36854701055546</v>
      </c>
      <c r="CW165" s="22">
        <f t="shared" si="174"/>
        <v>233.89285271005073</v>
      </c>
      <c r="CX165" s="62">
        <f t="shared" si="122"/>
        <v>527.22618604338402</v>
      </c>
      <c r="CY165" s="62">
        <f ca="1">AVERAGE(OFFSET($CX$3,0,0,'Données projet'!$E$13+1,1))-AVERAGE(OFFSET($H$3,0,0,'Données projet'!$E$13+1,1))</f>
        <v>135.44138026609272</v>
      </c>
      <c r="CZ165" s="62">
        <f t="shared" si="150"/>
        <v>254.77247578425659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4.8389126267662093</v>
      </c>
      <c r="DG165" s="23">
        <f>EXP(-LN(2)/25)*DG164+(1-EXP(-LN(2)/25))/(LN(2)/25)*Calculateur!DB165*Calculateur!DD165*VLOOKUP('Données projet'!$B$13,Paramètres!$A$1:$I$89,3,0)*0.475*44/12</f>
        <v>1.1642690085306338</v>
      </c>
      <c r="DH165" s="23">
        <f>EXP(-LN(2)/2)*DH164+(1-EXP(-LN(2)/2))/(LN(2)/2)*DB165*DE165*VLOOKUP('Données projet'!$B$13,Paramètres!$A$1:$I$89,3,0)*0.475*44/12</f>
        <v>1.1526645136088049E-18</v>
      </c>
      <c r="DI165" s="24">
        <f t="shared" si="175"/>
        <v>6.0031816352968432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273.00000000000023</v>
      </c>
      <c r="DP165" s="18">
        <f>DO165*VLOOKUP('Données projet'!$B$14,Paramètres!$A$1:$I$89,3,0)*VLOOKUP('Données projet'!$B$14,Paramètres!$A$1:$I$89,5,0)</f>
        <v>264.04560000000021</v>
      </c>
      <c r="DQ165" s="14">
        <f t="shared" si="176"/>
        <v>63.583959929973794</v>
      </c>
      <c r="DR165" s="22">
        <f t="shared" si="177"/>
        <v>570.6214835447048</v>
      </c>
      <c r="DS165" s="62">
        <f t="shared" si="125"/>
        <v>863.95481687803817</v>
      </c>
      <c r="DT165" s="62">
        <f ca="1">AVERAGE(OFFSET($DS$3,0,0,'Données projet'!$E$14+1,1))-AVERAGE(OFFSET($H$3,0,0,'Données projet'!$E$14+1,1))</f>
        <v>271.09447278906288</v>
      </c>
      <c r="DU165" s="62">
        <f t="shared" si="152"/>
        <v>325.1094067861851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5.3689905177227404</v>
      </c>
      <c r="EB165" s="23">
        <f>EXP(-LN(2)/25)*EB164+(1-EXP(-LN(2)/25))/(LN(2)/25)*Calculateur!DW165*Calculateur!DY165*VLOOKUP('Données projet'!$B$14,Paramètres!$A$1:$I$89,3,0)*0.475*44/12</f>
        <v>0.43496957358877575</v>
      </c>
      <c r="EC165" s="23">
        <f>EXP(-LN(2)/2)*EC164+(1-EXP(-LN(2)/2))/(LN(2)/2)*DW165*DZ165*VLOOKUP('Données projet'!$B$14,Paramètres!$A$1:$I$89,3,0)*0.475*44/12</f>
        <v>2.7061737169523586E-15</v>
      </c>
      <c r="ED165" s="24">
        <f t="shared" si="178"/>
        <v>5.8039600913115192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273.00000000000023</v>
      </c>
      <c r="EK165" s="18">
        <f>EJ165*VLOOKUP('Données projet'!$B$15,Paramètres!$A$1:$I$89,3,0)*VLOOKUP('Données projet'!$B$15,Paramètres!$A$1:$I$89,5,0)</f>
        <v>293.85720000000026</v>
      </c>
      <c r="EL165" s="14">
        <f t="shared" si="179"/>
        <v>69.887150190339895</v>
      </c>
      <c r="EM165" s="22">
        <f t="shared" si="180"/>
        <v>633.52140991484237</v>
      </c>
      <c r="EN165" s="62">
        <f t="shared" si="128"/>
        <v>926.85474324817574</v>
      </c>
      <c r="EO165" s="62">
        <f ca="1">AVERAGE(OFFSET($EN$3,0,0,'Données projet'!$E$15+1,1))-AVERAGE(OFFSET($H$3,0,0,'Données projet'!$E$15+1,1))</f>
        <v>306.50593475734655</v>
      </c>
      <c r="EP165" s="62">
        <f t="shared" si="154"/>
        <v>366.48643801375079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5.9751668664978874</v>
      </c>
      <c r="EW165" s="23">
        <f>EXP(-LN(2)/25)*EW164+(1-EXP(-LN(2)/25))/(LN(2)/25)*Calculateur!ER165*Calculateur!ET165*VLOOKUP('Données projet'!$B$15,Paramètres!$A$1:$I$89,3,0)*0.475*44/12</f>
        <v>0.48407904157460474</v>
      </c>
      <c r="EX165" s="23">
        <f>EXP(-LN(2)/2)*EX164+(1-EXP(-LN(2)/2))/(LN(2)/2)*ER165*EU165*VLOOKUP('Données projet'!$B$15,Paramètres!$A$1:$I$89,3,0)*0.475*44/12</f>
        <v>3.0117094591889136E-15</v>
      </c>
      <c r="EY165" s="24">
        <f t="shared" si="181"/>
        <v>6.4592459080724947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119.51159999999959</v>
      </c>
      <c r="D166" s="12">
        <f t="shared" si="140"/>
        <v>31.561060990985393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1166.1749269479544</v>
      </c>
      <c r="H166" s="70">
        <f t="shared" si="110"/>
        <v>556.45155122596543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306.99999999999994</v>
      </c>
      <c r="O166" s="14">
        <f>N166*VLOOKUP('Données projet'!$B$9,Paramètres!$A$1:$I$89,3,0)*VLOOKUP('Données projet'!$B$9,Paramètres!$A$1:$I$89,5,0)</f>
        <v>277.77359999999993</v>
      </c>
      <c r="P166" s="14">
        <f t="shared" si="141"/>
        <v>66.496288176842356</v>
      </c>
      <c r="Q166" s="22">
        <f t="shared" si="162"/>
        <v>599.60338857466706</v>
      </c>
      <c r="R166" s="62">
        <f t="shared" si="109"/>
        <v>892.93672190800044</v>
      </c>
      <c r="S166" s="62">
        <f ca="1">AVERAGE(OFFSET($R$3,0,0,'Données projet'!$E$9+1,1))-AVERAGE(OFFSET($H$3,0,0,'Données projet'!$E$9+1,1))</f>
        <v>312.57314929661908</v>
      </c>
      <c r="T166" s="62">
        <f t="shared" si="142"/>
        <v>190.92100876773804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29.657651039046581</v>
      </c>
      <c r="AA166" s="23">
        <f>EXP(-LN(2)/25)*AA165+(1-EXP(-LN(2)/25))/(LN(2)/25)*Calculateur!V166*Calculateur!X166*VLOOKUP('Données projet'!$B$9,Paramètres!$A$1:$I$89,3,0)*0.475*44/12</f>
        <v>0.87654626339563313</v>
      </c>
      <c r="AB166" s="23">
        <f>EXP(-LN(2)/2)*AB165+(1-EXP(-LN(2)/2))/(LN(2)/2)*V166*Y166*VLOOKUP('Données projet'!$B$9,Paramètres!$A$1:$I$89,3,0)*0.475*44/12</f>
        <v>8.9804186410536026E-8</v>
      </c>
      <c r="AC166" s="24">
        <f t="shared" si="163"/>
        <v>30.534197392246398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306.99999999999994</v>
      </c>
      <c r="AJ166" s="14">
        <f>AI166*VLOOKUP('Données projet'!$B$10,Paramètres!$A$1:$I$89,3,0)*VLOOKUP('Données projet'!$B$10,Paramètres!$A$1:$I$89,5,0)</f>
        <v>311.298</v>
      </c>
      <c r="AK166" s="14">
        <f t="shared" si="164"/>
        <v>73.539838278528748</v>
      </c>
      <c r="AL166" s="22">
        <f t="shared" si="165"/>
        <v>670.25923500177089</v>
      </c>
      <c r="AM166" s="62">
        <f t="shared" si="113"/>
        <v>963.59256833510426</v>
      </c>
      <c r="AN166" s="62">
        <f ca="1">AVERAGE(OFFSET($AM$3,0,0,'Données projet'!$E$10+1,1))-AVERAGE(OFFSET($H$3,0,0,'Données projet'!$E$10+1,1))</f>
        <v>360.56293184044779</v>
      </c>
      <c r="AO166" s="62">
        <f t="shared" si="144"/>
        <v>219.32252911220542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33.237022716172874</v>
      </c>
      <c r="AV166" s="23">
        <f>EXP(-LN(2)/25)*AV165+(1-EXP(-LN(2)/25))/(LN(2)/25)*Calculateur!AQ166*Calculateur!AS166*VLOOKUP('Données projet'!$B$10,Paramètres!$A$1:$I$89,3,0)*0.475*44/12</f>
        <v>0.98233632966751994</v>
      </c>
      <c r="AW166" s="23">
        <f>EXP(-LN(2)/2)*AW165+(1-EXP(-LN(2)/2))/(LN(2)/2)*AQ166*AT166*VLOOKUP('Données projet'!$B$10,Paramètres!$A$1:$I$89,3,0)*0.475*44/12</f>
        <v>1.0064262270146281E-7</v>
      </c>
      <c r="AX166" s="23">
        <f t="shared" si="166"/>
        <v>34.219359146483015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1.1368683772161603E-13</v>
      </c>
      <c r="BE166" s="14">
        <f>BD166*VLOOKUP('Données projet'!$B$11,Paramètres!$A$1:$I$89,3,0)*VLOOKUP('Données projet'!$B$11,Paramètres!$A$1:$I$89,5,0)</f>
        <v>8.3355189417488869E-14</v>
      </c>
      <c r="BF166" s="14">
        <f t="shared" si="167"/>
        <v>1.2790518435140618E-12</v>
      </c>
      <c r="BG166" s="22">
        <f t="shared" si="168"/>
        <v>2.3728589156891171E-12</v>
      </c>
      <c r="BH166" s="62">
        <f t="shared" si="116"/>
        <v>293.3333333333357</v>
      </c>
      <c r="BI166" s="62">
        <f ca="1">AVERAGE(OFFSET($BH$3,0,0,'Données projet'!$E$11+1,1))-AVERAGE(OFFSET($H$3,0,0,'Données projet'!$E$11+1,1))</f>
        <v>182.06733089745194</v>
      </c>
      <c r="BJ166" s="62">
        <f t="shared" si="146"/>
        <v>320.36755413886021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4.2895607123861996</v>
      </c>
      <c r="BQ166" s="23">
        <f>EXP(-LN(2)/25)*BQ165+(1-EXP(-LN(2)/25))/(LN(2)/25)*Calculateur!BL166*Calculateur!BN166*VLOOKUP('Données projet'!$B$11,Paramètres!$A$1:$I$89,3,0)*0.475*44/12</f>
        <v>0.31809858828451132</v>
      </c>
      <c r="BR166" s="23">
        <f>EXP(-LN(2)/2)*BR165+(1-EXP(-LN(2)/2))/(LN(2)/2)*BL166*BO166*VLOOKUP('Données projet'!$B$11,Paramètres!$A$1:$I$89,3,0)*0.475*44/12</f>
        <v>7.0951634523770102E-18</v>
      </c>
      <c r="BS166" s="24">
        <f t="shared" si="169"/>
        <v>4.6076593006707114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319.99999999999972</v>
      </c>
      <c r="BZ166" s="14">
        <f>BY166*VLOOKUP('Données projet'!$B$12,Paramètres!$A$1:$I$89,3,0)*VLOOKUP('Données projet'!$B$12,Paramètres!$A$1:$I$89,5,0)</f>
        <v>279.55199999999979</v>
      </c>
      <c r="CA166" s="14">
        <f t="shared" si="170"/>
        <v>66.872324781216591</v>
      </c>
      <c r="CB166" s="22">
        <f t="shared" si="171"/>
        <v>603.35569899395182</v>
      </c>
      <c r="CC166" s="62">
        <f t="shared" si="119"/>
        <v>896.68903232728508</v>
      </c>
      <c r="CD166" s="62">
        <f ca="1">AVERAGE(OFFSET($CC$3,0,0,'Données projet'!$E$12+1,1))-AVERAGE(OFFSET($H$3,0,0,'Données projet'!$E$12+1,1))</f>
        <v>248.60758320902863</v>
      </c>
      <c r="CE166" s="62">
        <f t="shared" si="148"/>
        <v>222.23585883330111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10.457690717923731</v>
      </c>
      <c r="CL166" s="23">
        <f>EXP(-LN(2)/25)*CL165+(1-EXP(-LN(2)/25))/(LN(2)/25)*Calculateur!CG166*Calculateur!CI166*VLOOKUP('Données projet'!$B$12,Paramètres!$A$1:$I$89,3,0)*0.475*44/12</f>
        <v>0.72086076217251849</v>
      </c>
      <c r="CM166" s="23">
        <f>EXP(-LN(2)/2)*CM165+(1-EXP(-LN(2)/2))/(LN(2)/2)*CG166*CJ166*VLOOKUP('Données projet'!$B$12,Paramètres!$A$1:$I$89,3,0)*0.475*44/12</f>
        <v>6.0382003637231278E-13</v>
      </c>
      <c r="CN166" s="24">
        <f t="shared" si="172"/>
        <v>11.178551480096854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193.99999999999994</v>
      </c>
      <c r="CU166" s="18">
        <f>CT166*VLOOKUP('Données projet'!$B$13,Paramètres!$A$1:$I$89,3,0)*VLOOKUP('Données projet'!$B$13,Paramètres!$A$1:$I$89,5,0)</f>
        <v>105.92399999999998</v>
      </c>
      <c r="CV166" s="14">
        <f t="shared" si="173"/>
        <v>28.36854701055546</v>
      </c>
      <c r="CW166" s="22">
        <f t="shared" si="174"/>
        <v>233.89285271005073</v>
      </c>
      <c r="CX166" s="62">
        <f t="shared" si="122"/>
        <v>527.22618604338402</v>
      </c>
      <c r="CY166" s="62">
        <f ca="1">AVERAGE(OFFSET($CX$3,0,0,'Données projet'!$E$13+1,1))-AVERAGE(OFFSET($H$3,0,0,'Données projet'!$E$13+1,1))</f>
        <v>135.44138026609272</v>
      </c>
      <c r="CZ166" s="62">
        <f t="shared" si="150"/>
        <v>254.77247578425659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4.7440245016005953</v>
      </c>
      <c r="DG166" s="23">
        <f>EXP(-LN(2)/25)*DG165+(1-EXP(-LN(2)/25))/(LN(2)/25)*Calculateur!DB166*Calculateur!DD166*VLOOKUP('Données projet'!$B$13,Paramètres!$A$1:$I$89,3,0)*0.475*44/12</f>
        <v>1.1324320112661175</v>
      </c>
      <c r="DH166" s="23">
        <f>EXP(-LN(2)/2)*DH165+(1-EXP(-LN(2)/2))/(LN(2)/2)*DB166*DE166*VLOOKUP('Données projet'!$B$13,Paramètres!$A$1:$I$89,3,0)*0.475*44/12</f>
        <v>8.1505689400587948E-19</v>
      </c>
      <c r="DI166" s="24">
        <f t="shared" si="175"/>
        <v>5.8764565128667128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273.00000000000023</v>
      </c>
      <c r="DP166" s="18">
        <f>DO166*VLOOKUP('Données projet'!$B$14,Paramètres!$A$1:$I$89,3,0)*VLOOKUP('Données projet'!$B$14,Paramètres!$A$1:$I$89,5,0)</f>
        <v>264.04560000000021</v>
      </c>
      <c r="DQ166" s="14">
        <f t="shared" si="176"/>
        <v>63.583959929973794</v>
      </c>
      <c r="DR166" s="22">
        <f t="shared" si="177"/>
        <v>570.6214835447048</v>
      </c>
      <c r="DS166" s="62">
        <f t="shared" si="125"/>
        <v>863.95481687803817</v>
      </c>
      <c r="DT166" s="62">
        <f ca="1">AVERAGE(OFFSET($DS$3,0,0,'Données projet'!$E$14+1,1))-AVERAGE(OFFSET($H$3,0,0,'Données projet'!$E$14+1,1))</f>
        <v>271.09447278906288</v>
      </c>
      <c r="DU166" s="62">
        <f t="shared" si="152"/>
        <v>325.1094067861851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5.2637078884310577</v>
      </c>
      <c r="EB166" s="23">
        <f>EXP(-LN(2)/25)*EB165+(1-EXP(-LN(2)/25))/(LN(2)/25)*Calculateur!DW166*Calculateur!DY166*VLOOKUP('Données projet'!$B$14,Paramètres!$A$1:$I$89,3,0)*0.475*44/12</f>
        <v>0.42307530772493496</v>
      </c>
      <c r="EC166" s="23">
        <f>EXP(-LN(2)/2)*EC165+(1-EXP(-LN(2)/2))/(LN(2)/2)*DW166*DZ166*VLOOKUP('Données projet'!$B$14,Paramètres!$A$1:$I$89,3,0)*0.475*44/12</f>
        <v>1.9135537863258174E-15</v>
      </c>
      <c r="ED166" s="24">
        <f t="shared" si="178"/>
        <v>5.6867831961559947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273.00000000000023</v>
      </c>
      <c r="EK166" s="18">
        <f>EJ166*VLOOKUP('Données projet'!$B$15,Paramètres!$A$1:$I$89,3,0)*VLOOKUP('Données projet'!$B$15,Paramètres!$A$1:$I$89,5,0)</f>
        <v>293.85720000000026</v>
      </c>
      <c r="EL166" s="14">
        <f t="shared" si="179"/>
        <v>69.887150190339895</v>
      </c>
      <c r="EM166" s="22">
        <f t="shared" si="180"/>
        <v>633.52140991484237</v>
      </c>
      <c r="EN166" s="62">
        <f t="shared" si="128"/>
        <v>926.85474324817574</v>
      </c>
      <c r="EO166" s="62">
        <f ca="1">AVERAGE(OFFSET($EN$3,0,0,'Données projet'!$E$15+1,1))-AVERAGE(OFFSET($H$3,0,0,'Données projet'!$E$15+1,1))</f>
        <v>306.50593475734655</v>
      </c>
      <c r="EP166" s="62">
        <f t="shared" si="154"/>
        <v>366.48643801375079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5.857997488737789</v>
      </c>
      <c r="EW166" s="23">
        <f>EXP(-LN(2)/25)*EW165+(1-EXP(-LN(2)/25))/(LN(2)/25)*Calculateur!ER166*Calculateur!ET166*VLOOKUP('Données projet'!$B$15,Paramètres!$A$1:$I$89,3,0)*0.475*44/12</f>
        <v>0.47084187472613676</v>
      </c>
      <c r="EX166" s="23">
        <f>EXP(-LN(2)/2)*EX165+(1-EXP(-LN(2)/2))/(LN(2)/2)*ER166*EU166*VLOOKUP('Données projet'!$B$15,Paramètres!$A$1:$I$89,3,0)*0.475*44/12</f>
        <v>2.1296001815561505E-15</v>
      </c>
      <c r="EY166" s="24">
        <f t="shared" si="181"/>
        <v>6.3288393634639277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120.24479999999959</v>
      </c>
      <c r="D167" s="12">
        <f t="shared" si="140"/>
        <v>31.732088100347205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1173.1549256868877</v>
      </c>
      <c r="H167" s="70">
        <f t="shared" si="110"/>
        <v>558.02641344143728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306.99999999999994</v>
      </c>
      <c r="O167" s="14">
        <f>N167*VLOOKUP('Données projet'!$B$9,Paramètres!$A$1:$I$89,3,0)*VLOOKUP('Données projet'!$B$9,Paramètres!$A$1:$I$89,5,0)</f>
        <v>277.77359999999993</v>
      </c>
      <c r="P167" s="14">
        <f t="shared" si="141"/>
        <v>66.496288176842356</v>
      </c>
      <c r="Q167" s="22">
        <f t="shared" si="162"/>
        <v>599.60338857466706</v>
      </c>
      <c r="R167" s="62">
        <f t="shared" si="109"/>
        <v>892.93672190800044</v>
      </c>
      <c r="S167" s="62">
        <f ca="1">AVERAGE(OFFSET($R$3,0,0,'Données projet'!$E$9+1,1))-AVERAGE(OFFSET($H$3,0,0,'Données projet'!$E$9+1,1))</f>
        <v>312.57314929661908</v>
      </c>
      <c r="T167" s="62">
        <f t="shared" si="142"/>
        <v>190.92100876773804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29.076082591551835</v>
      </c>
      <c r="AA167" s="23">
        <f>EXP(-LN(2)/25)*AA166+(1-EXP(-LN(2)/25))/(LN(2)/25)*Calculateur!V167*Calculateur!X167*VLOOKUP('Données projet'!$B$9,Paramètres!$A$1:$I$89,3,0)*0.475*44/12</f>
        <v>0.85257705972751496</v>
      </c>
      <c r="AB167" s="23">
        <f>EXP(-LN(2)/2)*AB166+(1-EXP(-LN(2)/2))/(LN(2)/2)*V167*Y167*VLOOKUP('Données projet'!$B$9,Paramètres!$A$1:$I$89,3,0)*0.475*44/12</f>
        <v>6.3501149189830822E-8</v>
      </c>
      <c r="AC167" s="24">
        <f t="shared" si="163"/>
        <v>29.928659714780498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306.99999999999994</v>
      </c>
      <c r="AJ167" s="14">
        <f>AI167*VLOOKUP('Données projet'!$B$10,Paramètres!$A$1:$I$89,3,0)*VLOOKUP('Données projet'!$B$10,Paramètres!$A$1:$I$89,5,0)</f>
        <v>311.298</v>
      </c>
      <c r="AK167" s="14">
        <f t="shared" si="164"/>
        <v>73.539838278528748</v>
      </c>
      <c r="AL167" s="22">
        <f t="shared" si="165"/>
        <v>670.25923500177089</v>
      </c>
      <c r="AM167" s="62">
        <f t="shared" si="113"/>
        <v>963.59256833510426</v>
      </c>
      <c r="AN167" s="62">
        <f ca="1">AVERAGE(OFFSET($AM$3,0,0,'Données projet'!$E$10+1,1))-AVERAGE(OFFSET($H$3,0,0,'Données projet'!$E$10+1,1))</f>
        <v>360.56293184044779</v>
      </c>
      <c r="AO167" s="62">
        <f t="shared" si="144"/>
        <v>219.32252911220542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32.585264973290826</v>
      </c>
      <c r="AV167" s="23">
        <f>EXP(-LN(2)/25)*AV166+(1-EXP(-LN(2)/25))/(LN(2)/25)*Calculateur!AQ167*Calculateur!AS167*VLOOKUP('Données projet'!$B$10,Paramètres!$A$1:$I$89,3,0)*0.475*44/12</f>
        <v>0.95547429107393922</v>
      </c>
      <c r="AW167" s="23">
        <f>EXP(-LN(2)/2)*AW166+(1-EXP(-LN(2)/2))/(LN(2)/2)*AQ167*AT167*VLOOKUP('Données projet'!$B$10,Paramètres!$A$1:$I$89,3,0)*0.475*44/12</f>
        <v>7.1165080988603521E-8</v>
      </c>
      <c r="AX167" s="23">
        <f t="shared" si="166"/>
        <v>33.54073933552985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1.1368683772161603E-13</v>
      </c>
      <c r="BE167" s="14">
        <f>BD167*VLOOKUP('Données projet'!$B$11,Paramètres!$A$1:$I$89,3,0)*VLOOKUP('Données projet'!$B$11,Paramètres!$A$1:$I$89,5,0)</f>
        <v>8.3355189417488869E-14</v>
      </c>
      <c r="BF167" s="14">
        <f t="shared" si="167"/>
        <v>1.2790518435140618E-12</v>
      </c>
      <c r="BG167" s="22">
        <f t="shared" si="168"/>
        <v>2.3728589156891171E-12</v>
      </c>
      <c r="BH167" s="62">
        <f t="shared" si="116"/>
        <v>293.3333333333357</v>
      </c>
      <c r="BI167" s="62">
        <f ca="1">AVERAGE(OFFSET($BH$3,0,0,'Données projet'!$E$11+1,1))-AVERAGE(OFFSET($H$3,0,0,'Données projet'!$E$11+1,1))</f>
        <v>182.06733089745194</v>
      </c>
      <c r="BJ167" s="62">
        <f t="shared" si="146"/>
        <v>320.36755413886021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4.2054450431899957</v>
      </c>
      <c r="BQ167" s="23">
        <f>EXP(-LN(2)/25)*BQ166+(1-EXP(-LN(2)/25))/(LN(2)/25)*Calculateur!BL167*Calculateur!BN167*VLOOKUP('Données projet'!$B$11,Paramètres!$A$1:$I$89,3,0)*0.475*44/12</f>
        <v>0.30940016565979361</v>
      </c>
      <c r="BR167" s="23">
        <f>EXP(-LN(2)/2)*BR166+(1-EXP(-LN(2)/2))/(LN(2)/2)*BL167*BO167*VLOOKUP('Données projet'!$B$11,Paramètres!$A$1:$I$89,3,0)*0.475*44/12</f>
        <v>5.0170381908027396E-18</v>
      </c>
      <c r="BS167" s="24">
        <f t="shared" si="169"/>
        <v>4.5148452088497892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319.99999999999972</v>
      </c>
      <c r="BZ167" s="14">
        <f>BY167*VLOOKUP('Données projet'!$B$12,Paramètres!$A$1:$I$89,3,0)*VLOOKUP('Données projet'!$B$12,Paramètres!$A$1:$I$89,5,0)</f>
        <v>279.55199999999979</v>
      </c>
      <c r="CA167" s="14">
        <f t="shared" si="170"/>
        <v>66.872324781216591</v>
      </c>
      <c r="CB167" s="22">
        <f t="shared" si="171"/>
        <v>603.35569899395182</v>
      </c>
      <c r="CC167" s="62">
        <f t="shared" si="119"/>
        <v>896.68903232728508</v>
      </c>
      <c r="CD167" s="62">
        <f ca="1">AVERAGE(OFFSET($CC$3,0,0,'Données projet'!$E$12+1,1))-AVERAGE(OFFSET($H$3,0,0,'Données projet'!$E$12+1,1))</f>
        <v>248.60758320902863</v>
      </c>
      <c r="CE167" s="62">
        <f t="shared" si="148"/>
        <v>222.23585883330111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10.252621781506754</v>
      </c>
      <c r="CL167" s="23">
        <f>EXP(-LN(2)/25)*CL166+(1-EXP(-LN(2)/25))/(LN(2)/25)*Calculateur!CG167*Calculateur!CI167*VLOOKUP('Données projet'!$B$12,Paramètres!$A$1:$I$89,3,0)*0.475*44/12</f>
        <v>0.70114878672249104</v>
      </c>
      <c r="CM167" s="23">
        <f>EXP(-LN(2)/2)*CM166+(1-EXP(-LN(2)/2))/(LN(2)/2)*CG167*CJ167*VLOOKUP('Données projet'!$B$12,Paramètres!$A$1:$I$89,3,0)*0.475*44/12</f>
        <v>4.2696524233517014E-13</v>
      </c>
      <c r="CN167" s="24">
        <f t="shared" si="172"/>
        <v>10.953770568229672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193.99999999999994</v>
      </c>
      <c r="CU167" s="18">
        <f>CT167*VLOOKUP('Données projet'!$B$13,Paramètres!$A$1:$I$89,3,0)*VLOOKUP('Données projet'!$B$13,Paramètres!$A$1:$I$89,5,0)</f>
        <v>105.92399999999998</v>
      </c>
      <c r="CV167" s="14">
        <f t="shared" si="173"/>
        <v>28.36854701055546</v>
      </c>
      <c r="CW167" s="22">
        <f t="shared" si="174"/>
        <v>233.89285271005073</v>
      </c>
      <c r="CX167" s="62">
        <f t="shared" si="122"/>
        <v>527.22618604338402</v>
      </c>
      <c r="CY167" s="62">
        <f ca="1">AVERAGE(OFFSET($CX$3,0,0,'Données projet'!$E$13+1,1))-AVERAGE(OFFSET($H$3,0,0,'Données projet'!$E$13+1,1))</f>
        <v>135.44138026609272</v>
      </c>
      <c r="CZ167" s="62">
        <f t="shared" si="150"/>
        <v>254.77247578425659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4.6509970746934375</v>
      </c>
      <c r="DG167" s="23">
        <f>EXP(-LN(2)/25)*DG166+(1-EXP(-LN(2)/25))/(LN(2)/25)*Calculateur!DB167*Calculateur!DD167*VLOOKUP('Données projet'!$B$13,Paramètres!$A$1:$I$89,3,0)*0.475*44/12</f>
        <v>1.1014655983660342</v>
      </c>
      <c r="DH167" s="23">
        <f>EXP(-LN(2)/2)*DH166+(1-EXP(-LN(2)/2))/(LN(2)/2)*DB167*DE167*VLOOKUP('Données projet'!$B$13,Paramètres!$A$1:$I$89,3,0)*0.475*44/12</f>
        <v>5.7633225680440247E-19</v>
      </c>
      <c r="DI167" s="24">
        <f t="shared" si="175"/>
        <v>5.7524626730594717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273.00000000000023</v>
      </c>
      <c r="DP167" s="18">
        <f>DO167*VLOOKUP('Données projet'!$B$14,Paramètres!$A$1:$I$89,3,0)*VLOOKUP('Données projet'!$B$14,Paramètres!$A$1:$I$89,5,0)</f>
        <v>264.04560000000021</v>
      </c>
      <c r="DQ167" s="14">
        <f t="shared" si="176"/>
        <v>63.583959929973794</v>
      </c>
      <c r="DR167" s="22">
        <f t="shared" si="177"/>
        <v>570.6214835447048</v>
      </c>
      <c r="DS167" s="62">
        <f t="shared" si="125"/>
        <v>863.95481687803817</v>
      </c>
      <c r="DT167" s="62">
        <f ca="1">AVERAGE(OFFSET($DS$3,0,0,'Données projet'!$E$14+1,1))-AVERAGE(OFFSET($H$3,0,0,'Données projet'!$E$14+1,1))</f>
        <v>271.09447278906288</v>
      </c>
      <c r="DU167" s="62">
        <f t="shared" si="152"/>
        <v>325.1094067861851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5.1604897872837219</v>
      </c>
      <c r="EB167" s="23">
        <f>EXP(-LN(2)/25)*EB166+(1-EXP(-LN(2)/25))/(LN(2)/25)*Calculateur!DW167*Calculateur!DY167*VLOOKUP('Données projet'!$B$14,Paramètres!$A$1:$I$89,3,0)*0.475*44/12</f>
        <v>0.41150629118663312</v>
      </c>
      <c r="EC167" s="23">
        <f>EXP(-LN(2)/2)*EC166+(1-EXP(-LN(2)/2))/(LN(2)/2)*DW167*DZ167*VLOOKUP('Données projet'!$B$14,Paramètres!$A$1:$I$89,3,0)*0.475*44/12</f>
        <v>1.3530868584761793E-15</v>
      </c>
      <c r="ED167" s="24">
        <f t="shared" si="178"/>
        <v>5.5719960784703568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273.00000000000023</v>
      </c>
      <c r="EK167" s="18">
        <f>EJ167*VLOOKUP('Données projet'!$B$15,Paramètres!$A$1:$I$89,3,0)*VLOOKUP('Données projet'!$B$15,Paramètres!$A$1:$I$89,5,0)</f>
        <v>293.85720000000026</v>
      </c>
      <c r="EL167" s="14">
        <f t="shared" si="179"/>
        <v>69.887150190339895</v>
      </c>
      <c r="EM167" s="22">
        <f t="shared" si="180"/>
        <v>633.52140991484237</v>
      </c>
      <c r="EN167" s="62">
        <f t="shared" si="128"/>
        <v>926.85474324817574</v>
      </c>
      <c r="EO167" s="62">
        <f ca="1">AVERAGE(OFFSET($EN$3,0,0,'Données projet'!$E$15+1,1))-AVERAGE(OFFSET($H$3,0,0,'Données projet'!$E$15+1,1))</f>
        <v>306.50593475734655</v>
      </c>
      <c r="EP167" s="62">
        <f t="shared" si="154"/>
        <v>366.48643801375079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5.743125731009302</v>
      </c>
      <c r="EW167" s="23">
        <f>EXP(-LN(2)/25)*EW166+(1-EXP(-LN(2)/25))/(LN(2)/25)*Calculateur!ER167*Calculateur!ET167*VLOOKUP('Données projet'!$B$15,Paramètres!$A$1:$I$89,3,0)*0.475*44/12</f>
        <v>0.45796667890125248</v>
      </c>
      <c r="EX167" s="23">
        <f>EXP(-LN(2)/2)*EX166+(1-EXP(-LN(2)/2))/(LN(2)/2)*ER167*EU167*VLOOKUP('Données projet'!$B$15,Paramètres!$A$1:$I$89,3,0)*0.475*44/12</f>
        <v>1.5058547295944568E-15</v>
      </c>
      <c r="EY167" s="24">
        <f t="shared" si="181"/>
        <v>6.2010924099105562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120.97799999999958</v>
      </c>
      <c r="D168" s="12">
        <f t="shared" si="140"/>
        <v>31.902993864447446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1180.1339877255559</v>
      </c>
      <c r="H168" s="70">
        <f t="shared" si="110"/>
        <v>559.60106431391182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306.99999999999994</v>
      </c>
      <c r="O168" s="14">
        <f>N168*VLOOKUP('Données projet'!$B$9,Paramètres!$A$1:$I$89,3,0)*VLOOKUP('Données projet'!$B$9,Paramètres!$A$1:$I$89,5,0)</f>
        <v>277.77359999999993</v>
      </c>
      <c r="P168" s="14">
        <f t="shared" si="141"/>
        <v>66.496288176842356</v>
      </c>
      <c r="Q168" s="22">
        <f t="shared" si="162"/>
        <v>599.60338857466706</v>
      </c>
      <c r="R168" s="62">
        <f t="shared" si="109"/>
        <v>892.93672190800044</v>
      </c>
      <c r="S168" s="62">
        <f ca="1">AVERAGE(OFFSET($R$3,0,0,'Données projet'!$E$9+1,1))-AVERAGE(OFFSET($H$3,0,0,'Données projet'!$E$9+1,1))</f>
        <v>312.57314929661908</v>
      </c>
      <c r="T168" s="62">
        <f t="shared" si="142"/>
        <v>190.92100876773804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28.505918346590732</v>
      </c>
      <c r="AA168" s="23">
        <f>EXP(-LN(2)/25)*AA167+(1-EXP(-LN(2)/25))/(LN(2)/25)*Calculateur!V168*Calculateur!X168*VLOOKUP('Données projet'!$B$9,Paramètres!$A$1:$I$89,3,0)*0.475*44/12</f>
        <v>0.82926329519418707</v>
      </c>
      <c r="AB168" s="23">
        <f>EXP(-LN(2)/2)*AB167+(1-EXP(-LN(2)/2))/(LN(2)/2)*V168*Y168*VLOOKUP('Données projet'!$B$9,Paramètres!$A$1:$I$89,3,0)*0.475*44/12</f>
        <v>4.4902093205268013E-8</v>
      </c>
      <c r="AC168" s="24">
        <f t="shared" si="163"/>
        <v>29.335181686687015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306.99999999999994</v>
      </c>
      <c r="AJ168" s="14">
        <f>AI168*VLOOKUP('Données projet'!$B$10,Paramètres!$A$1:$I$89,3,0)*VLOOKUP('Données projet'!$B$10,Paramètres!$A$1:$I$89,5,0)</f>
        <v>311.298</v>
      </c>
      <c r="AK168" s="14">
        <f t="shared" si="164"/>
        <v>73.539838278528748</v>
      </c>
      <c r="AL168" s="22">
        <f t="shared" si="165"/>
        <v>670.25923500177089</v>
      </c>
      <c r="AM168" s="62">
        <f t="shared" si="113"/>
        <v>963.59256833510426</v>
      </c>
      <c r="AN168" s="62">
        <f ca="1">AVERAGE(OFFSET($AM$3,0,0,'Données projet'!$E$10+1,1))-AVERAGE(OFFSET($H$3,0,0,'Données projet'!$E$10+1,1))</f>
        <v>360.56293184044779</v>
      </c>
      <c r="AO168" s="62">
        <f t="shared" si="144"/>
        <v>219.32252911220542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31.946287802213728</v>
      </c>
      <c r="AV168" s="23">
        <f>EXP(-LN(2)/25)*AV167+(1-EXP(-LN(2)/25))/(LN(2)/25)*Calculateur!AQ168*Calculateur!AS168*VLOOKUP('Données projet'!$B$10,Paramètres!$A$1:$I$89,3,0)*0.475*44/12</f>
        <v>0.92934679633831319</v>
      </c>
      <c r="AW168" s="23">
        <f>EXP(-LN(2)/2)*AW167+(1-EXP(-LN(2)/2))/(LN(2)/2)*AQ168*AT168*VLOOKUP('Données projet'!$B$10,Paramètres!$A$1:$I$89,3,0)*0.475*44/12</f>
        <v>5.0321311350731403E-8</v>
      </c>
      <c r="AX168" s="23">
        <f t="shared" si="166"/>
        <v>32.875634648873351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1.1368683772161603E-13</v>
      </c>
      <c r="BE168" s="14">
        <f>BD168*VLOOKUP('Données projet'!$B$11,Paramètres!$A$1:$I$89,3,0)*VLOOKUP('Données projet'!$B$11,Paramètres!$A$1:$I$89,5,0)</f>
        <v>8.3355189417488869E-14</v>
      </c>
      <c r="BF168" s="14">
        <f t="shared" si="167"/>
        <v>1.2790518435140618E-12</v>
      </c>
      <c r="BG168" s="22">
        <f t="shared" si="168"/>
        <v>2.3728589156891171E-12</v>
      </c>
      <c r="BH168" s="62">
        <f t="shared" si="116"/>
        <v>293.3333333333357</v>
      </c>
      <c r="BI168" s="62">
        <f ca="1">AVERAGE(OFFSET($BH$3,0,0,'Données projet'!$E$11+1,1))-AVERAGE(OFFSET($H$3,0,0,'Données projet'!$E$11+1,1))</f>
        <v>182.06733089745194</v>
      </c>
      <c r="BJ168" s="62">
        <f t="shared" si="146"/>
        <v>320.36755413886021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4.1229788309612365</v>
      </c>
      <c r="BQ168" s="23">
        <f>EXP(-LN(2)/25)*BQ167+(1-EXP(-LN(2)/25))/(LN(2)/25)*Calculateur!BL168*Calculateur!BN168*VLOOKUP('Données projet'!$B$11,Paramètres!$A$1:$I$89,3,0)*0.475*44/12</f>
        <v>0.30093960185917901</v>
      </c>
      <c r="BR168" s="23">
        <f>EXP(-LN(2)/2)*BR167+(1-EXP(-LN(2)/2))/(LN(2)/2)*BL168*BO168*VLOOKUP('Données projet'!$B$11,Paramètres!$A$1:$I$89,3,0)*0.475*44/12</f>
        <v>3.5475817261885051E-18</v>
      </c>
      <c r="BS168" s="24">
        <f t="shared" si="169"/>
        <v>4.4239184328204155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319.99999999999972</v>
      </c>
      <c r="BZ168" s="14">
        <f>BY168*VLOOKUP('Données projet'!$B$12,Paramètres!$A$1:$I$89,3,0)*VLOOKUP('Données projet'!$B$12,Paramètres!$A$1:$I$89,5,0)</f>
        <v>279.55199999999979</v>
      </c>
      <c r="CA168" s="14">
        <f t="shared" si="170"/>
        <v>66.872324781216591</v>
      </c>
      <c r="CB168" s="22">
        <f t="shared" si="171"/>
        <v>603.35569899395182</v>
      </c>
      <c r="CC168" s="62">
        <f t="shared" si="119"/>
        <v>896.68903232728508</v>
      </c>
      <c r="CD168" s="62">
        <f ca="1">AVERAGE(OFFSET($CC$3,0,0,'Données projet'!$E$12+1,1))-AVERAGE(OFFSET($H$3,0,0,'Données projet'!$E$12+1,1))</f>
        <v>248.60758320902863</v>
      </c>
      <c r="CE168" s="62">
        <f t="shared" si="148"/>
        <v>222.23585883330111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10.051574121853212</v>
      </c>
      <c r="CL168" s="23">
        <f>EXP(-LN(2)/25)*CL167+(1-EXP(-LN(2)/25))/(LN(2)/25)*Calculateur!CG168*Calculateur!CI168*VLOOKUP('Données projet'!$B$12,Paramètres!$A$1:$I$89,3,0)*0.475*44/12</f>
        <v>0.68197583627775227</v>
      </c>
      <c r="CM168" s="23">
        <f>EXP(-LN(2)/2)*CM167+(1-EXP(-LN(2)/2))/(LN(2)/2)*CG168*CJ168*VLOOKUP('Données projet'!$B$12,Paramètres!$A$1:$I$89,3,0)*0.475*44/12</f>
        <v>3.0191001818615639E-13</v>
      </c>
      <c r="CN168" s="24">
        <f t="shared" si="172"/>
        <v>10.733549958131267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193.99999999999994</v>
      </c>
      <c r="CU168" s="18">
        <f>CT168*VLOOKUP('Données projet'!$B$13,Paramètres!$A$1:$I$89,3,0)*VLOOKUP('Données projet'!$B$13,Paramètres!$A$1:$I$89,5,0)</f>
        <v>105.92399999999998</v>
      </c>
      <c r="CV168" s="14">
        <f t="shared" si="173"/>
        <v>28.36854701055546</v>
      </c>
      <c r="CW168" s="22">
        <f t="shared" si="174"/>
        <v>233.89285271005073</v>
      </c>
      <c r="CX168" s="62">
        <f t="shared" si="122"/>
        <v>527.22618604338402</v>
      </c>
      <c r="CY168" s="62">
        <f ca="1">AVERAGE(OFFSET($CX$3,0,0,'Données projet'!$E$13+1,1))-AVERAGE(OFFSET($H$3,0,0,'Données projet'!$E$13+1,1))</f>
        <v>135.44138026609272</v>
      </c>
      <c r="CZ168" s="62">
        <f t="shared" si="150"/>
        <v>254.77247578425659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4.5597938588868017</v>
      </c>
      <c r="DG168" s="23">
        <f>EXP(-LN(2)/25)*DG167+(1-EXP(-LN(2)/25))/(LN(2)/25)*Calculateur!DB168*Calculateur!DD168*VLOOKUP('Données projet'!$B$13,Paramètres!$A$1:$I$89,3,0)*0.475*44/12</f>
        <v>1.0713459636551566</v>
      </c>
      <c r="DH168" s="23">
        <f>EXP(-LN(2)/2)*DH167+(1-EXP(-LN(2)/2))/(LN(2)/2)*DB168*DE168*VLOOKUP('Données projet'!$B$13,Paramètres!$A$1:$I$89,3,0)*0.475*44/12</f>
        <v>4.0752844700293974E-19</v>
      </c>
      <c r="DI168" s="24">
        <f t="shared" si="175"/>
        <v>5.6311398225419582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273.00000000000023</v>
      </c>
      <c r="DP168" s="18">
        <f>DO168*VLOOKUP('Données projet'!$B$14,Paramètres!$A$1:$I$89,3,0)*VLOOKUP('Données projet'!$B$14,Paramètres!$A$1:$I$89,5,0)</f>
        <v>264.04560000000021</v>
      </c>
      <c r="DQ168" s="14">
        <f t="shared" si="176"/>
        <v>63.583959929973794</v>
      </c>
      <c r="DR168" s="22">
        <f t="shared" si="177"/>
        <v>570.6214835447048</v>
      </c>
      <c r="DS168" s="62">
        <f t="shared" si="125"/>
        <v>863.95481687803817</v>
      </c>
      <c r="DT168" s="62">
        <f ca="1">AVERAGE(OFFSET($DS$3,0,0,'Données projet'!$E$14+1,1))-AVERAGE(OFFSET($H$3,0,0,'Données projet'!$E$14+1,1))</f>
        <v>271.09447278906288</v>
      </c>
      <c r="DU168" s="62">
        <f t="shared" si="152"/>
        <v>325.1094067861851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5.0592957301430594</v>
      </c>
      <c r="EB168" s="23">
        <f>EXP(-LN(2)/25)*EB167+(1-EXP(-LN(2)/25))/(LN(2)/25)*Calculateur!DW168*Calculateur!DY168*VLOOKUP('Données projet'!$B$14,Paramètres!$A$1:$I$89,3,0)*0.475*44/12</f>
        <v>0.40025363001395931</v>
      </c>
      <c r="EC168" s="23">
        <f>EXP(-LN(2)/2)*EC167+(1-EXP(-LN(2)/2))/(LN(2)/2)*DW168*DZ168*VLOOKUP('Données projet'!$B$14,Paramètres!$A$1:$I$89,3,0)*0.475*44/12</f>
        <v>9.5677689316290872E-16</v>
      </c>
      <c r="ED168" s="24">
        <f t="shared" si="178"/>
        <v>5.4595493601570197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273.00000000000023</v>
      </c>
      <c r="EK168" s="18">
        <f>EJ168*VLOOKUP('Données projet'!$B$15,Paramètres!$A$1:$I$89,3,0)*VLOOKUP('Données projet'!$B$15,Paramètres!$A$1:$I$89,5,0)</f>
        <v>293.85720000000026</v>
      </c>
      <c r="EL168" s="14">
        <f t="shared" si="179"/>
        <v>69.887150190339895</v>
      </c>
      <c r="EM168" s="22">
        <f t="shared" si="180"/>
        <v>633.52140991484237</v>
      </c>
      <c r="EN168" s="62">
        <f t="shared" si="128"/>
        <v>926.85474324817574</v>
      </c>
      <c r="EO168" s="62">
        <f ca="1">AVERAGE(OFFSET($EN$3,0,0,'Données projet'!$E$15+1,1))-AVERAGE(OFFSET($H$3,0,0,'Données projet'!$E$15+1,1))</f>
        <v>306.50593475734655</v>
      </c>
      <c r="EP168" s="62">
        <f t="shared" si="154"/>
        <v>366.48643801375079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5.630506538385017</v>
      </c>
      <c r="EW168" s="23">
        <f>EXP(-LN(2)/25)*EW167+(1-EXP(-LN(2)/25))/(LN(2)/25)*Calculateur!ER168*Calculateur!ET168*VLOOKUP('Données projet'!$B$15,Paramètres!$A$1:$I$89,3,0)*0.475*44/12</f>
        <v>0.44544355598327678</v>
      </c>
      <c r="EX168" s="23">
        <f>EXP(-LN(2)/2)*EX167+(1-EXP(-LN(2)/2))/(LN(2)/2)*ER168*EU168*VLOOKUP('Données projet'!$B$15,Paramètres!$A$1:$I$89,3,0)*0.475*44/12</f>
        <v>1.0648000907780753E-15</v>
      </c>
      <c r="EY168" s="24">
        <f t="shared" si="181"/>
        <v>6.0759500943682943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121.71119999999958</v>
      </c>
      <c r="D169" s="12">
        <f t="shared" si="140"/>
        <v>32.073779104036042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1187.1121193995732</v>
      </c>
      <c r="H169" s="70">
        <f t="shared" si="110"/>
        <v>561.17550527286198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306.99999999999994</v>
      </c>
      <c r="O169" s="14">
        <f>N169*VLOOKUP('Données projet'!$B$9,Paramètres!$A$1:$I$89,3,0)*VLOOKUP('Données projet'!$B$9,Paramètres!$A$1:$I$89,5,0)</f>
        <v>277.77359999999993</v>
      </c>
      <c r="P169" s="14">
        <f t="shared" si="141"/>
        <v>66.496288176842356</v>
      </c>
      <c r="Q169" s="22">
        <f t="shared" si="162"/>
        <v>599.60338857466706</v>
      </c>
      <c r="R169" s="62">
        <f t="shared" si="109"/>
        <v>892.93672190800044</v>
      </c>
      <c r="S169" s="62">
        <f ca="1">AVERAGE(OFFSET($R$3,0,0,'Données projet'!$E$9+1,1))-AVERAGE(OFFSET($H$3,0,0,'Données projet'!$E$9+1,1))</f>
        <v>312.57314929661908</v>
      </c>
      <c r="T169" s="62">
        <f t="shared" si="142"/>
        <v>190.92100876773804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27.946934674707467</v>
      </c>
      <c r="AA169" s="23">
        <f>EXP(-LN(2)/25)*AA168+(1-EXP(-LN(2)/25))/(LN(2)/25)*Calculateur!V169*Calculateur!X169*VLOOKUP('Données projet'!$B$9,Paramètres!$A$1:$I$89,3,0)*0.475*44/12</f>
        <v>0.80658704677804061</v>
      </c>
      <c r="AB169" s="23">
        <f>EXP(-LN(2)/2)*AB168+(1-EXP(-LN(2)/2))/(LN(2)/2)*V169*Y169*VLOOKUP('Données projet'!$B$9,Paramètres!$A$1:$I$89,3,0)*0.475*44/12</f>
        <v>3.1750574594915411E-8</v>
      </c>
      <c r="AC169" s="24">
        <f t="shared" si="163"/>
        <v>28.753521753236083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306.99999999999994</v>
      </c>
      <c r="AJ169" s="14">
        <f>AI169*VLOOKUP('Données projet'!$B$10,Paramètres!$A$1:$I$89,3,0)*VLOOKUP('Données projet'!$B$10,Paramètres!$A$1:$I$89,5,0)</f>
        <v>311.298</v>
      </c>
      <c r="AK169" s="14">
        <f t="shared" si="164"/>
        <v>73.539838278528748</v>
      </c>
      <c r="AL169" s="22">
        <f t="shared" si="165"/>
        <v>670.25923500177089</v>
      </c>
      <c r="AM169" s="62">
        <f t="shared" si="113"/>
        <v>963.59256833510426</v>
      </c>
      <c r="AN169" s="62">
        <f ca="1">AVERAGE(OFFSET($AM$3,0,0,'Données projet'!$E$10+1,1))-AVERAGE(OFFSET($H$3,0,0,'Données projet'!$E$10+1,1))</f>
        <v>360.56293184044779</v>
      </c>
      <c r="AO169" s="62">
        <f t="shared" si="144"/>
        <v>219.32252911220542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31.319840583723863</v>
      </c>
      <c r="AV169" s="23">
        <f>EXP(-LN(2)/25)*AV168+(1-EXP(-LN(2)/25))/(LN(2)/25)*Calculateur!AQ169*Calculateur!AS169*VLOOKUP('Données projet'!$B$10,Paramètres!$A$1:$I$89,3,0)*0.475*44/12</f>
        <v>0.90393375932021802</v>
      </c>
      <c r="AW169" s="23">
        <f>EXP(-LN(2)/2)*AW168+(1-EXP(-LN(2)/2))/(LN(2)/2)*AQ169*AT169*VLOOKUP('Données projet'!$B$10,Paramètres!$A$1:$I$89,3,0)*0.475*44/12</f>
        <v>3.558254049430176E-8</v>
      </c>
      <c r="AX169" s="23">
        <f t="shared" si="166"/>
        <v>32.223774378626622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1.1368683772161603E-13</v>
      </c>
      <c r="BE169" s="14">
        <f>BD169*VLOOKUP('Données projet'!$B$11,Paramètres!$A$1:$I$89,3,0)*VLOOKUP('Données projet'!$B$11,Paramètres!$A$1:$I$89,5,0)</f>
        <v>8.3355189417488869E-14</v>
      </c>
      <c r="BF169" s="14">
        <f t="shared" si="167"/>
        <v>1.2790518435140618E-12</v>
      </c>
      <c r="BG169" s="22">
        <f t="shared" si="168"/>
        <v>2.3728589156891171E-12</v>
      </c>
      <c r="BH169" s="62">
        <f t="shared" si="116"/>
        <v>293.3333333333357</v>
      </c>
      <c r="BI169" s="62">
        <f ca="1">AVERAGE(OFFSET($BH$3,0,0,'Données projet'!$E$11+1,1))-AVERAGE(OFFSET($H$3,0,0,'Données projet'!$E$11+1,1))</f>
        <v>182.06733089745194</v>
      </c>
      <c r="BJ169" s="62">
        <f t="shared" si="146"/>
        <v>320.36755413886021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4.0421297308548612</v>
      </c>
      <c r="BQ169" s="23">
        <f>EXP(-LN(2)/25)*BQ168+(1-EXP(-LN(2)/25))/(LN(2)/25)*Calculateur!BL169*Calculateur!BN169*VLOOKUP('Données projet'!$B$11,Paramètres!$A$1:$I$89,3,0)*0.475*44/12</f>
        <v>0.29271039262061388</v>
      </c>
      <c r="BR169" s="23">
        <f>EXP(-LN(2)/2)*BR168+(1-EXP(-LN(2)/2))/(LN(2)/2)*BL169*BO169*VLOOKUP('Données projet'!$B$11,Paramètres!$A$1:$I$89,3,0)*0.475*44/12</f>
        <v>2.5085190954013698E-18</v>
      </c>
      <c r="BS169" s="24">
        <f t="shared" si="169"/>
        <v>4.334840123475475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319.99999999999972</v>
      </c>
      <c r="BZ169" s="14">
        <f>BY169*VLOOKUP('Données projet'!$B$12,Paramètres!$A$1:$I$89,3,0)*VLOOKUP('Données projet'!$B$12,Paramètres!$A$1:$I$89,5,0)</f>
        <v>279.55199999999979</v>
      </c>
      <c r="CA169" s="14">
        <f t="shared" si="170"/>
        <v>66.872324781216591</v>
      </c>
      <c r="CB169" s="22">
        <f t="shared" si="171"/>
        <v>603.35569899395182</v>
      </c>
      <c r="CC169" s="62">
        <f t="shared" si="119"/>
        <v>896.68903232728508</v>
      </c>
      <c r="CD169" s="62">
        <f ca="1">AVERAGE(OFFSET($CC$3,0,0,'Données projet'!$E$12+1,1))-AVERAGE(OFFSET($H$3,0,0,'Données projet'!$E$12+1,1))</f>
        <v>248.60758320902863</v>
      </c>
      <c r="CE169" s="62">
        <f t="shared" si="148"/>
        <v>222.23585883330111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9.8544688841785142</v>
      </c>
      <c r="CL169" s="23">
        <f>EXP(-LN(2)/25)*CL168+(1-EXP(-LN(2)/25))/(LN(2)/25)*Calculateur!CG169*Calculateur!CI169*VLOOKUP('Données projet'!$B$12,Paramètres!$A$1:$I$89,3,0)*0.475*44/12</f>
        <v>0.66332717117118656</v>
      </c>
      <c r="CM169" s="23">
        <f>EXP(-LN(2)/2)*CM168+(1-EXP(-LN(2)/2))/(LN(2)/2)*CG169*CJ169*VLOOKUP('Données projet'!$B$12,Paramètres!$A$1:$I$89,3,0)*0.475*44/12</f>
        <v>2.1348262116758507E-13</v>
      </c>
      <c r="CN169" s="24">
        <f t="shared" si="172"/>
        <v>10.517796055349914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193.99999999999994</v>
      </c>
      <c r="CU169" s="18">
        <f>CT169*VLOOKUP('Données projet'!$B$13,Paramètres!$A$1:$I$89,3,0)*VLOOKUP('Données projet'!$B$13,Paramètres!$A$1:$I$89,5,0)</f>
        <v>105.92399999999998</v>
      </c>
      <c r="CV169" s="14">
        <f t="shared" si="173"/>
        <v>28.36854701055546</v>
      </c>
      <c r="CW169" s="22">
        <f t="shared" si="174"/>
        <v>233.89285271005073</v>
      </c>
      <c r="CX169" s="62">
        <f t="shared" si="122"/>
        <v>527.22618604338402</v>
      </c>
      <c r="CY169" s="62">
        <f ca="1">AVERAGE(OFFSET($CX$3,0,0,'Données projet'!$E$13+1,1))-AVERAGE(OFFSET($H$3,0,0,'Données projet'!$E$13+1,1))</f>
        <v>135.44138026609272</v>
      </c>
      <c r="CZ169" s="62">
        <f t="shared" si="150"/>
        <v>254.77247578425659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4.4703790825136647</v>
      </c>
      <c r="DG169" s="23">
        <f>EXP(-LN(2)/25)*DG168+(1-EXP(-LN(2)/25))/(LN(2)/25)*Calculateur!DB169*Calculateur!DD169*VLOOKUP('Données projet'!$B$13,Paramètres!$A$1:$I$89,3,0)*0.475*44/12</f>
        <v>1.0420499519393707</v>
      </c>
      <c r="DH169" s="23">
        <f>EXP(-LN(2)/2)*DH168+(1-EXP(-LN(2)/2))/(LN(2)/2)*DB169*DE169*VLOOKUP('Données projet'!$B$13,Paramètres!$A$1:$I$89,3,0)*0.475*44/12</f>
        <v>2.8816612840220124E-19</v>
      </c>
      <c r="DI169" s="24">
        <f t="shared" si="175"/>
        <v>5.5124290344530351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273.00000000000023</v>
      </c>
      <c r="DP169" s="18">
        <f>DO169*VLOOKUP('Données projet'!$B$14,Paramètres!$A$1:$I$89,3,0)*VLOOKUP('Données projet'!$B$14,Paramètres!$A$1:$I$89,5,0)</f>
        <v>264.04560000000021</v>
      </c>
      <c r="DQ169" s="14">
        <f t="shared" si="176"/>
        <v>63.583959929973794</v>
      </c>
      <c r="DR169" s="22">
        <f t="shared" si="177"/>
        <v>570.6214835447048</v>
      </c>
      <c r="DS169" s="62">
        <f t="shared" si="125"/>
        <v>863.95481687803817</v>
      </c>
      <c r="DT169" s="62">
        <f ca="1">AVERAGE(OFFSET($DS$3,0,0,'Données projet'!$E$14+1,1))-AVERAGE(OFFSET($H$3,0,0,'Données projet'!$E$14+1,1))</f>
        <v>271.09447278906288</v>
      </c>
      <c r="DU169" s="62">
        <f t="shared" si="152"/>
        <v>325.1094067861851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4.9600860267406457</v>
      </c>
      <c r="EB169" s="23">
        <f>EXP(-LN(2)/25)*EB168+(1-EXP(-LN(2)/25))/(LN(2)/25)*Calculateur!DW169*Calculateur!DY169*VLOOKUP('Données projet'!$B$14,Paramètres!$A$1:$I$89,3,0)*0.475*44/12</f>
        <v>0.38930867345280395</v>
      </c>
      <c r="EC169" s="23">
        <f>EXP(-LN(2)/2)*EC168+(1-EXP(-LN(2)/2))/(LN(2)/2)*DW169*DZ169*VLOOKUP('Données projet'!$B$14,Paramètres!$A$1:$I$89,3,0)*0.475*44/12</f>
        <v>6.7654342923808966E-16</v>
      </c>
      <c r="ED169" s="24">
        <f t="shared" si="178"/>
        <v>5.349394700193451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273.00000000000023</v>
      </c>
      <c r="EK169" s="18">
        <f>EJ169*VLOOKUP('Données projet'!$B$15,Paramètres!$A$1:$I$89,3,0)*VLOOKUP('Données projet'!$B$15,Paramètres!$A$1:$I$89,5,0)</f>
        <v>293.85720000000026</v>
      </c>
      <c r="EL169" s="14">
        <f t="shared" si="179"/>
        <v>69.887150190339895</v>
      </c>
      <c r="EM169" s="22">
        <f t="shared" si="180"/>
        <v>633.52140991484237</v>
      </c>
      <c r="EN169" s="62">
        <f t="shared" si="128"/>
        <v>926.85474324817574</v>
      </c>
      <c r="EO169" s="62">
        <f ca="1">AVERAGE(OFFSET($EN$3,0,0,'Données projet'!$E$15+1,1))-AVERAGE(OFFSET($H$3,0,0,'Données projet'!$E$15+1,1))</f>
        <v>306.50593475734655</v>
      </c>
      <c r="EP169" s="62">
        <f t="shared" si="154"/>
        <v>366.48643801375079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5.5200957394371697</v>
      </c>
      <c r="EW169" s="23">
        <f>EXP(-LN(2)/25)*EW168+(1-EXP(-LN(2)/25))/(LN(2)/25)*Calculateur!ER169*Calculateur!ET169*VLOOKUP('Données projet'!$B$15,Paramètres!$A$1:$I$89,3,0)*0.475*44/12</f>
        <v>0.43326287852005557</v>
      </c>
      <c r="EX169" s="23">
        <f>EXP(-LN(2)/2)*EX168+(1-EXP(-LN(2)/2))/(LN(2)/2)*ER169*EU169*VLOOKUP('Données projet'!$B$15,Paramètres!$A$1:$I$89,3,0)*0.475*44/12</f>
        <v>7.529273647972284E-16</v>
      </c>
      <c r="EY169" s="24">
        <f t="shared" si="181"/>
        <v>5.9533586179572264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122.44439999999958</v>
      </c>
      <c r="D170" s="12">
        <f t="shared" si="140"/>
        <v>32.244444629402366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1194.0893269638048</v>
      </c>
      <c r="H170" s="70">
        <f t="shared" si="110"/>
        <v>562.74973772954172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306.99999999999994</v>
      </c>
      <c r="O170" s="14">
        <f>N170*VLOOKUP('Données projet'!$B$9,Paramètres!$A$1:$I$89,3,0)*VLOOKUP('Données projet'!$B$9,Paramètres!$A$1:$I$89,5,0)</f>
        <v>277.77359999999993</v>
      </c>
      <c r="P170" s="14">
        <f t="shared" si="141"/>
        <v>66.496288176842356</v>
      </c>
      <c r="Q170" s="22">
        <f t="shared" si="162"/>
        <v>599.60338857466706</v>
      </c>
      <c r="R170" s="62">
        <f t="shared" si="109"/>
        <v>892.93672190800044</v>
      </c>
      <c r="S170" s="62">
        <f ca="1">AVERAGE(OFFSET($R$3,0,0,'Données projet'!$E$9+1,1))-AVERAGE(OFFSET($H$3,0,0,'Données projet'!$E$9+1,1))</f>
        <v>312.57314929661908</v>
      </c>
      <c r="T170" s="62">
        <f t="shared" si="142"/>
        <v>190.92100876773804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27.398912331683459</v>
      </c>
      <c r="AA170" s="23">
        <f>EXP(-LN(2)/25)*AA169+(1-EXP(-LN(2)/25))/(LN(2)/25)*Calculateur!V170*Calculateur!X170*VLOOKUP('Données projet'!$B$9,Paramètres!$A$1:$I$89,3,0)*0.475*44/12</f>
        <v>0.78453088156732576</v>
      </c>
      <c r="AB170" s="23">
        <f>EXP(-LN(2)/2)*AB169+(1-EXP(-LN(2)/2))/(LN(2)/2)*V170*Y170*VLOOKUP('Données projet'!$B$9,Paramètres!$A$1:$I$89,3,0)*0.475*44/12</f>
        <v>2.2451046602634006E-8</v>
      </c>
      <c r="AC170" s="24">
        <f t="shared" si="163"/>
        <v>28.18344323570183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306.99999999999994</v>
      </c>
      <c r="AJ170" s="14">
        <f>AI170*VLOOKUP('Données projet'!$B$10,Paramètres!$A$1:$I$89,3,0)*VLOOKUP('Données projet'!$B$10,Paramètres!$A$1:$I$89,5,0)</f>
        <v>311.298</v>
      </c>
      <c r="AK170" s="14">
        <f t="shared" si="164"/>
        <v>73.539838278528748</v>
      </c>
      <c r="AL170" s="22">
        <f t="shared" si="165"/>
        <v>670.25923500177089</v>
      </c>
      <c r="AM170" s="62">
        <f t="shared" si="113"/>
        <v>963.59256833510426</v>
      </c>
      <c r="AN170" s="62">
        <f ca="1">AVERAGE(OFFSET($AM$3,0,0,'Données projet'!$E$10+1,1))-AVERAGE(OFFSET($H$3,0,0,'Données projet'!$E$10+1,1))</f>
        <v>360.56293184044779</v>
      </c>
      <c r="AO170" s="62">
        <f t="shared" si="144"/>
        <v>219.32252911220542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30.70567761309351</v>
      </c>
      <c r="AV170" s="23">
        <f>EXP(-LN(2)/25)*AV169+(1-EXP(-LN(2)/25))/(LN(2)/25)*Calculateur!AQ170*Calculateur!AS170*VLOOKUP('Données projet'!$B$10,Paramètres!$A$1:$I$89,3,0)*0.475*44/12</f>
        <v>0.87921564313579625</v>
      </c>
      <c r="AW170" s="23">
        <f>EXP(-LN(2)/2)*AW169+(1-EXP(-LN(2)/2))/(LN(2)/2)*AQ170*AT170*VLOOKUP('Données projet'!$B$10,Paramètres!$A$1:$I$89,3,0)*0.475*44/12</f>
        <v>2.5160655675365702E-8</v>
      </c>
      <c r="AX170" s="23">
        <f t="shared" si="166"/>
        <v>31.584893281389963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1.1368683772161603E-13</v>
      </c>
      <c r="BE170" s="14">
        <f>BD170*VLOOKUP('Données projet'!$B$11,Paramètres!$A$1:$I$89,3,0)*VLOOKUP('Données projet'!$B$11,Paramètres!$A$1:$I$89,5,0)</f>
        <v>8.3355189417488869E-14</v>
      </c>
      <c r="BF170" s="14">
        <f t="shared" si="167"/>
        <v>1.2790518435140618E-12</v>
      </c>
      <c r="BG170" s="22">
        <f t="shared" si="168"/>
        <v>2.3728589156891171E-12</v>
      </c>
      <c r="BH170" s="62">
        <f t="shared" si="116"/>
        <v>293.3333333333357</v>
      </c>
      <c r="BI170" s="62">
        <f ca="1">AVERAGE(OFFSET($BH$3,0,0,'Données projet'!$E$11+1,1))-AVERAGE(OFFSET($H$3,0,0,'Données projet'!$E$11+1,1))</f>
        <v>182.06733089745194</v>
      </c>
      <c r="BJ170" s="62">
        <f t="shared" si="146"/>
        <v>320.36755413886021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3.9628660322884897</v>
      </c>
      <c r="BQ170" s="23">
        <f>EXP(-LN(2)/25)*BQ169+(1-EXP(-LN(2)/25))/(LN(2)/25)*Calculateur!BL170*Calculateur!BN170*VLOOKUP('Données projet'!$B$11,Paramètres!$A$1:$I$89,3,0)*0.475*44/12</f>
        <v>0.28470621154143266</v>
      </c>
      <c r="BR170" s="23">
        <f>EXP(-LN(2)/2)*BR169+(1-EXP(-LN(2)/2))/(LN(2)/2)*BL170*BO170*VLOOKUP('Données projet'!$B$11,Paramètres!$A$1:$I$89,3,0)*0.475*44/12</f>
        <v>1.7737908630942525E-18</v>
      </c>
      <c r="BS170" s="24">
        <f t="shared" si="169"/>
        <v>4.2475722438299224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319.99999999999972</v>
      </c>
      <c r="BZ170" s="14">
        <f>BY170*VLOOKUP('Données projet'!$B$12,Paramètres!$A$1:$I$89,3,0)*VLOOKUP('Données projet'!$B$12,Paramètres!$A$1:$I$89,5,0)</f>
        <v>279.55199999999979</v>
      </c>
      <c r="CA170" s="14">
        <f t="shared" si="170"/>
        <v>66.872324781216591</v>
      </c>
      <c r="CB170" s="22">
        <f t="shared" si="171"/>
        <v>603.35569899395182</v>
      </c>
      <c r="CC170" s="62">
        <f t="shared" si="119"/>
        <v>896.68903232728508</v>
      </c>
      <c r="CD170" s="62">
        <f ca="1">AVERAGE(OFFSET($CC$3,0,0,'Données projet'!$E$12+1,1))-AVERAGE(OFFSET($H$3,0,0,'Données projet'!$E$12+1,1))</f>
        <v>248.60758320902863</v>
      </c>
      <c r="CE170" s="62">
        <f t="shared" si="148"/>
        <v>222.23585883330111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9.6612287599922926</v>
      </c>
      <c r="CL170" s="23">
        <f>EXP(-LN(2)/25)*CL169+(1-EXP(-LN(2)/25))/(LN(2)/25)*Calculateur!CG170*Calculateur!CI170*VLOOKUP('Données projet'!$B$12,Paramètres!$A$1:$I$89,3,0)*0.475*44/12</f>
        <v>0.64518845479265063</v>
      </c>
      <c r="CM170" s="23">
        <f>EXP(-LN(2)/2)*CM169+(1-EXP(-LN(2)/2))/(LN(2)/2)*CG170*CJ170*VLOOKUP('Données projet'!$B$12,Paramètres!$A$1:$I$89,3,0)*0.475*44/12</f>
        <v>1.5095500909307819E-13</v>
      </c>
      <c r="CN170" s="24">
        <f t="shared" si="172"/>
        <v>10.306417214785094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193.99999999999994</v>
      </c>
      <c r="CU170" s="18">
        <f>CT170*VLOOKUP('Données projet'!$B$13,Paramètres!$A$1:$I$89,3,0)*VLOOKUP('Données projet'!$B$13,Paramètres!$A$1:$I$89,5,0)</f>
        <v>105.92399999999998</v>
      </c>
      <c r="CV170" s="14">
        <f t="shared" si="173"/>
        <v>28.36854701055546</v>
      </c>
      <c r="CW170" s="22">
        <f t="shared" si="174"/>
        <v>233.89285271005073</v>
      </c>
      <c r="CX170" s="62">
        <f t="shared" si="122"/>
        <v>527.22618604338402</v>
      </c>
      <c r="CY170" s="62">
        <f ca="1">AVERAGE(OFFSET($CX$3,0,0,'Données projet'!$E$13+1,1))-AVERAGE(OFFSET($H$3,0,0,'Données projet'!$E$13+1,1))</f>
        <v>135.44138026609272</v>
      </c>
      <c r="CZ170" s="62">
        <f t="shared" si="150"/>
        <v>254.77247578425659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4.3827176753675765</v>
      </c>
      <c r="DG170" s="23">
        <f>EXP(-LN(2)/25)*DG169+(1-EXP(-LN(2)/25))/(LN(2)/25)*Calculateur!DB170*Calculateur!DD170*VLOOKUP('Données projet'!$B$13,Paramètres!$A$1:$I$89,3,0)*0.475*44/12</f>
        <v>1.0135550412045633</v>
      </c>
      <c r="DH170" s="23">
        <f>EXP(-LN(2)/2)*DH169+(1-EXP(-LN(2)/2))/(LN(2)/2)*DB170*DE170*VLOOKUP('Données projet'!$B$13,Paramètres!$A$1:$I$89,3,0)*0.475*44/12</f>
        <v>2.0376422350146987E-19</v>
      </c>
      <c r="DI170" s="24">
        <f t="shared" si="175"/>
        <v>5.39627271657214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273.00000000000023</v>
      </c>
      <c r="DP170" s="18">
        <f>DO170*VLOOKUP('Données projet'!$B$14,Paramètres!$A$1:$I$89,3,0)*VLOOKUP('Données projet'!$B$14,Paramètres!$A$1:$I$89,5,0)</f>
        <v>264.04560000000021</v>
      </c>
      <c r="DQ170" s="14">
        <f t="shared" si="176"/>
        <v>63.583959929973794</v>
      </c>
      <c r="DR170" s="22">
        <f t="shared" si="177"/>
        <v>570.6214835447048</v>
      </c>
      <c r="DS170" s="62">
        <f t="shared" si="125"/>
        <v>863.95481687803817</v>
      </c>
      <c r="DT170" s="62">
        <f ca="1">AVERAGE(OFFSET($DS$3,0,0,'Données projet'!$E$14+1,1))-AVERAGE(OFFSET($H$3,0,0,'Données projet'!$E$14+1,1))</f>
        <v>271.09447278906288</v>
      </c>
      <c r="DU170" s="62">
        <f t="shared" si="152"/>
        <v>325.1094067861851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4.8628217651100094</v>
      </c>
      <c r="EB170" s="23">
        <f>EXP(-LN(2)/25)*EB169+(1-EXP(-LN(2)/25))/(LN(2)/25)*Calculateur!DW170*Calculateur!DY170*VLOOKUP('Données projet'!$B$14,Paramètres!$A$1:$I$89,3,0)*0.475*44/12</f>
        <v>0.37866300730438368</v>
      </c>
      <c r="EC170" s="23">
        <f>EXP(-LN(2)/2)*EC169+(1-EXP(-LN(2)/2))/(LN(2)/2)*DW170*DZ170*VLOOKUP('Données projet'!$B$14,Paramètres!$A$1:$I$89,3,0)*0.475*44/12</f>
        <v>4.7838844658145436E-16</v>
      </c>
      <c r="ED170" s="24">
        <f t="shared" si="178"/>
        <v>5.2414847724143936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273.00000000000023</v>
      </c>
      <c r="EK170" s="18">
        <f>EJ170*VLOOKUP('Données projet'!$B$15,Paramètres!$A$1:$I$89,3,0)*VLOOKUP('Données projet'!$B$15,Paramètres!$A$1:$I$89,5,0)</f>
        <v>293.85720000000026</v>
      </c>
      <c r="EL170" s="14">
        <f t="shared" si="179"/>
        <v>69.887150190339895</v>
      </c>
      <c r="EM170" s="22">
        <f t="shared" si="180"/>
        <v>633.52140991484237</v>
      </c>
      <c r="EN170" s="62">
        <f t="shared" si="128"/>
        <v>926.85474324817574</v>
      </c>
      <c r="EO170" s="62">
        <f ca="1">AVERAGE(OFFSET($EN$3,0,0,'Données projet'!$E$15+1,1))-AVERAGE(OFFSET($H$3,0,0,'Données projet'!$E$15+1,1))</f>
        <v>306.50593475734655</v>
      </c>
      <c r="EP170" s="62">
        <f t="shared" si="154"/>
        <v>366.48643801375079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5.4118500289127516</v>
      </c>
      <c r="EW170" s="23">
        <f>EXP(-LN(2)/25)*EW169+(1-EXP(-LN(2)/25))/(LN(2)/25)*Calculateur!ER170*Calculateur!ET170*VLOOKUP('Données projet'!$B$15,Paramètres!$A$1:$I$89,3,0)*0.475*44/12</f>
        <v>0.4214152823226201</v>
      </c>
      <c r="EX170" s="23">
        <f>EXP(-LN(2)/2)*EX169+(1-EXP(-LN(2)/2))/(LN(2)/2)*ER170*EU170*VLOOKUP('Données projet'!$B$15,Paramètres!$A$1:$I$89,3,0)*0.475*44/12</f>
        <v>5.3240004538903763E-16</v>
      </c>
      <c r="EY170" s="24">
        <f t="shared" si="181"/>
        <v>5.8332653112353725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123.17759999999957</v>
      </c>
      <c r="D171" s="12">
        <f t="shared" si="140"/>
        <v>32.41499124057033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1201.0656165938728</v>
      </c>
      <c r="H171" s="70">
        <f t="shared" si="110"/>
        <v>564.32376307732591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306.99999999999994</v>
      </c>
      <c r="O171" s="14">
        <f>N171*VLOOKUP('Données projet'!$B$9,Paramètres!$A$1:$I$89,3,0)*VLOOKUP('Données projet'!$B$9,Paramètres!$A$1:$I$89,5,0)</f>
        <v>277.77359999999993</v>
      </c>
      <c r="P171" s="14">
        <f t="shared" si="141"/>
        <v>66.496288176842356</v>
      </c>
      <c r="Q171" s="22">
        <f t="shared" si="162"/>
        <v>599.60338857466706</v>
      </c>
      <c r="R171" s="62">
        <f t="shared" si="109"/>
        <v>892.93672190800044</v>
      </c>
      <c r="S171" s="62">
        <f ca="1">AVERAGE(OFFSET($R$3,0,0,'Données projet'!$E$9+1,1))-AVERAGE(OFFSET($H$3,0,0,'Données projet'!$E$9+1,1))</f>
        <v>312.57314929661908</v>
      </c>
      <c r="T171" s="62">
        <f t="shared" si="142"/>
        <v>190.92100876773804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26.861636372545526</v>
      </c>
      <c r="AA171" s="23">
        <f>EXP(-LN(2)/25)*AA170+(1-EXP(-LN(2)/25))/(LN(2)/25)*Calculateur!V171*Calculateur!X171*VLOOKUP('Données projet'!$B$9,Paramètres!$A$1:$I$89,3,0)*0.475*44/12</f>
        <v>0.76307784335418127</v>
      </c>
      <c r="AB171" s="23">
        <f>EXP(-LN(2)/2)*AB170+(1-EXP(-LN(2)/2))/(LN(2)/2)*V171*Y171*VLOOKUP('Données projet'!$B$9,Paramètres!$A$1:$I$89,3,0)*0.475*44/12</f>
        <v>1.5875287297457706E-8</v>
      </c>
      <c r="AC171" s="24">
        <f t="shared" si="163"/>
        <v>27.624714231774995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306.99999999999994</v>
      </c>
      <c r="AJ171" s="14">
        <f>AI171*VLOOKUP('Données projet'!$B$10,Paramètres!$A$1:$I$89,3,0)*VLOOKUP('Données projet'!$B$10,Paramètres!$A$1:$I$89,5,0)</f>
        <v>311.298</v>
      </c>
      <c r="AK171" s="14">
        <f t="shared" si="164"/>
        <v>73.539838278528748</v>
      </c>
      <c r="AL171" s="22">
        <f t="shared" si="165"/>
        <v>670.25923500177089</v>
      </c>
      <c r="AM171" s="62">
        <f t="shared" si="113"/>
        <v>963.59256833510426</v>
      </c>
      <c r="AN171" s="62">
        <f ca="1">AVERAGE(OFFSET($AM$3,0,0,'Données projet'!$E$10+1,1))-AVERAGE(OFFSET($H$3,0,0,'Données projet'!$E$10+1,1))</f>
        <v>360.56293184044779</v>
      </c>
      <c r="AO171" s="62">
        <f t="shared" si="144"/>
        <v>219.32252911220542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30.103558003714792</v>
      </c>
      <c r="AV171" s="23">
        <f>EXP(-LN(2)/25)*AV170+(1-EXP(-LN(2)/25))/(LN(2)/25)*Calculateur!AQ171*Calculateur!AS171*VLOOKUP('Données projet'!$B$10,Paramètres!$A$1:$I$89,3,0)*0.475*44/12</f>
        <v>0.85517344513830673</v>
      </c>
      <c r="AW171" s="23">
        <f>EXP(-LN(2)/2)*AW170+(1-EXP(-LN(2)/2))/(LN(2)/2)*AQ171*AT171*VLOOKUP('Données projet'!$B$10,Paramètres!$A$1:$I$89,3,0)*0.475*44/12</f>
        <v>1.779127024715088E-8</v>
      </c>
      <c r="AX171" s="23">
        <f t="shared" si="166"/>
        <v>30.958731466644366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1.1368683772161603E-13</v>
      </c>
      <c r="BE171" s="14">
        <f>BD171*VLOOKUP('Données projet'!$B$11,Paramètres!$A$1:$I$89,3,0)*VLOOKUP('Données projet'!$B$11,Paramètres!$A$1:$I$89,5,0)</f>
        <v>8.3355189417488869E-14</v>
      </c>
      <c r="BF171" s="14">
        <f t="shared" si="167"/>
        <v>1.2790518435140618E-12</v>
      </c>
      <c r="BG171" s="22">
        <f t="shared" si="168"/>
        <v>2.3728589156891171E-12</v>
      </c>
      <c r="BH171" s="62">
        <f t="shared" si="116"/>
        <v>293.3333333333357</v>
      </c>
      <c r="BI171" s="62">
        <f ca="1">AVERAGE(OFFSET($BH$3,0,0,'Données projet'!$E$11+1,1))-AVERAGE(OFFSET($H$3,0,0,'Données projet'!$E$11+1,1))</f>
        <v>182.06733089745194</v>
      </c>
      <c r="BJ171" s="62">
        <f t="shared" si="146"/>
        <v>320.36755413886021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3.8851566465049223</v>
      </c>
      <c r="BQ171" s="23">
        <f>EXP(-LN(2)/25)*BQ170+(1-EXP(-LN(2)/25))/(LN(2)/25)*Calculateur!BL171*Calculateur!BN171*VLOOKUP('Données projet'!$B$11,Paramètres!$A$1:$I$89,3,0)*0.475*44/12</f>
        <v>0.27692090521478324</v>
      </c>
      <c r="BR171" s="23">
        <f>EXP(-LN(2)/2)*BR170+(1-EXP(-LN(2)/2))/(LN(2)/2)*BL171*BO171*VLOOKUP('Données projet'!$B$11,Paramètres!$A$1:$I$89,3,0)*0.475*44/12</f>
        <v>1.2542595477006849E-18</v>
      </c>
      <c r="BS171" s="24">
        <f t="shared" si="169"/>
        <v>4.1620775517197055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319.99999999999972</v>
      </c>
      <c r="BZ171" s="14">
        <f>BY171*VLOOKUP('Données projet'!$B$12,Paramètres!$A$1:$I$89,3,0)*VLOOKUP('Données projet'!$B$12,Paramètres!$A$1:$I$89,5,0)</f>
        <v>279.55199999999979</v>
      </c>
      <c r="CA171" s="14">
        <f t="shared" si="170"/>
        <v>66.872324781216591</v>
      </c>
      <c r="CB171" s="22">
        <f t="shared" si="171"/>
        <v>603.35569899395182</v>
      </c>
      <c r="CC171" s="62">
        <f t="shared" si="119"/>
        <v>896.68903232728508</v>
      </c>
      <c r="CD171" s="62">
        <f ca="1">AVERAGE(OFFSET($CC$3,0,0,'Données projet'!$E$12+1,1))-AVERAGE(OFFSET($H$3,0,0,'Données projet'!$E$12+1,1))</f>
        <v>248.60758320902863</v>
      </c>
      <c r="CE171" s="62">
        <f t="shared" si="148"/>
        <v>222.23585883330111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9.4717779567765241</v>
      </c>
      <c r="CL171" s="23">
        <f>EXP(-LN(2)/25)*CL170+(1-EXP(-LN(2)/25))/(LN(2)/25)*Calculateur!CG171*Calculateur!CI171*VLOOKUP('Données projet'!$B$12,Paramètres!$A$1:$I$89,3,0)*0.475*44/12</f>
        <v>0.6275457425673594</v>
      </c>
      <c r="CM171" s="23">
        <f>EXP(-LN(2)/2)*CM170+(1-EXP(-LN(2)/2))/(LN(2)/2)*CG171*CJ171*VLOOKUP('Données projet'!$B$12,Paramètres!$A$1:$I$89,3,0)*0.475*44/12</f>
        <v>1.0674131058379254E-13</v>
      </c>
      <c r="CN171" s="24">
        <f t="shared" si="172"/>
        <v>10.099323699343991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193.99999999999994</v>
      </c>
      <c r="CU171" s="18">
        <f>CT171*VLOOKUP('Données projet'!$B$13,Paramètres!$A$1:$I$89,3,0)*VLOOKUP('Données projet'!$B$13,Paramètres!$A$1:$I$89,5,0)</f>
        <v>105.92399999999998</v>
      </c>
      <c r="CV171" s="14">
        <f t="shared" si="173"/>
        <v>28.36854701055546</v>
      </c>
      <c r="CW171" s="22">
        <f t="shared" si="174"/>
        <v>233.89285271005073</v>
      </c>
      <c r="CX171" s="62">
        <f t="shared" si="122"/>
        <v>527.22618604338402</v>
      </c>
      <c r="CY171" s="62">
        <f ca="1">AVERAGE(OFFSET($CX$3,0,0,'Données projet'!$E$13+1,1))-AVERAGE(OFFSET($H$3,0,0,'Données projet'!$E$13+1,1))</f>
        <v>135.44138026609272</v>
      </c>
      <c r="CZ171" s="62">
        <f t="shared" si="150"/>
        <v>254.77247578425659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4.2967752549474447</v>
      </c>
      <c r="DG171" s="23">
        <f>EXP(-LN(2)/25)*DG170+(1-EXP(-LN(2)/25))/(LN(2)/25)*Calculateur!DB171*Calculateur!DD171*VLOOKUP('Données projet'!$B$13,Paramètres!$A$1:$I$89,3,0)*0.475*44/12</f>
        <v>0.98583932530228147</v>
      </c>
      <c r="DH171" s="23">
        <f>EXP(-LN(2)/2)*DH170+(1-EXP(-LN(2)/2))/(LN(2)/2)*DB171*DE171*VLOOKUP('Données projet'!$B$13,Paramètres!$A$1:$I$89,3,0)*0.475*44/12</f>
        <v>1.4408306420110062E-19</v>
      </c>
      <c r="DI171" s="24">
        <f t="shared" si="175"/>
        <v>5.2826145802497262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273.00000000000023</v>
      </c>
      <c r="DP171" s="18">
        <f>DO171*VLOOKUP('Données projet'!$B$14,Paramètres!$A$1:$I$89,3,0)*VLOOKUP('Données projet'!$B$14,Paramètres!$A$1:$I$89,5,0)</f>
        <v>264.04560000000021</v>
      </c>
      <c r="DQ171" s="14">
        <f t="shared" si="176"/>
        <v>63.583959929973794</v>
      </c>
      <c r="DR171" s="22">
        <f t="shared" si="177"/>
        <v>570.6214835447048</v>
      </c>
      <c r="DS171" s="62">
        <f t="shared" si="125"/>
        <v>863.95481687803817</v>
      </c>
      <c r="DT171" s="62">
        <f ca="1">AVERAGE(OFFSET($DS$3,0,0,'Données projet'!$E$14+1,1))-AVERAGE(OFFSET($H$3,0,0,'Données projet'!$E$14+1,1))</f>
        <v>271.09447278906288</v>
      </c>
      <c r="DU171" s="62">
        <f t="shared" si="152"/>
        <v>325.1094067861851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4.7674647963246075</v>
      </c>
      <c r="EB171" s="23">
        <f>EXP(-LN(2)/25)*EB170+(1-EXP(-LN(2)/25))/(LN(2)/25)*Calculateur!DW171*Calculateur!DY171*VLOOKUP('Données projet'!$B$14,Paramètres!$A$1:$I$89,3,0)*0.475*44/12</f>
        <v>0.36830844745662322</v>
      </c>
      <c r="EC171" s="23">
        <f>EXP(-LN(2)/2)*EC170+(1-EXP(-LN(2)/2))/(LN(2)/2)*DW171*DZ171*VLOOKUP('Données projet'!$B$14,Paramètres!$A$1:$I$89,3,0)*0.475*44/12</f>
        <v>3.3827171461904483E-16</v>
      </c>
      <c r="ED171" s="24">
        <f t="shared" si="178"/>
        <v>5.1357732437812311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273.00000000000023</v>
      </c>
      <c r="EK171" s="18">
        <f>EJ171*VLOOKUP('Données projet'!$B$15,Paramètres!$A$1:$I$89,3,0)*VLOOKUP('Données projet'!$B$15,Paramètres!$A$1:$I$89,5,0)</f>
        <v>293.85720000000026</v>
      </c>
      <c r="EL171" s="14">
        <f t="shared" si="179"/>
        <v>69.887150190339895</v>
      </c>
      <c r="EM171" s="22">
        <f t="shared" si="180"/>
        <v>633.52140991484237</v>
      </c>
      <c r="EN171" s="62">
        <f t="shared" si="128"/>
        <v>926.85474324817574</v>
      </c>
      <c r="EO171" s="62">
        <f ca="1">AVERAGE(OFFSET($EN$3,0,0,'Données projet'!$E$15+1,1))-AVERAGE(OFFSET($H$3,0,0,'Données projet'!$E$15+1,1))</f>
        <v>306.50593475734655</v>
      </c>
      <c r="EP171" s="62">
        <f t="shared" si="154"/>
        <v>366.48643801375079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5.3057269507483529</v>
      </c>
      <c r="EW171" s="23">
        <f>EXP(-LN(2)/25)*EW170+(1-EXP(-LN(2)/25))/(LN(2)/25)*Calculateur!ER171*Calculateur!ET171*VLOOKUP('Données projet'!$B$15,Paramètres!$A$1:$I$89,3,0)*0.475*44/12</f>
        <v>0.40989165926624149</v>
      </c>
      <c r="EX171" s="23">
        <f>EXP(-LN(2)/2)*EX170+(1-EXP(-LN(2)/2))/(LN(2)/2)*ER171*EU171*VLOOKUP('Données projet'!$B$15,Paramètres!$A$1:$I$89,3,0)*0.475*44/12</f>
        <v>3.764636823986142E-16</v>
      </c>
      <c r="EY171" s="24">
        <f t="shared" si="181"/>
        <v>5.7156186100145945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123.91079999999957</v>
      </c>
      <c r="D172" s="12">
        <f t="shared" si="140"/>
        <v>32.585419727488741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1208.0409943876291</v>
      </c>
      <c r="H172" s="70">
        <f t="shared" si="110"/>
        <v>565.89758269204208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306.99999999999994</v>
      </c>
      <c r="O172" s="14">
        <f>N172*VLOOKUP('Données projet'!$B$9,Paramètres!$A$1:$I$89,3,0)*VLOOKUP('Données projet'!$B$9,Paramètres!$A$1:$I$89,5,0)</f>
        <v>277.77359999999993</v>
      </c>
      <c r="P172" s="14">
        <f t="shared" si="141"/>
        <v>66.496288176842356</v>
      </c>
      <c r="Q172" s="22">
        <f t="shared" si="162"/>
        <v>599.60338857466706</v>
      </c>
      <c r="R172" s="62">
        <f t="shared" si="109"/>
        <v>892.93672190800044</v>
      </c>
      <c r="S172" s="62">
        <f ca="1">AVERAGE(OFFSET($R$3,0,0,'Données projet'!$E$9+1,1))-AVERAGE(OFFSET($H$3,0,0,'Données projet'!$E$9+1,1))</f>
        <v>312.57314929661908</v>
      </c>
      <c r="T172" s="62">
        <f t="shared" si="142"/>
        <v>190.92100876773804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26.334896067260313</v>
      </c>
      <c r="AA172" s="23">
        <f>EXP(-LN(2)/25)*AA171+(1-EXP(-LN(2)/25))/(LN(2)/25)*Calculateur!V172*Calculateur!X172*VLOOKUP('Données projet'!$B$9,Paramètres!$A$1:$I$89,3,0)*0.475*44/12</f>
        <v>0.74221143959914149</v>
      </c>
      <c r="AB172" s="23">
        <f>EXP(-LN(2)/2)*AB171+(1-EXP(-LN(2)/2))/(LN(2)/2)*V172*Y172*VLOOKUP('Données projet'!$B$9,Paramètres!$A$1:$I$89,3,0)*0.475*44/12</f>
        <v>1.1225523301317003E-8</v>
      </c>
      <c r="AC172" s="24">
        <f t="shared" si="163"/>
        <v>27.077107518084979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306.99999999999994</v>
      </c>
      <c r="AJ172" s="14">
        <f>AI172*VLOOKUP('Données projet'!$B$10,Paramètres!$A$1:$I$89,3,0)*VLOOKUP('Données projet'!$B$10,Paramètres!$A$1:$I$89,5,0)</f>
        <v>311.298</v>
      </c>
      <c r="AK172" s="14">
        <f t="shared" si="164"/>
        <v>73.539838278528748</v>
      </c>
      <c r="AL172" s="22">
        <f t="shared" si="165"/>
        <v>670.25923500177089</v>
      </c>
      <c r="AM172" s="62">
        <f t="shared" si="113"/>
        <v>963.59256833510426</v>
      </c>
      <c r="AN172" s="62">
        <f ca="1">AVERAGE(OFFSET($AM$3,0,0,'Données projet'!$E$10+1,1))-AVERAGE(OFFSET($H$3,0,0,'Données projet'!$E$10+1,1))</f>
        <v>360.56293184044779</v>
      </c>
      <c r="AO172" s="62">
        <f t="shared" si="144"/>
        <v>219.32252911220542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29.513245592619292</v>
      </c>
      <c r="AV172" s="23">
        <f>EXP(-LN(2)/25)*AV171+(1-EXP(-LN(2)/25))/(LN(2)/25)*Calculateur!AQ172*Calculateur!AS172*VLOOKUP('Données projet'!$B$10,Paramètres!$A$1:$I$89,3,0)*0.475*44/12</f>
        <v>0.83178868230938274</v>
      </c>
      <c r="AW172" s="23">
        <f>EXP(-LN(2)/2)*AW171+(1-EXP(-LN(2)/2))/(LN(2)/2)*AQ172*AT172*VLOOKUP('Données projet'!$B$10,Paramètres!$A$1:$I$89,3,0)*0.475*44/12</f>
        <v>1.2580327837682851E-8</v>
      </c>
      <c r="AX172" s="23">
        <f t="shared" si="166"/>
        <v>30.345034287509002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1.1368683772161603E-13</v>
      </c>
      <c r="BE172" s="14">
        <f>BD172*VLOOKUP('Données projet'!$B$11,Paramètres!$A$1:$I$89,3,0)*VLOOKUP('Données projet'!$B$11,Paramètres!$A$1:$I$89,5,0)</f>
        <v>8.3355189417488869E-14</v>
      </c>
      <c r="BF172" s="14">
        <f t="shared" si="167"/>
        <v>1.2790518435140618E-12</v>
      </c>
      <c r="BG172" s="22">
        <f t="shared" si="168"/>
        <v>2.3728589156891171E-12</v>
      </c>
      <c r="BH172" s="62">
        <f t="shared" si="116"/>
        <v>293.3333333333357</v>
      </c>
      <c r="BI172" s="62">
        <f ca="1">AVERAGE(OFFSET($BH$3,0,0,'Données projet'!$E$11+1,1))-AVERAGE(OFFSET($H$3,0,0,'Données projet'!$E$11+1,1))</f>
        <v>182.06733089745194</v>
      </c>
      <c r="BJ172" s="62">
        <f t="shared" si="146"/>
        <v>320.36755413886021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3.8089710943785255</v>
      </c>
      <c r="BQ172" s="23">
        <f>EXP(-LN(2)/25)*BQ171+(1-EXP(-LN(2)/25))/(LN(2)/25)*Calculateur!BL172*Calculateur!BN172*VLOOKUP('Données projet'!$B$11,Paramètres!$A$1:$I$89,3,0)*0.475*44/12</f>
        <v>0.26934848849904752</v>
      </c>
      <c r="BR172" s="23">
        <f>EXP(-LN(2)/2)*BR171+(1-EXP(-LN(2)/2))/(LN(2)/2)*BL172*BO172*VLOOKUP('Données projet'!$B$11,Paramètres!$A$1:$I$89,3,0)*0.475*44/12</f>
        <v>8.8689543154712627E-19</v>
      </c>
      <c r="BS172" s="24">
        <f t="shared" si="169"/>
        <v>4.0783195828775733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319.99999999999972</v>
      </c>
      <c r="BZ172" s="14">
        <f>BY172*VLOOKUP('Données projet'!$B$12,Paramètres!$A$1:$I$89,3,0)*VLOOKUP('Données projet'!$B$12,Paramètres!$A$1:$I$89,5,0)</f>
        <v>279.55199999999979</v>
      </c>
      <c r="CA172" s="14">
        <f t="shared" si="170"/>
        <v>66.872324781216591</v>
      </c>
      <c r="CB172" s="22">
        <f t="shared" si="171"/>
        <v>603.35569899395182</v>
      </c>
      <c r="CC172" s="62">
        <f t="shared" si="119"/>
        <v>896.68903232728508</v>
      </c>
      <c r="CD172" s="62">
        <f ca="1">AVERAGE(OFFSET($CC$3,0,0,'Données projet'!$E$12+1,1))-AVERAGE(OFFSET($H$3,0,0,'Données projet'!$E$12+1,1))</f>
        <v>248.60758320902863</v>
      </c>
      <c r="CE172" s="62">
        <f t="shared" si="148"/>
        <v>222.23585883330111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9.2860421682582377</v>
      </c>
      <c r="CL172" s="23">
        <f>EXP(-LN(2)/25)*CL171+(1-EXP(-LN(2)/25))/(LN(2)/25)*Calculateur!CG172*Calculateur!CI172*VLOOKUP('Données projet'!$B$12,Paramètres!$A$1:$I$89,3,0)*0.475*44/12</f>
        <v>0.61038547123565867</v>
      </c>
      <c r="CM172" s="23">
        <f>EXP(-LN(2)/2)*CM171+(1-EXP(-LN(2)/2))/(LN(2)/2)*CG172*CJ172*VLOOKUP('Données projet'!$B$12,Paramètres!$A$1:$I$89,3,0)*0.475*44/12</f>
        <v>7.5477504546539097E-14</v>
      </c>
      <c r="CN172" s="24">
        <f t="shared" si="172"/>
        <v>9.8964276394939716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193.99999999999994</v>
      </c>
      <c r="CU172" s="18">
        <f>CT172*VLOOKUP('Données projet'!$B$13,Paramètres!$A$1:$I$89,3,0)*VLOOKUP('Données projet'!$B$13,Paramètres!$A$1:$I$89,5,0)</f>
        <v>105.92399999999998</v>
      </c>
      <c r="CV172" s="14">
        <f t="shared" si="173"/>
        <v>28.36854701055546</v>
      </c>
      <c r="CW172" s="22">
        <f t="shared" si="174"/>
        <v>233.89285271005073</v>
      </c>
      <c r="CX172" s="62">
        <f t="shared" si="122"/>
        <v>527.22618604338402</v>
      </c>
      <c r="CY172" s="62">
        <f ca="1">AVERAGE(OFFSET($CX$3,0,0,'Données projet'!$E$13+1,1))-AVERAGE(OFFSET($H$3,0,0,'Données projet'!$E$13+1,1))</f>
        <v>135.44138026609272</v>
      </c>
      <c r="CZ172" s="62">
        <f t="shared" si="150"/>
        <v>254.77247578425659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4.2125181129720506</v>
      </c>
      <c r="DG172" s="23">
        <f>EXP(-LN(2)/25)*DG171+(1-EXP(-LN(2)/25))/(LN(2)/25)*Calculateur!DB172*Calculateur!DD172*VLOOKUP('Données projet'!$B$13,Paramètres!$A$1:$I$89,3,0)*0.475*44/12</f>
        <v>0.95888149710885362</v>
      </c>
      <c r="DH172" s="23">
        <f>EXP(-LN(2)/2)*DH171+(1-EXP(-LN(2)/2))/(LN(2)/2)*DB172*DE172*VLOOKUP('Données projet'!$B$13,Paramètres!$A$1:$I$89,3,0)*0.475*44/12</f>
        <v>1.0188211175073493E-19</v>
      </c>
      <c r="DI172" s="24">
        <f t="shared" si="175"/>
        <v>5.1713996100809041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273.00000000000023</v>
      </c>
      <c r="DP172" s="18">
        <f>DO172*VLOOKUP('Données projet'!$B$14,Paramètres!$A$1:$I$89,3,0)*VLOOKUP('Données projet'!$B$14,Paramètres!$A$1:$I$89,5,0)</f>
        <v>264.04560000000021</v>
      </c>
      <c r="DQ172" s="14">
        <f t="shared" si="176"/>
        <v>63.583959929973794</v>
      </c>
      <c r="DR172" s="22">
        <f t="shared" si="177"/>
        <v>570.6214835447048</v>
      </c>
      <c r="DS172" s="62">
        <f t="shared" si="125"/>
        <v>863.95481687803817</v>
      </c>
      <c r="DT172" s="62">
        <f ca="1">AVERAGE(OFFSET($DS$3,0,0,'Données projet'!$E$14+1,1))-AVERAGE(OFFSET($H$3,0,0,'Données projet'!$E$14+1,1))</f>
        <v>271.09447278906288</v>
      </c>
      <c r="DU172" s="62">
        <f t="shared" si="152"/>
        <v>325.1094067861851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4.6739777195350793</v>
      </c>
      <c r="EB172" s="23">
        <f>EXP(-LN(2)/25)*EB171+(1-EXP(-LN(2)/25))/(LN(2)/25)*Calculateur!DW172*Calculateur!DY172*VLOOKUP('Données projet'!$B$14,Paramètres!$A$1:$I$89,3,0)*0.475*44/12</f>
        <v>0.35823703359242237</v>
      </c>
      <c r="EC172" s="23">
        <f>EXP(-LN(2)/2)*EC171+(1-EXP(-LN(2)/2))/(LN(2)/2)*DW172*DZ172*VLOOKUP('Données projet'!$B$14,Paramètres!$A$1:$I$89,3,0)*0.475*44/12</f>
        <v>2.3919422329072718E-16</v>
      </c>
      <c r="ED172" s="24">
        <f t="shared" si="178"/>
        <v>5.0322147531275014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273.00000000000023</v>
      </c>
      <c r="EK172" s="18">
        <f>EJ172*VLOOKUP('Données projet'!$B$15,Paramètres!$A$1:$I$89,3,0)*VLOOKUP('Données projet'!$B$15,Paramètres!$A$1:$I$89,5,0)</f>
        <v>293.85720000000026</v>
      </c>
      <c r="EL172" s="14">
        <f t="shared" si="179"/>
        <v>69.887150190339895</v>
      </c>
      <c r="EM172" s="22">
        <f t="shared" si="180"/>
        <v>633.52140991484237</v>
      </c>
      <c r="EN172" s="62">
        <f t="shared" si="128"/>
        <v>926.85474324817574</v>
      </c>
      <c r="EO172" s="62">
        <f ca="1">AVERAGE(OFFSET($EN$3,0,0,'Données projet'!$E$15+1,1))-AVERAGE(OFFSET($H$3,0,0,'Données projet'!$E$15+1,1))</f>
        <v>306.50593475734655</v>
      </c>
      <c r="EP172" s="62">
        <f t="shared" si="154"/>
        <v>366.48643801375079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5.2016848814180721</v>
      </c>
      <c r="EW172" s="23">
        <f>EXP(-LN(2)/25)*EW171+(1-EXP(-LN(2)/25))/(LN(2)/25)*Calculateur!ER172*Calculateur!ET172*VLOOKUP('Données projet'!$B$15,Paramètres!$A$1:$I$89,3,0)*0.475*44/12</f>
        <v>0.39868315028834056</v>
      </c>
      <c r="EX172" s="23">
        <f>EXP(-LN(2)/2)*EX171+(1-EXP(-LN(2)/2))/(LN(2)/2)*ER172*EU172*VLOOKUP('Données projet'!$B$15,Paramètres!$A$1:$I$89,3,0)*0.475*44/12</f>
        <v>2.6620002269451881E-16</v>
      </c>
      <c r="EY172" s="24">
        <f t="shared" si="181"/>
        <v>5.6003680317064131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124.64399999999956</v>
      </c>
      <c r="D173" s="12">
        <f t="shared" si="140"/>
        <v>32.755730870217128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1215.0154663665851</v>
      </c>
      <c r="H173" s="70">
        <f t="shared" si="110"/>
        <v>567.4711979322941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306.99999999999994</v>
      </c>
      <c r="O173" s="14">
        <f>N173*VLOOKUP('Données projet'!$B$9,Paramètres!$A$1:$I$89,3,0)*VLOOKUP('Données projet'!$B$9,Paramètres!$A$1:$I$89,5,0)</f>
        <v>277.77359999999993</v>
      </c>
      <c r="P173" s="14">
        <f t="shared" si="141"/>
        <v>66.496288176842356</v>
      </c>
      <c r="Q173" s="22">
        <f t="shared" si="162"/>
        <v>599.60338857466706</v>
      </c>
      <c r="R173" s="62">
        <f t="shared" si="109"/>
        <v>892.93672190800044</v>
      </c>
      <c r="S173" s="62">
        <f ca="1">AVERAGE(OFFSET($R$3,0,0,'Données projet'!$E$9+1,1))-AVERAGE(OFFSET($H$3,0,0,'Données projet'!$E$9+1,1))</f>
        <v>312.57314929661908</v>
      </c>
      <c r="T173" s="62">
        <f t="shared" si="142"/>
        <v>190.92100876773804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25.818484818081881</v>
      </c>
      <c r="AA173" s="23">
        <f>EXP(-LN(2)/25)*AA172+(1-EXP(-LN(2)/25))/(LN(2)/25)*Calculateur!V173*Calculateur!X173*VLOOKUP('Données projet'!$B$9,Paramètres!$A$1:$I$89,3,0)*0.475*44/12</f>
        <v>0.72191562875209969</v>
      </c>
      <c r="AB173" s="23">
        <f>EXP(-LN(2)/2)*AB172+(1-EXP(-LN(2)/2))/(LN(2)/2)*V173*Y173*VLOOKUP('Données projet'!$B$9,Paramètres!$A$1:$I$89,3,0)*0.475*44/12</f>
        <v>7.9376436487288528E-9</v>
      </c>
      <c r="AC173" s="24">
        <f t="shared" si="163"/>
        <v>26.540400454771625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306.99999999999994</v>
      </c>
      <c r="AJ173" s="14">
        <f>AI173*VLOOKUP('Données projet'!$B$10,Paramètres!$A$1:$I$89,3,0)*VLOOKUP('Données projet'!$B$10,Paramètres!$A$1:$I$89,5,0)</f>
        <v>311.298</v>
      </c>
      <c r="AK173" s="14">
        <f t="shared" si="164"/>
        <v>73.539838278528748</v>
      </c>
      <c r="AL173" s="22">
        <f t="shared" si="165"/>
        <v>670.25923500177089</v>
      </c>
      <c r="AM173" s="62">
        <f t="shared" si="113"/>
        <v>963.59256833510426</v>
      </c>
      <c r="AN173" s="62">
        <f ca="1">AVERAGE(OFFSET($AM$3,0,0,'Données projet'!$E$10+1,1))-AVERAGE(OFFSET($H$3,0,0,'Données projet'!$E$10+1,1))</f>
        <v>360.56293184044779</v>
      </c>
      <c r="AO173" s="62">
        <f t="shared" si="144"/>
        <v>219.32252911220542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28.934508847850356</v>
      </c>
      <c r="AV173" s="23">
        <f>EXP(-LN(2)/25)*AV172+(1-EXP(-LN(2)/25))/(LN(2)/25)*Calculateur!AQ173*Calculateur!AS173*VLOOKUP('Données projet'!$B$10,Paramètres!$A$1:$I$89,3,0)*0.475*44/12</f>
        <v>0.80904337704976692</v>
      </c>
      <c r="AW173" s="23">
        <f>EXP(-LN(2)/2)*AW172+(1-EXP(-LN(2)/2))/(LN(2)/2)*AQ173*AT173*VLOOKUP('Données projet'!$B$10,Paramètres!$A$1:$I$89,3,0)*0.475*44/12</f>
        <v>8.8956351235754401E-9</v>
      </c>
      <c r="AX173" s="23">
        <f t="shared" si="166"/>
        <v>29.743552233795761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1.1368683772161603E-13</v>
      </c>
      <c r="BE173" s="14">
        <f>BD173*VLOOKUP('Données projet'!$B$11,Paramètres!$A$1:$I$89,3,0)*VLOOKUP('Données projet'!$B$11,Paramètres!$A$1:$I$89,5,0)</f>
        <v>8.3355189417488869E-14</v>
      </c>
      <c r="BF173" s="14">
        <f t="shared" si="167"/>
        <v>1.2790518435140618E-12</v>
      </c>
      <c r="BG173" s="22">
        <f t="shared" si="168"/>
        <v>2.3728589156891171E-12</v>
      </c>
      <c r="BH173" s="62">
        <f t="shared" si="116"/>
        <v>293.3333333333357</v>
      </c>
      <c r="BI173" s="62">
        <f ca="1">AVERAGE(OFFSET($BH$3,0,0,'Données projet'!$E$11+1,1))-AVERAGE(OFFSET($H$3,0,0,'Données projet'!$E$11+1,1))</f>
        <v>182.06733089745194</v>
      </c>
      <c r="BJ173" s="62">
        <f t="shared" si="146"/>
        <v>320.36755413886021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3.7342794944607292</v>
      </c>
      <c r="BQ173" s="23">
        <f>EXP(-LN(2)/25)*BQ172+(1-EXP(-LN(2)/25))/(LN(2)/25)*Calculateur!BL173*Calculateur!BN173*VLOOKUP('Données projet'!$B$11,Paramètres!$A$1:$I$89,3,0)*0.475*44/12</f>
        <v>0.26198313991661965</v>
      </c>
      <c r="BR173" s="23">
        <f>EXP(-LN(2)/2)*BR172+(1-EXP(-LN(2)/2))/(LN(2)/2)*BL173*BO173*VLOOKUP('Données projet'!$B$11,Paramètres!$A$1:$I$89,3,0)*0.475*44/12</f>
        <v>6.2712977385034245E-19</v>
      </c>
      <c r="BS173" s="24">
        <f t="shared" si="169"/>
        <v>3.9962626343773486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319.99999999999972</v>
      </c>
      <c r="BZ173" s="14">
        <f>BY173*VLOOKUP('Données projet'!$B$12,Paramètres!$A$1:$I$89,3,0)*VLOOKUP('Données projet'!$B$12,Paramètres!$A$1:$I$89,5,0)</f>
        <v>279.55199999999979</v>
      </c>
      <c r="CA173" s="14">
        <f t="shared" si="170"/>
        <v>66.872324781216591</v>
      </c>
      <c r="CB173" s="22">
        <f t="shared" si="171"/>
        <v>603.35569899395182</v>
      </c>
      <c r="CC173" s="62">
        <f t="shared" si="119"/>
        <v>896.68903232728508</v>
      </c>
      <c r="CD173" s="62">
        <f ca="1">AVERAGE(OFFSET($CC$3,0,0,'Données projet'!$E$12+1,1))-AVERAGE(OFFSET($H$3,0,0,'Données projet'!$E$12+1,1))</f>
        <v>248.60758320902863</v>
      </c>
      <c r="CE173" s="62">
        <f t="shared" si="148"/>
        <v>222.23585883330111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9.1039485452651494</v>
      </c>
      <c r="CL173" s="23">
        <f>EXP(-LN(2)/25)*CL172+(1-EXP(-LN(2)/25))/(LN(2)/25)*Calculateur!CG173*Calculateur!CI173*VLOOKUP('Données projet'!$B$12,Paramètres!$A$1:$I$89,3,0)*0.475*44/12</f>
        <v>0.59369444842594266</v>
      </c>
      <c r="CM173" s="23">
        <f>EXP(-LN(2)/2)*CM172+(1-EXP(-LN(2)/2))/(LN(2)/2)*CG173*CJ173*VLOOKUP('Données projet'!$B$12,Paramètres!$A$1:$I$89,3,0)*0.475*44/12</f>
        <v>5.3370655291896268E-14</v>
      </c>
      <c r="CN173" s="24">
        <f t="shared" si="172"/>
        <v>9.6976429936911455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193.99999999999994</v>
      </c>
      <c r="CU173" s="18">
        <f>CT173*VLOOKUP('Données projet'!$B$13,Paramètres!$A$1:$I$89,3,0)*VLOOKUP('Données projet'!$B$13,Paramètres!$A$1:$I$89,5,0)</f>
        <v>105.92399999999998</v>
      </c>
      <c r="CV173" s="14">
        <f t="shared" si="173"/>
        <v>28.36854701055546</v>
      </c>
      <c r="CW173" s="22">
        <f t="shared" si="174"/>
        <v>233.89285271005073</v>
      </c>
      <c r="CX173" s="62">
        <f t="shared" si="122"/>
        <v>527.22618604338402</v>
      </c>
      <c r="CY173" s="62">
        <f ca="1">AVERAGE(OFFSET($CX$3,0,0,'Données projet'!$E$13+1,1))-AVERAGE(OFFSET($H$3,0,0,'Données projet'!$E$13+1,1))</f>
        <v>135.44138026609272</v>
      </c>
      <c r="CZ173" s="62">
        <f t="shared" si="150"/>
        <v>254.77247578425659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4.1299132021590124</v>
      </c>
      <c r="DG173" s="23">
        <f>EXP(-LN(2)/25)*DG172+(1-EXP(-LN(2)/25))/(LN(2)/25)*Calculateur!DB173*Calculateur!DD173*VLOOKUP('Données projet'!$B$13,Paramètres!$A$1:$I$89,3,0)*0.475*44/12</f>
        <v>0.9326608321450256</v>
      </c>
      <c r="DH173" s="23">
        <f>EXP(-LN(2)/2)*DH172+(1-EXP(-LN(2)/2))/(LN(2)/2)*DB173*DE173*VLOOKUP('Données projet'!$B$13,Paramètres!$A$1:$I$89,3,0)*0.475*44/12</f>
        <v>7.2041532100550309E-20</v>
      </c>
      <c r="DI173" s="24">
        <f t="shared" si="175"/>
        <v>5.0625740343040384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273.00000000000023</v>
      </c>
      <c r="DP173" s="18">
        <f>DO173*VLOOKUP('Données projet'!$B$14,Paramètres!$A$1:$I$89,3,0)*VLOOKUP('Données projet'!$B$14,Paramètres!$A$1:$I$89,5,0)</f>
        <v>264.04560000000021</v>
      </c>
      <c r="DQ173" s="14">
        <f t="shared" si="176"/>
        <v>63.583959929973794</v>
      </c>
      <c r="DR173" s="22">
        <f t="shared" si="177"/>
        <v>570.6214835447048</v>
      </c>
      <c r="DS173" s="62">
        <f t="shared" si="125"/>
        <v>863.95481687803817</v>
      </c>
      <c r="DT173" s="62">
        <f ca="1">AVERAGE(OFFSET($DS$3,0,0,'Données projet'!$E$14+1,1))-AVERAGE(OFFSET($H$3,0,0,'Données projet'!$E$14+1,1))</f>
        <v>271.09447278906288</v>
      </c>
      <c r="DU173" s="62">
        <f t="shared" si="152"/>
        <v>325.1094067861851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4.582323867299908</v>
      </c>
      <c r="EB173" s="23">
        <f>EXP(-LN(2)/25)*EB172+(1-EXP(-LN(2)/25))/(LN(2)/25)*Calculateur!DW173*Calculateur!DY173*VLOOKUP('Données projet'!$B$14,Paramètres!$A$1:$I$89,3,0)*0.475*44/12</f>
        <v>0.34844102306997077</v>
      </c>
      <c r="EC173" s="23">
        <f>EXP(-LN(2)/2)*EC172+(1-EXP(-LN(2)/2))/(LN(2)/2)*DW173*DZ173*VLOOKUP('Données projet'!$B$14,Paramètres!$A$1:$I$89,3,0)*0.475*44/12</f>
        <v>1.6913585730952241E-16</v>
      </c>
      <c r="ED173" s="24">
        <f t="shared" si="178"/>
        <v>4.9307648903698791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273.00000000000023</v>
      </c>
      <c r="EK173" s="18">
        <f>EJ173*VLOOKUP('Données projet'!$B$15,Paramètres!$A$1:$I$89,3,0)*VLOOKUP('Données projet'!$B$15,Paramètres!$A$1:$I$89,5,0)</f>
        <v>293.85720000000026</v>
      </c>
      <c r="EL173" s="14">
        <f t="shared" si="179"/>
        <v>69.887150190339895</v>
      </c>
      <c r="EM173" s="22">
        <f t="shared" si="180"/>
        <v>633.52140991484237</v>
      </c>
      <c r="EN173" s="62">
        <f t="shared" si="128"/>
        <v>926.85474324817574</v>
      </c>
      <c r="EO173" s="62">
        <f ca="1">AVERAGE(OFFSET($EN$3,0,0,'Données projet'!$E$15+1,1))-AVERAGE(OFFSET($H$3,0,0,'Données projet'!$E$15+1,1))</f>
        <v>306.50593475734655</v>
      </c>
      <c r="EP173" s="62">
        <f t="shared" si="154"/>
        <v>366.48643801375079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5.0996830136079616</v>
      </c>
      <c r="EW173" s="23">
        <f>EXP(-LN(2)/25)*EW172+(1-EXP(-LN(2)/25))/(LN(2)/25)*Calculateur!ER173*Calculateur!ET173*VLOOKUP('Données projet'!$B$15,Paramètres!$A$1:$I$89,3,0)*0.475*44/12</f>
        <v>0.38778113857787022</v>
      </c>
      <c r="EX173" s="23">
        <f>EXP(-LN(2)/2)*EX172+(1-EXP(-LN(2)/2))/(LN(2)/2)*ER173*EU173*VLOOKUP('Données projet'!$B$15,Paramètres!$A$1:$I$89,3,0)*0.475*44/12</f>
        <v>1.882318411993071E-16</v>
      </c>
      <c r="EY173" s="24">
        <f t="shared" si="181"/>
        <v>5.4874641521858321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125.37719999999956</v>
      </c>
      <c r="D174" s="12">
        <f t="shared" si="140"/>
        <v>32.925925439106763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1221.9890384773121</v>
      </c>
      <c r="H174" s="70">
        <f t="shared" si="110"/>
        <v>569.04461013977686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306.99999999999994</v>
      </c>
      <c r="O174" s="14">
        <f>N174*VLOOKUP('Données projet'!$B$9,Paramètres!$A$1:$I$89,3,0)*VLOOKUP('Données projet'!$B$9,Paramètres!$A$1:$I$89,5,0)</f>
        <v>277.77359999999993</v>
      </c>
      <c r="P174" s="14">
        <f t="shared" si="141"/>
        <v>66.496288176842356</v>
      </c>
      <c r="Q174" s="22">
        <f t="shared" si="162"/>
        <v>599.60338857466706</v>
      </c>
      <c r="R174" s="62">
        <f t="shared" si="109"/>
        <v>892.93672190800044</v>
      </c>
      <c r="S174" s="62">
        <f ca="1">AVERAGE(OFFSET($R$3,0,0,'Données projet'!$E$9+1,1))-AVERAGE(OFFSET($H$3,0,0,'Données projet'!$E$9+1,1))</f>
        <v>312.57314929661908</v>
      </c>
      <c r="T174" s="62">
        <f t="shared" si="142"/>
        <v>190.92100876773804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25.312200078520075</v>
      </c>
      <c r="AA174" s="23">
        <f>EXP(-LN(2)/25)*AA173+(1-EXP(-LN(2)/25))/(LN(2)/25)*Calculateur!V174*Calculateur!X174*VLOOKUP('Données projet'!$B$9,Paramètres!$A$1:$I$89,3,0)*0.475*44/12</f>
        <v>0.70217480791998055</v>
      </c>
      <c r="AB174" s="23">
        <f>EXP(-LN(2)/2)*AB173+(1-EXP(-LN(2)/2))/(LN(2)/2)*V174*Y174*VLOOKUP('Données projet'!$B$9,Paramètres!$A$1:$I$89,3,0)*0.475*44/12</f>
        <v>5.6127616506585016E-9</v>
      </c>
      <c r="AC174" s="24">
        <f t="shared" si="163"/>
        <v>26.014374892052818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306.99999999999994</v>
      </c>
      <c r="AJ174" s="14">
        <f>AI174*VLOOKUP('Données projet'!$B$10,Paramètres!$A$1:$I$89,3,0)*VLOOKUP('Données projet'!$B$10,Paramètres!$A$1:$I$89,5,0)</f>
        <v>311.298</v>
      </c>
      <c r="AK174" s="14">
        <f t="shared" si="164"/>
        <v>73.539838278528748</v>
      </c>
      <c r="AL174" s="22">
        <f t="shared" si="165"/>
        <v>670.25923500177089</v>
      </c>
      <c r="AM174" s="62">
        <f t="shared" si="113"/>
        <v>963.59256833510426</v>
      </c>
      <c r="AN174" s="62">
        <f ca="1">AVERAGE(OFFSET($AM$3,0,0,'Données projet'!$E$10+1,1))-AVERAGE(OFFSET($H$3,0,0,'Données projet'!$E$10+1,1))</f>
        <v>360.56293184044779</v>
      </c>
      <c r="AO174" s="62">
        <f t="shared" si="144"/>
        <v>219.32252911220542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28.367120777651781</v>
      </c>
      <c r="AV174" s="23">
        <f>EXP(-LN(2)/25)*AV173+(1-EXP(-LN(2)/25))/(LN(2)/25)*Calculateur!AQ174*Calculateur!AS174*VLOOKUP('Données projet'!$B$10,Paramètres!$A$1:$I$89,3,0)*0.475*44/12</f>
        <v>0.78692004335859889</v>
      </c>
      <c r="AW174" s="23">
        <f>EXP(-LN(2)/2)*AW173+(1-EXP(-LN(2)/2))/(LN(2)/2)*AQ174*AT174*VLOOKUP('Données projet'!$B$10,Paramètres!$A$1:$I$89,3,0)*0.475*44/12</f>
        <v>6.2901639188414254E-9</v>
      </c>
      <c r="AX174" s="23">
        <f t="shared" si="166"/>
        <v>29.154040827300545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1.1368683772161603E-13</v>
      </c>
      <c r="BE174" s="14">
        <f>BD174*VLOOKUP('Données projet'!$B$11,Paramètres!$A$1:$I$89,3,0)*VLOOKUP('Données projet'!$B$11,Paramètres!$A$1:$I$89,5,0)</f>
        <v>8.3355189417488869E-14</v>
      </c>
      <c r="BF174" s="14">
        <f t="shared" si="167"/>
        <v>1.2790518435140618E-12</v>
      </c>
      <c r="BG174" s="22">
        <f t="shared" si="168"/>
        <v>2.3728589156891171E-12</v>
      </c>
      <c r="BH174" s="62">
        <f t="shared" si="116"/>
        <v>293.3333333333357</v>
      </c>
      <c r="BI174" s="62">
        <f ca="1">AVERAGE(OFFSET($BH$3,0,0,'Données projet'!$E$11+1,1))-AVERAGE(OFFSET($H$3,0,0,'Données projet'!$E$11+1,1))</f>
        <v>182.06733089745194</v>
      </c>
      <c r="BJ174" s="62">
        <f t="shared" si="146"/>
        <v>320.36755413886021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3.6610525512599432</v>
      </c>
      <c r="BQ174" s="23">
        <f>EXP(-LN(2)/25)*BQ173+(1-EXP(-LN(2)/25))/(LN(2)/25)*Calculateur!BL174*Calculateur!BN174*VLOOKUP('Données projet'!$B$11,Paramètres!$A$1:$I$89,3,0)*0.475*44/12</f>
        <v>0.2548191971785051</v>
      </c>
      <c r="BR174" s="23">
        <f>EXP(-LN(2)/2)*BR173+(1-EXP(-LN(2)/2))/(LN(2)/2)*BL174*BO174*VLOOKUP('Données projet'!$B$11,Paramètres!$A$1:$I$89,3,0)*0.475*44/12</f>
        <v>4.4344771577356314E-19</v>
      </c>
      <c r="BS174" s="24">
        <f t="shared" si="169"/>
        <v>3.9158717484384482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319.99999999999972</v>
      </c>
      <c r="BZ174" s="14">
        <f>BY174*VLOOKUP('Données projet'!$B$12,Paramètres!$A$1:$I$89,3,0)*VLOOKUP('Données projet'!$B$12,Paramètres!$A$1:$I$89,5,0)</f>
        <v>279.55199999999979</v>
      </c>
      <c r="CA174" s="14">
        <f t="shared" si="170"/>
        <v>66.872324781216591</v>
      </c>
      <c r="CB174" s="22">
        <f t="shared" si="171"/>
        <v>603.35569899395182</v>
      </c>
      <c r="CC174" s="62">
        <f t="shared" si="119"/>
        <v>896.68903232728508</v>
      </c>
      <c r="CD174" s="62">
        <f ca="1">AVERAGE(OFFSET($CC$3,0,0,'Données projet'!$E$12+1,1))-AVERAGE(OFFSET($H$3,0,0,'Données projet'!$E$12+1,1))</f>
        <v>248.60758320902863</v>
      </c>
      <c r="CE174" s="62">
        <f t="shared" si="148"/>
        <v>222.23585883330111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8.9254256671528136</v>
      </c>
      <c r="CL174" s="23">
        <f>EXP(-LN(2)/25)*CL173+(1-EXP(-LN(2)/25))/(LN(2)/25)*Calculateur!CG174*Calculateur!CI174*VLOOKUP('Données projet'!$B$12,Paramètres!$A$1:$I$89,3,0)*0.475*44/12</f>
        <v>0.5774598425127011</v>
      </c>
      <c r="CM174" s="23">
        <f>EXP(-LN(2)/2)*CM173+(1-EXP(-LN(2)/2))/(LN(2)/2)*CG174*CJ174*VLOOKUP('Données projet'!$B$12,Paramètres!$A$1:$I$89,3,0)*0.475*44/12</f>
        <v>3.7738752273269549E-14</v>
      </c>
      <c r="CN174" s="24">
        <f t="shared" si="172"/>
        <v>9.5028855096655516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193.99999999999994</v>
      </c>
      <c r="CU174" s="18">
        <f>CT174*VLOOKUP('Données projet'!$B$13,Paramètres!$A$1:$I$89,3,0)*VLOOKUP('Données projet'!$B$13,Paramètres!$A$1:$I$89,5,0)</f>
        <v>105.92399999999998</v>
      </c>
      <c r="CV174" s="14">
        <f t="shared" si="173"/>
        <v>28.36854701055546</v>
      </c>
      <c r="CW174" s="22">
        <f t="shared" si="174"/>
        <v>233.89285271005073</v>
      </c>
      <c r="CX174" s="62">
        <f t="shared" si="122"/>
        <v>527.22618604338402</v>
      </c>
      <c r="CY174" s="62">
        <f ca="1">AVERAGE(OFFSET($CX$3,0,0,'Données projet'!$E$13+1,1))-AVERAGE(OFFSET($H$3,0,0,'Données projet'!$E$13+1,1))</f>
        <v>135.44138026609272</v>
      </c>
      <c r="CZ174" s="62">
        <f t="shared" si="150"/>
        <v>254.77247578425659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4.0489281232629972</v>
      </c>
      <c r="DG174" s="23">
        <f>EXP(-LN(2)/25)*DG173+(1-EXP(-LN(2)/25))/(LN(2)/25)*Calculateur!DB174*Calculateur!DD174*VLOOKUP('Données projet'!$B$13,Paramètres!$A$1:$I$89,3,0)*0.475*44/12</f>
        <v>0.90715717264351836</v>
      </c>
      <c r="DH174" s="23">
        <f>EXP(-LN(2)/2)*DH173+(1-EXP(-LN(2)/2))/(LN(2)/2)*DB174*DE174*VLOOKUP('Données projet'!$B$13,Paramètres!$A$1:$I$89,3,0)*0.475*44/12</f>
        <v>5.0941055875367467E-20</v>
      </c>
      <c r="DI174" s="24">
        <f t="shared" si="175"/>
        <v>4.9560852959065151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273.00000000000023</v>
      </c>
      <c r="DP174" s="18">
        <f>DO174*VLOOKUP('Données projet'!$B$14,Paramètres!$A$1:$I$89,3,0)*VLOOKUP('Données projet'!$B$14,Paramètres!$A$1:$I$89,5,0)</f>
        <v>264.04560000000021</v>
      </c>
      <c r="DQ174" s="14">
        <f t="shared" si="176"/>
        <v>63.583959929973794</v>
      </c>
      <c r="DR174" s="22">
        <f t="shared" si="177"/>
        <v>570.6214835447048</v>
      </c>
      <c r="DS174" s="62">
        <f t="shared" si="125"/>
        <v>863.95481687803817</v>
      </c>
      <c r="DT174" s="62">
        <f ca="1">AVERAGE(OFFSET($DS$3,0,0,'Données projet'!$E$14+1,1))-AVERAGE(OFFSET($H$3,0,0,'Données projet'!$E$14+1,1))</f>
        <v>271.09447278906288</v>
      </c>
      <c r="DU174" s="62">
        <f t="shared" si="152"/>
        <v>325.1094067861851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4.492467291203738</v>
      </c>
      <c r="EB174" s="23">
        <f>EXP(-LN(2)/25)*EB173+(1-EXP(-LN(2)/25))/(LN(2)/25)*Calculateur!DW174*Calculateur!DY174*VLOOKUP('Données projet'!$B$14,Paramètres!$A$1:$I$89,3,0)*0.475*44/12</f>
        <v>0.33891288497040539</v>
      </c>
      <c r="EC174" s="23">
        <f>EXP(-LN(2)/2)*EC173+(1-EXP(-LN(2)/2))/(LN(2)/2)*DW174*DZ174*VLOOKUP('Données projet'!$B$14,Paramètres!$A$1:$I$89,3,0)*0.475*44/12</f>
        <v>1.1959711164536359E-16</v>
      </c>
      <c r="ED174" s="24">
        <f t="shared" si="178"/>
        <v>4.8313801761741431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273.00000000000023</v>
      </c>
      <c r="EK174" s="18">
        <f>EJ174*VLOOKUP('Données projet'!$B$15,Paramètres!$A$1:$I$89,3,0)*VLOOKUP('Données projet'!$B$15,Paramètres!$A$1:$I$89,5,0)</f>
        <v>293.85720000000026</v>
      </c>
      <c r="EL174" s="14">
        <f t="shared" si="179"/>
        <v>69.887150190339895</v>
      </c>
      <c r="EM174" s="22">
        <f t="shared" si="180"/>
        <v>633.52140991484237</v>
      </c>
      <c r="EN174" s="62">
        <f t="shared" si="128"/>
        <v>926.85474324817574</v>
      </c>
      <c r="EO174" s="62">
        <f ca="1">AVERAGE(OFFSET($EN$3,0,0,'Données projet'!$E$15+1,1))-AVERAGE(OFFSET($H$3,0,0,'Données projet'!$E$15+1,1))</f>
        <v>306.50593475734655</v>
      </c>
      <c r="EP174" s="62">
        <f t="shared" si="154"/>
        <v>366.48643801375079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4.9996813402106115</v>
      </c>
      <c r="EW174" s="23">
        <f>EXP(-LN(2)/25)*EW173+(1-EXP(-LN(2)/25))/(LN(2)/25)*Calculateur!ER174*Calculateur!ET174*VLOOKUP('Données projet'!$B$15,Paramètres!$A$1:$I$89,3,0)*0.475*44/12</f>
        <v>0.37717724295093458</v>
      </c>
      <c r="EX174" s="23">
        <f>EXP(-LN(2)/2)*EX173+(1-EXP(-LN(2)/2))/(LN(2)/2)*ER174*EU174*VLOOKUP('Données projet'!$B$15,Paramètres!$A$1:$I$89,3,0)*0.475*44/12</f>
        <v>1.3310001134725941E-16</v>
      </c>
      <c r="EY174" s="24">
        <f t="shared" si="181"/>
        <v>5.3768585831615461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126.11039999999956</v>
      </c>
      <c r="D175" s="12">
        <f t="shared" si="140"/>
        <v>33.096004194977731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1228.9617165928073</v>
      </c>
      <c r="H175" s="70">
        <f t="shared" si="110"/>
        <v>570.61782063958549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306.99999999999994</v>
      </c>
      <c r="O175" s="14">
        <f>N175*VLOOKUP('Données projet'!$B$9,Paramètres!$A$1:$I$89,3,0)*VLOOKUP('Données projet'!$B$9,Paramètres!$A$1:$I$89,5,0)</f>
        <v>277.77359999999993</v>
      </c>
      <c r="P175" s="14">
        <f t="shared" si="141"/>
        <v>66.496288176842356</v>
      </c>
      <c r="Q175" s="22">
        <f t="shared" si="162"/>
        <v>599.60338857466706</v>
      </c>
      <c r="R175" s="62">
        <f t="shared" si="109"/>
        <v>892.93672190800044</v>
      </c>
      <c r="S175" s="62">
        <f ca="1">AVERAGE(OFFSET($R$3,0,0,'Données projet'!$E$9+1,1))-AVERAGE(OFFSET($H$3,0,0,'Données projet'!$E$9+1,1))</f>
        <v>312.57314929661908</v>
      </c>
      <c r="T175" s="62">
        <f t="shared" si="142"/>
        <v>190.92100876773804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24.815843273897876</v>
      </c>
      <c r="AA175" s="23">
        <f>EXP(-LN(2)/25)*AA174+(1-EXP(-LN(2)/25))/(LN(2)/25)*Calculateur!V175*Calculateur!X175*VLOOKUP('Données projet'!$B$9,Paramètres!$A$1:$I$89,3,0)*0.475*44/12</f>
        <v>0.68297380087164039</v>
      </c>
      <c r="AB175" s="23">
        <f>EXP(-LN(2)/2)*AB174+(1-EXP(-LN(2)/2))/(LN(2)/2)*V175*Y175*VLOOKUP('Données projet'!$B$9,Paramètres!$A$1:$I$89,3,0)*0.475*44/12</f>
        <v>3.9688218243644264E-9</v>
      </c>
      <c r="AC175" s="24">
        <f t="shared" si="163"/>
        <v>25.498817078738337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306.99999999999994</v>
      </c>
      <c r="AJ175" s="14">
        <f>AI175*VLOOKUP('Données projet'!$B$10,Paramètres!$A$1:$I$89,3,0)*VLOOKUP('Données projet'!$B$10,Paramètres!$A$1:$I$89,5,0)</f>
        <v>311.298</v>
      </c>
      <c r="AK175" s="14">
        <f t="shared" si="164"/>
        <v>73.539838278528748</v>
      </c>
      <c r="AL175" s="22">
        <f t="shared" si="165"/>
        <v>670.25923500177089</v>
      </c>
      <c r="AM175" s="62">
        <f t="shared" si="113"/>
        <v>963.59256833510426</v>
      </c>
      <c r="AN175" s="62">
        <f ca="1">AVERAGE(OFFSET($AM$3,0,0,'Données projet'!$E$10+1,1))-AVERAGE(OFFSET($H$3,0,0,'Données projet'!$E$10+1,1))</f>
        <v>360.56293184044779</v>
      </c>
      <c r="AO175" s="62">
        <f t="shared" si="144"/>
        <v>219.32252911220542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27.810858841437252</v>
      </c>
      <c r="AV175" s="23">
        <f>EXP(-LN(2)/25)*AV174+(1-EXP(-LN(2)/25))/(LN(2)/25)*Calculateur!AQ175*Calculateur!AS175*VLOOKUP('Données projet'!$B$10,Paramètres!$A$1:$I$89,3,0)*0.475*44/12</f>
        <v>0.76540167339063148</v>
      </c>
      <c r="AW175" s="23">
        <f>EXP(-LN(2)/2)*AW174+(1-EXP(-LN(2)/2))/(LN(2)/2)*AQ175*AT175*VLOOKUP('Données projet'!$B$10,Paramètres!$A$1:$I$89,3,0)*0.475*44/12</f>
        <v>4.44781756178772E-9</v>
      </c>
      <c r="AX175" s="23">
        <f t="shared" si="166"/>
        <v>28.576260519275699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1.1368683772161603E-13</v>
      </c>
      <c r="BE175" s="14">
        <f>BD175*VLOOKUP('Données projet'!$B$11,Paramètres!$A$1:$I$89,3,0)*VLOOKUP('Données projet'!$B$11,Paramètres!$A$1:$I$89,5,0)</f>
        <v>8.3355189417488869E-14</v>
      </c>
      <c r="BF175" s="14">
        <f t="shared" si="167"/>
        <v>1.2790518435140618E-12</v>
      </c>
      <c r="BG175" s="22">
        <f t="shared" si="168"/>
        <v>2.3728589156891171E-12</v>
      </c>
      <c r="BH175" s="62">
        <f t="shared" si="116"/>
        <v>293.3333333333357</v>
      </c>
      <c r="BI175" s="62">
        <f ca="1">AVERAGE(OFFSET($BH$3,0,0,'Données projet'!$E$11+1,1))-AVERAGE(OFFSET($H$3,0,0,'Données projet'!$E$11+1,1))</f>
        <v>182.06733089745194</v>
      </c>
      <c r="BJ175" s="62">
        <f t="shared" si="146"/>
        <v>320.36755413886021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3.5892615437512996</v>
      </c>
      <c r="BQ175" s="23">
        <f>EXP(-LN(2)/25)*BQ174+(1-EXP(-LN(2)/25))/(LN(2)/25)*Calculateur!BL175*Calculateur!BN175*VLOOKUP('Données projet'!$B$11,Paramètres!$A$1:$I$89,3,0)*0.475*44/12</f>
        <v>0.24785115283129969</v>
      </c>
      <c r="BR175" s="23">
        <f>EXP(-LN(2)/2)*BR174+(1-EXP(-LN(2)/2))/(LN(2)/2)*BL175*BO175*VLOOKUP('Données projet'!$B$11,Paramètres!$A$1:$I$89,3,0)*0.475*44/12</f>
        <v>3.1356488692517123E-19</v>
      </c>
      <c r="BS175" s="24">
        <f t="shared" si="169"/>
        <v>3.8371126965825995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319.99999999999972</v>
      </c>
      <c r="BZ175" s="14">
        <f>BY175*VLOOKUP('Données projet'!$B$12,Paramètres!$A$1:$I$89,3,0)*VLOOKUP('Données projet'!$B$12,Paramètres!$A$1:$I$89,5,0)</f>
        <v>279.55199999999979</v>
      </c>
      <c r="CA175" s="14">
        <f t="shared" si="170"/>
        <v>66.872324781216591</v>
      </c>
      <c r="CB175" s="22">
        <f t="shared" si="171"/>
        <v>603.35569899395182</v>
      </c>
      <c r="CC175" s="62">
        <f t="shared" si="119"/>
        <v>896.68903232728508</v>
      </c>
      <c r="CD175" s="62">
        <f ca="1">AVERAGE(OFFSET($CC$3,0,0,'Données projet'!$E$12+1,1))-AVERAGE(OFFSET($H$3,0,0,'Données projet'!$E$12+1,1))</f>
        <v>248.60758320902863</v>
      </c>
      <c r="CE175" s="62">
        <f t="shared" si="148"/>
        <v>222.23585883330111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8.7504035137920564</v>
      </c>
      <c r="CL175" s="23">
        <f>EXP(-LN(2)/25)*CL174+(1-EXP(-LN(2)/25))/(LN(2)/25)*Calculateur!CG175*Calculateur!CI175*VLOOKUP('Données projet'!$B$12,Paramètres!$A$1:$I$89,3,0)*0.475*44/12</f>
        <v>0.56166917275189798</v>
      </c>
      <c r="CM175" s="23">
        <f>EXP(-LN(2)/2)*CM174+(1-EXP(-LN(2)/2))/(LN(2)/2)*CG175*CJ175*VLOOKUP('Données projet'!$B$12,Paramètres!$A$1:$I$89,3,0)*0.475*44/12</f>
        <v>2.6685327645948134E-14</v>
      </c>
      <c r="CN175" s="24">
        <f t="shared" si="172"/>
        <v>9.3120726865439813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193.99999999999994</v>
      </c>
      <c r="CU175" s="18">
        <f>CT175*VLOOKUP('Données projet'!$B$13,Paramètres!$A$1:$I$89,3,0)*VLOOKUP('Données projet'!$B$13,Paramètres!$A$1:$I$89,5,0)</f>
        <v>105.92399999999998</v>
      </c>
      <c r="CV175" s="14">
        <f t="shared" si="173"/>
        <v>28.36854701055546</v>
      </c>
      <c r="CW175" s="22">
        <f t="shared" si="174"/>
        <v>233.89285271005073</v>
      </c>
      <c r="CX175" s="62">
        <f t="shared" si="122"/>
        <v>527.22618604338402</v>
      </c>
      <c r="CY175" s="62">
        <f ca="1">AVERAGE(OFFSET($CX$3,0,0,'Données projet'!$E$13+1,1))-AVERAGE(OFFSET($H$3,0,0,'Données projet'!$E$13+1,1))</f>
        <v>135.44138026609272</v>
      </c>
      <c r="CZ175" s="62">
        <f t="shared" si="150"/>
        <v>254.77247578425659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3.9695311123681121</v>
      </c>
      <c r="DG175" s="23">
        <f>EXP(-LN(2)/25)*DG174+(1-EXP(-LN(2)/25))/(LN(2)/25)*Calculateur!DB175*Calculateur!DD175*VLOOKUP('Données projet'!$B$13,Paramètres!$A$1:$I$89,3,0)*0.475*44/12</f>
        <v>0.88235091205225902</v>
      </c>
      <c r="DH175" s="23">
        <f>EXP(-LN(2)/2)*DH174+(1-EXP(-LN(2)/2))/(LN(2)/2)*DB175*DE175*VLOOKUP('Données projet'!$B$13,Paramètres!$A$1:$I$89,3,0)*0.475*44/12</f>
        <v>3.6020766050275155E-20</v>
      </c>
      <c r="DI175" s="24">
        <f t="shared" si="175"/>
        <v>4.8518820244203713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273.00000000000023</v>
      </c>
      <c r="DP175" s="18">
        <f>DO175*VLOOKUP('Données projet'!$B$14,Paramètres!$A$1:$I$89,3,0)*VLOOKUP('Données projet'!$B$14,Paramètres!$A$1:$I$89,5,0)</f>
        <v>264.04560000000021</v>
      </c>
      <c r="DQ175" s="14">
        <f t="shared" si="176"/>
        <v>63.583959929973794</v>
      </c>
      <c r="DR175" s="22">
        <f t="shared" si="177"/>
        <v>570.6214835447048</v>
      </c>
      <c r="DS175" s="62">
        <f t="shared" si="125"/>
        <v>863.95481687803817</v>
      </c>
      <c r="DT175" s="62">
        <f ca="1">AVERAGE(OFFSET($DS$3,0,0,'Données projet'!$E$14+1,1))-AVERAGE(OFFSET($H$3,0,0,'Données projet'!$E$14+1,1))</f>
        <v>271.09447278906288</v>
      </c>
      <c r="DU175" s="62">
        <f t="shared" si="152"/>
        <v>325.1094067861851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4.4043727477577148</v>
      </c>
      <c r="EB175" s="23">
        <f>EXP(-LN(2)/25)*EB174+(1-EXP(-LN(2)/25))/(LN(2)/25)*Calculateur!DW175*Calculateur!DY175*VLOOKUP('Données projet'!$B$14,Paramètres!$A$1:$I$89,3,0)*0.475*44/12</f>
        <v>0.32964529430823564</v>
      </c>
      <c r="EC175" s="23">
        <f>EXP(-LN(2)/2)*EC174+(1-EXP(-LN(2)/2))/(LN(2)/2)*DW175*DZ175*VLOOKUP('Données projet'!$B$14,Paramètres!$A$1:$I$89,3,0)*0.475*44/12</f>
        <v>8.4567928654761207E-17</v>
      </c>
      <c r="ED175" s="24">
        <f t="shared" si="178"/>
        <v>4.7340180420659506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273.00000000000023</v>
      </c>
      <c r="EK175" s="18">
        <f>EJ175*VLOOKUP('Données projet'!$B$15,Paramètres!$A$1:$I$89,3,0)*VLOOKUP('Données projet'!$B$15,Paramètres!$A$1:$I$89,5,0)</f>
        <v>293.85720000000026</v>
      </c>
      <c r="EL175" s="14">
        <f t="shared" si="179"/>
        <v>69.887150190339895</v>
      </c>
      <c r="EM175" s="22">
        <f t="shared" si="180"/>
        <v>633.52140991484237</v>
      </c>
      <c r="EN175" s="62">
        <f t="shared" si="128"/>
        <v>926.85474324817574</v>
      </c>
      <c r="EO175" s="62">
        <f ca="1">AVERAGE(OFFSET($EN$3,0,0,'Données projet'!$E$15+1,1))-AVERAGE(OFFSET($H$3,0,0,'Données projet'!$E$15+1,1))</f>
        <v>306.50593475734655</v>
      </c>
      <c r="EP175" s="62">
        <f t="shared" si="154"/>
        <v>366.48643801375079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4.9016406386335856</v>
      </c>
      <c r="EW175" s="23">
        <f>EXP(-LN(2)/25)*EW174+(1-EXP(-LN(2)/25))/(LN(2)/25)*Calculateur!ER175*Calculateur!ET175*VLOOKUP('Données projet'!$B$15,Paramètres!$A$1:$I$89,3,0)*0.475*44/12</f>
        <v>0.36686331140755213</v>
      </c>
      <c r="EX175" s="23">
        <f>EXP(-LN(2)/2)*EX174+(1-EXP(-LN(2)/2))/(LN(2)/2)*ER175*EU175*VLOOKUP('Données projet'!$B$15,Paramètres!$A$1:$I$89,3,0)*0.475*44/12</f>
        <v>9.411592059965355E-17</v>
      </c>
      <c r="EY175" s="24">
        <f t="shared" si="181"/>
        <v>5.2685039500411381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126.84359999999955</v>
      </c>
      <c r="D176" s="12">
        <f t="shared" si="140"/>
        <v>33.265967889291609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1235.9335065138264</v>
      </c>
      <c r="H176" s="70">
        <f t="shared" si="110"/>
        <v>572.19083074051537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306.99999999999994</v>
      </c>
      <c r="O176" s="14">
        <f>N176*VLOOKUP('Données projet'!$B$9,Paramètres!$A$1:$I$89,3,0)*VLOOKUP('Données projet'!$B$9,Paramètres!$A$1:$I$89,5,0)</f>
        <v>277.77359999999993</v>
      </c>
      <c r="P176" s="14">
        <f t="shared" si="141"/>
        <v>66.496288176842356</v>
      </c>
      <c r="Q176" s="22">
        <f t="shared" si="162"/>
        <v>599.60338857466706</v>
      </c>
      <c r="R176" s="62">
        <f t="shared" si="109"/>
        <v>892.93672190800044</v>
      </c>
      <c r="S176" s="62">
        <f ca="1">AVERAGE(OFFSET($R$3,0,0,'Données projet'!$E$9+1,1))-AVERAGE(OFFSET($H$3,0,0,'Données projet'!$E$9+1,1))</f>
        <v>312.57314929661908</v>
      </c>
      <c r="T176" s="62">
        <f t="shared" si="142"/>
        <v>190.92100876773804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24.329219723466561</v>
      </c>
      <c r="AA176" s="23">
        <f>EXP(-LN(2)/25)*AA175+(1-EXP(-LN(2)/25))/(LN(2)/25)*Calculateur!V176*Calculateur!X176*VLOOKUP('Données projet'!$B$9,Paramètres!$A$1:$I$89,3,0)*0.475*44/12</f>
        <v>0.66429784637077416</v>
      </c>
      <c r="AB176" s="23">
        <f>EXP(-LN(2)/2)*AB175+(1-EXP(-LN(2)/2))/(LN(2)/2)*V176*Y176*VLOOKUP('Données projet'!$B$9,Paramètres!$A$1:$I$89,3,0)*0.475*44/12</f>
        <v>2.8063808253292508E-9</v>
      </c>
      <c r="AC176" s="24">
        <f t="shared" si="163"/>
        <v>24.993517572643718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306.99999999999994</v>
      </c>
      <c r="AJ176" s="14">
        <f>AI176*VLOOKUP('Données projet'!$B$10,Paramètres!$A$1:$I$89,3,0)*VLOOKUP('Données projet'!$B$10,Paramètres!$A$1:$I$89,5,0)</f>
        <v>311.298</v>
      </c>
      <c r="AK176" s="14">
        <f t="shared" si="164"/>
        <v>73.539838278528748</v>
      </c>
      <c r="AL176" s="22">
        <f t="shared" si="165"/>
        <v>670.25923500177089</v>
      </c>
      <c r="AM176" s="62">
        <f t="shared" si="113"/>
        <v>963.59256833510426</v>
      </c>
      <c r="AN176" s="62">
        <f ca="1">AVERAGE(OFFSET($AM$3,0,0,'Données projet'!$E$10+1,1))-AVERAGE(OFFSET($H$3,0,0,'Données projet'!$E$10+1,1))</f>
        <v>360.56293184044779</v>
      </c>
      <c r="AO176" s="62">
        <f t="shared" si="144"/>
        <v>219.32252911220542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27.265504862505608</v>
      </c>
      <c r="AV176" s="23">
        <f>EXP(-LN(2)/25)*AV175+(1-EXP(-LN(2)/25))/(LN(2)/25)*Calculateur!AQ176*Calculateur!AS176*VLOOKUP('Données projet'!$B$10,Paramètres!$A$1:$I$89,3,0)*0.475*44/12</f>
        <v>0.74447172438104003</v>
      </c>
      <c r="AW176" s="23">
        <f>EXP(-LN(2)/2)*AW175+(1-EXP(-LN(2)/2))/(LN(2)/2)*AQ176*AT176*VLOOKUP('Données projet'!$B$10,Paramètres!$A$1:$I$89,3,0)*0.475*44/12</f>
        <v>3.1450819594207127E-9</v>
      </c>
      <c r="AX176" s="23">
        <f t="shared" si="166"/>
        <v>28.00997659003173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1.1368683772161603E-13</v>
      </c>
      <c r="BE176" s="14">
        <f>BD176*VLOOKUP('Données projet'!$B$11,Paramètres!$A$1:$I$89,3,0)*VLOOKUP('Données projet'!$B$11,Paramètres!$A$1:$I$89,5,0)</f>
        <v>8.3355189417488869E-14</v>
      </c>
      <c r="BF176" s="14">
        <f t="shared" si="167"/>
        <v>1.2790518435140618E-12</v>
      </c>
      <c r="BG176" s="22">
        <f t="shared" si="168"/>
        <v>2.3728589156891171E-12</v>
      </c>
      <c r="BH176" s="62">
        <f t="shared" si="116"/>
        <v>293.3333333333357</v>
      </c>
      <c r="BI176" s="62">
        <f ca="1">AVERAGE(OFFSET($BH$3,0,0,'Données projet'!$E$11+1,1))-AVERAGE(OFFSET($H$3,0,0,'Données projet'!$E$11+1,1))</f>
        <v>182.06733089745194</v>
      </c>
      <c r="BJ176" s="62">
        <f t="shared" si="146"/>
        <v>320.36755413886021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3.5188783141117095</v>
      </c>
      <c r="BQ176" s="23">
        <f>EXP(-LN(2)/25)*BQ175+(1-EXP(-LN(2)/25))/(LN(2)/25)*Calculateur!BL176*Calculateur!BN176*VLOOKUP('Données projet'!$B$11,Paramètres!$A$1:$I$89,3,0)*0.475*44/12</f>
        <v>0.24107365002320214</v>
      </c>
      <c r="BR176" s="23">
        <f>EXP(-LN(2)/2)*BR175+(1-EXP(-LN(2)/2))/(LN(2)/2)*BL176*BO176*VLOOKUP('Données projet'!$B$11,Paramètres!$A$1:$I$89,3,0)*0.475*44/12</f>
        <v>2.2172385788678157E-19</v>
      </c>
      <c r="BS176" s="24">
        <f t="shared" si="169"/>
        <v>3.7599519641349115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319.99999999999972</v>
      </c>
      <c r="BZ176" s="14">
        <f>BY176*VLOOKUP('Données projet'!$B$12,Paramètres!$A$1:$I$89,3,0)*VLOOKUP('Données projet'!$B$12,Paramètres!$A$1:$I$89,5,0)</f>
        <v>279.55199999999979</v>
      </c>
      <c r="CA176" s="14">
        <f t="shared" si="170"/>
        <v>66.872324781216591</v>
      </c>
      <c r="CB176" s="22">
        <f t="shared" si="171"/>
        <v>603.35569899395182</v>
      </c>
      <c r="CC176" s="62">
        <f t="shared" si="119"/>
        <v>896.68903232728508</v>
      </c>
      <c r="CD176" s="62">
        <f ca="1">AVERAGE(OFFSET($CC$3,0,0,'Données projet'!$E$12+1,1))-AVERAGE(OFFSET($H$3,0,0,'Données projet'!$E$12+1,1))</f>
        <v>248.60758320902863</v>
      </c>
      <c r="CE176" s="62">
        <f t="shared" si="148"/>
        <v>222.23585883330111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8.5788134381057315</v>
      </c>
      <c r="CL176" s="23">
        <f>EXP(-LN(2)/25)*CL175+(1-EXP(-LN(2)/25))/(LN(2)/25)*Calculateur!CG176*Calculateur!CI176*VLOOKUP('Données projet'!$B$12,Paramètres!$A$1:$I$89,3,0)*0.475*44/12</f>
        <v>0.54631029968609923</v>
      </c>
      <c r="CM176" s="23">
        <f>EXP(-LN(2)/2)*CM175+(1-EXP(-LN(2)/2))/(LN(2)/2)*CG176*CJ176*VLOOKUP('Données projet'!$B$12,Paramètres!$A$1:$I$89,3,0)*0.475*44/12</f>
        <v>1.8869376136634774E-14</v>
      </c>
      <c r="CN176" s="24">
        <f t="shared" si="172"/>
        <v>9.125123737791851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193.99999999999994</v>
      </c>
      <c r="CU176" s="18">
        <f>CT176*VLOOKUP('Données projet'!$B$13,Paramètres!$A$1:$I$89,3,0)*VLOOKUP('Données projet'!$B$13,Paramètres!$A$1:$I$89,5,0)</f>
        <v>105.92399999999998</v>
      </c>
      <c r="CV176" s="14">
        <f t="shared" si="173"/>
        <v>28.36854701055546</v>
      </c>
      <c r="CW176" s="22">
        <f t="shared" si="174"/>
        <v>233.89285271005073</v>
      </c>
      <c r="CX176" s="62">
        <f t="shared" si="122"/>
        <v>527.22618604338402</v>
      </c>
      <c r="CY176" s="62">
        <f ca="1">AVERAGE(OFFSET($CX$3,0,0,'Données projet'!$E$13+1,1))-AVERAGE(OFFSET($H$3,0,0,'Données projet'!$E$13+1,1))</f>
        <v>135.44138026609272</v>
      </c>
      <c r="CZ176" s="62">
        <f t="shared" si="150"/>
        <v>254.77247578425659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3.8916910284294808</v>
      </c>
      <c r="DG176" s="23">
        <f>EXP(-LN(2)/25)*DG175+(1-EXP(-LN(2)/25))/(LN(2)/25)*Calculateur!DB176*Calculateur!DD176*VLOOKUP('Données projet'!$B$13,Paramètres!$A$1:$I$89,3,0)*0.475*44/12</f>
        <v>0.8582229799613722</v>
      </c>
      <c r="DH176" s="23">
        <f>EXP(-LN(2)/2)*DH175+(1-EXP(-LN(2)/2))/(LN(2)/2)*DB176*DE176*VLOOKUP('Données projet'!$B$13,Paramètres!$A$1:$I$89,3,0)*0.475*44/12</f>
        <v>2.5470527937683734E-20</v>
      </c>
      <c r="DI176" s="24">
        <f t="shared" si="175"/>
        <v>4.7499140083908529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273.00000000000023</v>
      </c>
      <c r="DP176" s="18">
        <f>DO176*VLOOKUP('Données projet'!$B$14,Paramètres!$A$1:$I$89,3,0)*VLOOKUP('Données projet'!$B$14,Paramètres!$A$1:$I$89,5,0)</f>
        <v>264.04560000000021</v>
      </c>
      <c r="DQ176" s="14">
        <f t="shared" si="176"/>
        <v>63.583959929973794</v>
      </c>
      <c r="DR176" s="22">
        <f t="shared" si="177"/>
        <v>570.6214835447048</v>
      </c>
      <c r="DS176" s="62">
        <f t="shared" si="125"/>
        <v>863.95481687803817</v>
      </c>
      <c r="DT176" s="62">
        <f ca="1">AVERAGE(OFFSET($DS$3,0,0,'Données projet'!$E$14+1,1))-AVERAGE(OFFSET($H$3,0,0,'Données projet'!$E$14+1,1))</f>
        <v>271.09447278906288</v>
      </c>
      <c r="DU176" s="62">
        <f t="shared" si="152"/>
        <v>325.1094067861851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4.3180056845763017</v>
      </c>
      <c r="EB176" s="23">
        <f>EXP(-LN(2)/25)*EB175+(1-EXP(-LN(2)/25))/(LN(2)/25)*Calculateur!DW176*Calculateur!DY176*VLOOKUP('Données projet'!$B$14,Paramètres!$A$1:$I$89,3,0)*0.475*44/12</f>
        <v>0.32063112640008434</v>
      </c>
      <c r="EC176" s="23">
        <f>EXP(-LN(2)/2)*EC175+(1-EXP(-LN(2)/2))/(LN(2)/2)*DW176*DZ176*VLOOKUP('Données projet'!$B$14,Paramètres!$A$1:$I$89,3,0)*0.475*44/12</f>
        <v>5.9798555822681795E-17</v>
      </c>
      <c r="ED176" s="24">
        <f t="shared" si="178"/>
        <v>4.6386368109763865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273.00000000000023</v>
      </c>
      <c r="EK176" s="18">
        <f>EJ176*VLOOKUP('Données projet'!$B$15,Paramètres!$A$1:$I$89,3,0)*VLOOKUP('Données projet'!$B$15,Paramètres!$A$1:$I$89,5,0)</f>
        <v>293.85720000000026</v>
      </c>
      <c r="EL176" s="14">
        <f t="shared" si="179"/>
        <v>69.887150190339895</v>
      </c>
      <c r="EM176" s="22">
        <f t="shared" si="180"/>
        <v>633.52140991484237</v>
      </c>
      <c r="EN176" s="62">
        <f t="shared" si="128"/>
        <v>926.85474324817574</v>
      </c>
      <c r="EO176" s="62">
        <f ca="1">AVERAGE(OFFSET($EN$3,0,0,'Données projet'!$E$15+1,1))-AVERAGE(OFFSET($H$3,0,0,'Données projet'!$E$15+1,1))</f>
        <v>306.50593475734655</v>
      </c>
      <c r="EP176" s="62">
        <f t="shared" si="154"/>
        <v>366.48643801375079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4.805522455415562</v>
      </c>
      <c r="EW176" s="23">
        <f>EXP(-LN(2)/25)*EW175+(1-EXP(-LN(2)/25))/(LN(2)/25)*Calculateur!ER176*Calculateur!ET176*VLOOKUP('Données projet'!$B$15,Paramètres!$A$1:$I$89,3,0)*0.475*44/12</f>
        <v>0.35683141486460956</v>
      </c>
      <c r="EX176" s="23">
        <f>EXP(-LN(2)/2)*EX175+(1-EXP(-LN(2)/2))/(LN(2)/2)*ER176*EU176*VLOOKUP('Données projet'!$B$15,Paramètres!$A$1:$I$89,3,0)*0.475*44/12</f>
        <v>6.6550005673629703E-17</v>
      </c>
      <c r="EY176" s="24">
        <f t="shared" si="181"/>
        <v>5.1623538702801719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127.57679999999955</v>
      </c>
      <c r="D177" s="12">
        <f t="shared" si="140"/>
        <v>33.435817264319738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1242.9044139701841</v>
      </c>
      <c r="H177" s="70">
        <f t="shared" si="110"/>
        <v>573.76364173535603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306.99999999999994</v>
      </c>
      <c r="O177" s="14">
        <f>N177*VLOOKUP('Données projet'!$B$9,Paramètres!$A$1:$I$89,3,0)*VLOOKUP('Données projet'!$B$9,Paramètres!$A$1:$I$89,5,0)</f>
        <v>277.77359999999993</v>
      </c>
      <c r="P177" s="14">
        <f t="shared" si="141"/>
        <v>66.496288176842356</v>
      </c>
      <c r="Q177" s="22">
        <f t="shared" si="162"/>
        <v>599.60338857466706</v>
      </c>
      <c r="R177" s="62">
        <f t="shared" si="109"/>
        <v>892.93672190800044</v>
      </c>
      <c r="S177" s="62">
        <f ca="1">AVERAGE(OFFSET($R$3,0,0,'Données projet'!$E$9+1,1))-AVERAGE(OFFSET($H$3,0,0,'Données projet'!$E$9+1,1))</f>
        <v>312.57314929661908</v>
      </c>
      <c r="T177" s="62">
        <f t="shared" si="142"/>
        <v>190.92100876773804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23.852138564048147</v>
      </c>
      <c r="AA177" s="23">
        <f>EXP(-LN(2)/25)*AA176+(1-EXP(-LN(2)/25))/(LN(2)/25)*Calculateur!V177*Calculateur!X177*VLOOKUP('Données projet'!$B$9,Paramètres!$A$1:$I$89,3,0)*0.475*44/12</f>
        <v>0.6461325868278599</v>
      </c>
      <c r="AB177" s="23">
        <f>EXP(-LN(2)/2)*AB176+(1-EXP(-LN(2)/2))/(LN(2)/2)*V177*Y177*VLOOKUP('Données projet'!$B$9,Paramètres!$A$1:$I$89,3,0)*0.475*44/12</f>
        <v>1.9844109121822132E-9</v>
      </c>
      <c r="AC177" s="24">
        <f t="shared" si="163"/>
        <v>24.498271152860418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306.99999999999994</v>
      </c>
      <c r="AJ177" s="14">
        <f>AI177*VLOOKUP('Données projet'!$B$10,Paramètres!$A$1:$I$89,3,0)*VLOOKUP('Données projet'!$B$10,Paramètres!$A$1:$I$89,5,0)</f>
        <v>311.298</v>
      </c>
      <c r="AK177" s="14">
        <f t="shared" si="164"/>
        <v>73.539838278528748</v>
      </c>
      <c r="AL177" s="22">
        <f t="shared" si="165"/>
        <v>670.25923500177089</v>
      </c>
      <c r="AM177" s="62">
        <f t="shared" si="113"/>
        <v>963.59256833510426</v>
      </c>
      <c r="AN177" s="62">
        <f ca="1">AVERAGE(OFFSET($AM$3,0,0,'Données projet'!$E$10+1,1))-AVERAGE(OFFSET($H$3,0,0,'Données projet'!$E$10+1,1))</f>
        <v>360.56293184044779</v>
      </c>
      <c r="AO177" s="62">
        <f t="shared" si="144"/>
        <v>219.32252911220542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26.730844942467733</v>
      </c>
      <c r="AV177" s="23">
        <f>EXP(-LN(2)/25)*AV176+(1-EXP(-LN(2)/25))/(LN(2)/25)*Calculateur!AQ177*Calculateur!AS177*VLOOKUP('Données projet'!$B$10,Paramètres!$A$1:$I$89,3,0)*0.475*44/12</f>
        <v>0.72411410592777403</v>
      </c>
      <c r="AW177" s="23">
        <f>EXP(-LN(2)/2)*AW176+(1-EXP(-LN(2)/2))/(LN(2)/2)*AQ177*AT177*VLOOKUP('Données projet'!$B$10,Paramètres!$A$1:$I$89,3,0)*0.475*44/12</f>
        <v>2.22390878089386E-9</v>
      </c>
      <c r="AX177" s="23">
        <f t="shared" si="166"/>
        <v>27.454959050619419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1.1368683772161603E-13</v>
      </c>
      <c r="BE177" s="14">
        <f>BD177*VLOOKUP('Données projet'!$B$11,Paramètres!$A$1:$I$89,3,0)*VLOOKUP('Données projet'!$B$11,Paramètres!$A$1:$I$89,5,0)</f>
        <v>8.3355189417488869E-14</v>
      </c>
      <c r="BF177" s="14">
        <f t="shared" si="167"/>
        <v>1.2790518435140618E-12</v>
      </c>
      <c r="BG177" s="22">
        <f t="shared" si="168"/>
        <v>2.3728589156891171E-12</v>
      </c>
      <c r="BH177" s="62">
        <f t="shared" si="116"/>
        <v>293.3333333333357</v>
      </c>
      <c r="BI177" s="62">
        <f ca="1">AVERAGE(OFFSET($BH$3,0,0,'Données projet'!$E$11+1,1))-AVERAGE(OFFSET($H$3,0,0,'Données projet'!$E$11+1,1))</f>
        <v>182.06733089745194</v>
      </c>
      <c r="BJ177" s="62">
        <f t="shared" si="146"/>
        <v>320.36755413886021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3.4498752566758206</v>
      </c>
      <c r="BQ177" s="23">
        <f>EXP(-LN(2)/25)*BQ176+(1-EXP(-LN(2)/25))/(LN(2)/25)*Calculateur!BL177*Calculateur!BN177*VLOOKUP('Données projet'!$B$11,Paramètres!$A$1:$I$89,3,0)*0.475*44/12</f>
        <v>0.23448147838580541</v>
      </c>
      <c r="BR177" s="23">
        <f>EXP(-LN(2)/2)*BR176+(1-EXP(-LN(2)/2))/(LN(2)/2)*BL177*BO177*VLOOKUP('Données projet'!$B$11,Paramètres!$A$1:$I$89,3,0)*0.475*44/12</f>
        <v>1.5678244346258561E-19</v>
      </c>
      <c r="BS177" s="24">
        <f t="shared" si="169"/>
        <v>3.684356735061626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319.99999999999972</v>
      </c>
      <c r="BZ177" s="14">
        <f>BY177*VLOOKUP('Données projet'!$B$12,Paramètres!$A$1:$I$89,3,0)*VLOOKUP('Données projet'!$B$12,Paramètres!$A$1:$I$89,5,0)</f>
        <v>279.55199999999979</v>
      </c>
      <c r="CA177" s="14">
        <f t="shared" si="170"/>
        <v>66.872324781216591</v>
      </c>
      <c r="CB177" s="22">
        <f t="shared" si="171"/>
        <v>603.35569899395182</v>
      </c>
      <c r="CC177" s="62">
        <f t="shared" si="119"/>
        <v>896.68903232728508</v>
      </c>
      <c r="CD177" s="62">
        <f ca="1">AVERAGE(OFFSET($CC$3,0,0,'Données projet'!$E$12+1,1))-AVERAGE(OFFSET($H$3,0,0,'Données projet'!$E$12+1,1))</f>
        <v>248.60758320902863</v>
      </c>
      <c r="CE177" s="62">
        <f t="shared" si="148"/>
        <v>222.23585883330111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8.4105881391440036</v>
      </c>
      <c r="CL177" s="23">
        <f>EXP(-LN(2)/25)*CL176+(1-EXP(-LN(2)/25))/(LN(2)/25)*Calculateur!CG177*Calculateur!CI177*VLOOKUP('Données projet'!$B$12,Paramètres!$A$1:$I$89,3,0)*0.475*44/12</f>
        <v>0.53137141581197278</v>
      </c>
      <c r="CM177" s="23">
        <f>EXP(-LN(2)/2)*CM176+(1-EXP(-LN(2)/2))/(LN(2)/2)*CG177*CJ177*VLOOKUP('Données projet'!$B$12,Paramètres!$A$1:$I$89,3,0)*0.475*44/12</f>
        <v>1.3342663822974067E-14</v>
      </c>
      <c r="CN177" s="24">
        <f t="shared" si="172"/>
        <v>8.9419595549559912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193.99999999999994</v>
      </c>
      <c r="CU177" s="18">
        <f>CT177*VLOOKUP('Données projet'!$B$13,Paramètres!$A$1:$I$89,3,0)*VLOOKUP('Données projet'!$B$13,Paramètres!$A$1:$I$89,5,0)</f>
        <v>105.92399999999998</v>
      </c>
      <c r="CV177" s="14">
        <f t="shared" si="173"/>
        <v>28.36854701055546</v>
      </c>
      <c r="CW177" s="22">
        <f t="shared" si="174"/>
        <v>233.89285271005073</v>
      </c>
      <c r="CX177" s="62">
        <f t="shared" si="122"/>
        <v>527.22618604338402</v>
      </c>
      <c r="CY177" s="62">
        <f ca="1">AVERAGE(OFFSET($CX$3,0,0,'Données projet'!$E$13+1,1))-AVERAGE(OFFSET($H$3,0,0,'Données projet'!$E$13+1,1))</f>
        <v>135.44138026609272</v>
      </c>
      <c r="CZ177" s="62">
        <f t="shared" si="150"/>
        <v>254.77247578425659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3.815377341059123</v>
      </c>
      <c r="DG177" s="23">
        <f>EXP(-LN(2)/25)*DG176+(1-EXP(-LN(2)/25))/(LN(2)/25)*Calculateur!DB177*Calculateur!DD177*VLOOKUP('Données projet'!$B$13,Paramètres!$A$1:$I$89,3,0)*0.475*44/12</f>
        <v>0.83475482744234342</v>
      </c>
      <c r="DH177" s="23">
        <f>EXP(-LN(2)/2)*DH176+(1-EXP(-LN(2)/2))/(LN(2)/2)*DB177*DE177*VLOOKUP('Données projet'!$B$13,Paramètres!$A$1:$I$89,3,0)*0.475*44/12</f>
        <v>1.8010383025137577E-20</v>
      </c>
      <c r="DI177" s="24">
        <f t="shared" si="175"/>
        <v>4.6501321685014663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273.00000000000023</v>
      </c>
      <c r="DP177" s="18">
        <f>DO177*VLOOKUP('Données projet'!$B$14,Paramètres!$A$1:$I$89,3,0)*VLOOKUP('Données projet'!$B$14,Paramètres!$A$1:$I$89,5,0)</f>
        <v>264.04560000000021</v>
      </c>
      <c r="DQ177" s="14">
        <f t="shared" si="176"/>
        <v>63.583959929973794</v>
      </c>
      <c r="DR177" s="22">
        <f t="shared" si="177"/>
        <v>570.6214835447048</v>
      </c>
      <c r="DS177" s="62">
        <f t="shared" si="125"/>
        <v>863.95481687803817</v>
      </c>
      <c r="DT177" s="62">
        <f ca="1">AVERAGE(OFFSET($DS$3,0,0,'Données projet'!$E$14+1,1))-AVERAGE(OFFSET($H$3,0,0,'Données projet'!$E$14+1,1))</f>
        <v>271.09447278906288</v>
      </c>
      <c r="DU177" s="62">
        <f t="shared" si="152"/>
        <v>325.1094067861851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4.2333322268251692</v>
      </c>
      <c r="EB177" s="23">
        <f>EXP(-LN(2)/25)*EB176+(1-EXP(-LN(2)/25))/(LN(2)/25)*Calculateur!DW177*Calculateur!DY177*VLOOKUP('Données projet'!$B$14,Paramètres!$A$1:$I$89,3,0)*0.475*44/12</f>
        <v>0.31186345138741589</v>
      </c>
      <c r="EC177" s="23">
        <f>EXP(-LN(2)/2)*EC176+(1-EXP(-LN(2)/2))/(LN(2)/2)*DW177*DZ177*VLOOKUP('Données projet'!$B$14,Paramètres!$A$1:$I$89,3,0)*0.475*44/12</f>
        <v>4.2283964327380604E-17</v>
      </c>
      <c r="ED177" s="24">
        <f t="shared" si="178"/>
        <v>4.5451956782125853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273.00000000000023</v>
      </c>
      <c r="EK177" s="18">
        <f>EJ177*VLOOKUP('Données projet'!$B$15,Paramètres!$A$1:$I$89,3,0)*VLOOKUP('Données projet'!$B$15,Paramètres!$A$1:$I$89,5,0)</f>
        <v>293.85720000000026</v>
      </c>
      <c r="EL177" s="14">
        <f t="shared" si="179"/>
        <v>69.887150190339895</v>
      </c>
      <c r="EM177" s="22">
        <f t="shared" si="180"/>
        <v>633.52140991484237</v>
      </c>
      <c r="EN177" s="62">
        <f t="shared" si="128"/>
        <v>926.85474324817574</v>
      </c>
      <c r="EO177" s="62">
        <f ca="1">AVERAGE(OFFSET($EN$3,0,0,'Données projet'!$E$15+1,1))-AVERAGE(OFFSET($H$3,0,0,'Données projet'!$E$15+1,1))</f>
        <v>306.50593475734655</v>
      </c>
      <c r="EP177" s="62">
        <f t="shared" si="154"/>
        <v>366.48643801375079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4.711289091144141</v>
      </c>
      <c r="EW177" s="23">
        <f>EXP(-LN(2)/25)*EW176+(1-EXP(-LN(2)/25))/(LN(2)/25)*Calculateur!ER177*Calculateur!ET177*VLOOKUP('Données projet'!$B$15,Paramètres!$A$1:$I$89,3,0)*0.475*44/12</f>
        <v>0.34707384106018824</v>
      </c>
      <c r="EX177" s="23">
        <f>EXP(-LN(2)/2)*EX176+(1-EXP(-LN(2)/2))/(LN(2)/2)*ER177*EU177*VLOOKUP('Données projet'!$B$15,Paramètres!$A$1:$I$89,3,0)*0.475*44/12</f>
        <v>4.7057960299826775E-17</v>
      </c>
      <c r="EY177" s="24">
        <f t="shared" si="181"/>
        <v>5.0583629322043295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128.30999999999955</v>
      </c>
      <c r="D178" s="12">
        <f t="shared" si="140"/>
        <v>33.605553053307958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1249.874444622023</v>
      </c>
      <c r="H178" s="70">
        <f t="shared" si="110"/>
        <v>575.3362549011772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306.99999999999994</v>
      </c>
      <c r="O178" s="14">
        <f>N178*VLOOKUP('Données projet'!$B$9,Paramètres!$A$1:$I$89,3,0)*VLOOKUP('Données projet'!$B$9,Paramètres!$A$1:$I$89,5,0)</f>
        <v>277.77359999999993</v>
      </c>
      <c r="P178" s="14">
        <f t="shared" si="141"/>
        <v>66.496288176842356</v>
      </c>
      <c r="Q178" s="22">
        <f t="shared" si="162"/>
        <v>599.60338857466706</v>
      </c>
      <c r="R178" s="62">
        <f t="shared" si="109"/>
        <v>892.93672190800044</v>
      </c>
      <c r="S178" s="62">
        <f ca="1">AVERAGE(OFFSET($R$3,0,0,'Données projet'!$E$9+1,1))-AVERAGE(OFFSET($H$3,0,0,'Données projet'!$E$9+1,1))</f>
        <v>312.57314929661908</v>
      </c>
      <c r="T178" s="62">
        <f t="shared" si="142"/>
        <v>190.92100876773804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23.384412675175156</v>
      </c>
      <c r="AA178" s="23">
        <f>EXP(-LN(2)/25)*AA177+(1-EXP(-LN(2)/25))/(LN(2)/25)*Calculateur!V178*Calculateur!X178*VLOOKUP('Données projet'!$B$9,Paramètres!$A$1:$I$89,3,0)*0.475*44/12</f>
        <v>0.62846405726241605</v>
      </c>
      <c r="AB178" s="23">
        <f>EXP(-LN(2)/2)*AB177+(1-EXP(-LN(2)/2))/(LN(2)/2)*V178*Y178*VLOOKUP('Données projet'!$B$9,Paramètres!$A$1:$I$89,3,0)*0.475*44/12</f>
        <v>1.4031904126646254E-9</v>
      </c>
      <c r="AC178" s="24">
        <f t="shared" si="163"/>
        <v>24.012876733840763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306.99999999999994</v>
      </c>
      <c r="AJ178" s="14">
        <f>AI178*VLOOKUP('Données projet'!$B$10,Paramètres!$A$1:$I$89,3,0)*VLOOKUP('Données projet'!$B$10,Paramètres!$A$1:$I$89,5,0)</f>
        <v>311.298</v>
      </c>
      <c r="AK178" s="14">
        <f t="shared" si="164"/>
        <v>73.539838278528748</v>
      </c>
      <c r="AL178" s="22">
        <f t="shared" si="165"/>
        <v>670.25923500177089</v>
      </c>
      <c r="AM178" s="62">
        <f t="shared" si="113"/>
        <v>963.59256833510426</v>
      </c>
      <c r="AN178" s="62">
        <f ca="1">AVERAGE(OFFSET($AM$3,0,0,'Données projet'!$E$10+1,1))-AVERAGE(OFFSET($H$3,0,0,'Données projet'!$E$10+1,1))</f>
        <v>360.56293184044779</v>
      </c>
      <c r="AO178" s="62">
        <f t="shared" si="144"/>
        <v>219.32252911220542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26.206669377351449</v>
      </c>
      <c r="AV178" s="23">
        <f>EXP(-LN(2)/25)*AV177+(1-EXP(-LN(2)/25))/(LN(2)/25)*Calculateur!AQ178*Calculateur!AS178*VLOOKUP('Données projet'!$B$10,Paramètres!$A$1:$I$89,3,0)*0.475*44/12</f>
        <v>0.70431316762167318</v>
      </c>
      <c r="AW178" s="23">
        <f>EXP(-LN(2)/2)*AW177+(1-EXP(-LN(2)/2))/(LN(2)/2)*AQ178*AT178*VLOOKUP('Données projet'!$B$10,Paramètres!$A$1:$I$89,3,0)*0.475*44/12</f>
        <v>1.5725409797103564E-9</v>
      </c>
      <c r="AX178" s="23">
        <f t="shared" si="166"/>
        <v>26.910982546545664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1.1368683772161603E-13</v>
      </c>
      <c r="BE178" s="14">
        <f>BD178*VLOOKUP('Données projet'!$B$11,Paramètres!$A$1:$I$89,3,0)*VLOOKUP('Données projet'!$B$11,Paramètres!$A$1:$I$89,5,0)</f>
        <v>8.3355189417488869E-14</v>
      </c>
      <c r="BF178" s="14">
        <f t="shared" si="167"/>
        <v>1.2790518435140618E-12</v>
      </c>
      <c r="BG178" s="22">
        <f t="shared" si="168"/>
        <v>2.3728589156891171E-12</v>
      </c>
      <c r="BH178" s="62">
        <f t="shared" si="116"/>
        <v>293.3333333333357</v>
      </c>
      <c r="BI178" s="62">
        <f ca="1">AVERAGE(OFFSET($BH$3,0,0,'Données projet'!$E$11+1,1))-AVERAGE(OFFSET($H$3,0,0,'Données projet'!$E$11+1,1))</f>
        <v>182.06733089745194</v>
      </c>
      <c r="BJ178" s="62">
        <f t="shared" si="146"/>
        <v>320.36755413886021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3.3822253071085404</v>
      </c>
      <c r="BQ178" s="23">
        <f>EXP(-LN(2)/25)*BQ177+(1-EXP(-LN(2)/25))/(LN(2)/25)*Calculateur!BL178*Calculateur!BN178*VLOOKUP('Données projet'!$B$11,Paramètres!$A$1:$I$89,3,0)*0.475*44/12</f>
        <v>0.22806957002850053</v>
      </c>
      <c r="BR178" s="23">
        <f>EXP(-LN(2)/2)*BR177+(1-EXP(-LN(2)/2))/(LN(2)/2)*BL178*BO178*VLOOKUP('Données projet'!$B$11,Paramètres!$A$1:$I$89,3,0)*0.475*44/12</f>
        <v>1.1086192894339078E-19</v>
      </c>
      <c r="BS178" s="24">
        <f t="shared" si="169"/>
        <v>3.6102948771370409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319.99999999999972</v>
      </c>
      <c r="BZ178" s="14">
        <f>BY178*VLOOKUP('Données projet'!$B$12,Paramètres!$A$1:$I$89,3,0)*VLOOKUP('Données projet'!$B$12,Paramètres!$A$1:$I$89,5,0)</f>
        <v>279.55199999999979</v>
      </c>
      <c r="CA178" s="14">
        <f t="shared" si="170"/>
        <v>66.872324781216591</v>
      </c>
      <c r="CB178" s="22">
        <f t="shared" si="171"/>
        <v>603.35569899395182</v>
      </c>
      <c r="CC178" s="62">
        <f t="shared" si="119"/>
        <v>896.68903232728508</v>
      </c>
      <c r="CD178" s="62">
        <f ca="1">AVERAGE(OFFSET($CC$3,0,0,'Données projet'!$E$12+1,1))-AVERAGE(OFFSET($H$3,0,0,'Données projet'!$E$12+1,1))</f>
        <v>248.60758320902863</v>
      </c>
      <c r="CE178" s="62">
        <f t="shared" si="148"/>
        <v>222.23585883330111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8.2456616356876147</v>
      </c>
      <c r="CL178" s="23">
        <f>EXP(-LN(2)/25)*CL177+(1-EXP(-LN(2)/25))/(LN(2)/25)*Calculateur!CG178*Calculateur!CI178*VLOOKUP('Données projet'!$B$12,Paramètres!$A$1:$I$89,3,0)*0.475*44/12</f>
        <v>0.51684103650298607</v>
      </c>
      <c r="CM178" s="23">
        <f>EXP(-LN(2)/2)*CM177+(1-EXP(-LN(2)/2))/(LN(2)/2)*CG178*CJ178*VLOOKUP('Données projet'!$B$12,Paramètres!$A$1:$I$89,3,0)*0.475*44/12</f>
        <v>9.4346880683173871E-15</v>
      </c>
      <c r="CN178" s="24">
        <f t="shared" si="172"/>
        <v>8.7625026721906103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193.99999999999994</v>
      </c>
      <c r="CU178" s="18">
        <f>CT178*VLOOKUP('Données projet'!$B$13,Paramètres!$A$1:$I$89,3,0)*VLOOKUP('Données projet'!$B$13,Paramètres!$A$1:$I$89,5,0)</f>
        <v>105.92399999999998</v>
      </c>
      <c r="CV178" s="14">
        <f t="shared" si="173"/>
        <v>28.36854701055546</v>
      </c>
      <c r="CW178" s="22">
        <f t="shared" si="174"/>
        <v>233.89285271005073</v>
      </c>
      <c r="CX178" s="62">
        <f t="shared" si="122"/>
        <v>527.22618604338402</v>
      </c>
      <c r="CY178" s="62">
        <f ca="1">AVERAGE(OFFSET($CX$3,0,0,'Données projet'!$E$13+1,1))-AVERAGE(OFFSET($H$3,0,0,'Données projet'!$E$13+1,1))</f>
        <v>135.44138026609272</v>
      </c>
      <c r="CZ178" s="62">
        <f t="shared" si="150"/>
        <v>254.77247578425659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3.7405601185513446</v>
      </c>
      <c r="DG178" s="23">
        <f>EXP(-LN(2)/25)*DG177+(1-EXP(-LN(2)/25))/(LN(2)/25)*Calculateur!DB178*Calculateur!DD178*VLOOKUP('Données projet'!$B$13,Paramètres!$A$1:$I$89,3,0)*0.475*44/12</f>
        <v>0.81192841278808403</v>
      </c>
      <c r="DH178" s="23">
        <f>EXP(-LN(2)/2)*DH177+(1-EXP(-LN(2)/2))/(LN(2)/2)*DB178*DE178*VLOOKUP('Données projet'!$B$13,Paramètres!$A$1:$I$89,3,0)*0.475*44/12</f>
        <v>1.2735263968841867E-20</v>
      </c>
      <c r="DI178" s="24">
        <f t="shared" si="175"/>
        <v>4.5524885313394288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273.00000000000023</v>
      </c>
      <c r="DP178" s="18">
        <f>DO178*VLOOKUP('Données projet'!$B$14,Paramètres!$A$1:$I$89,3,0)*VLOOKUP('Données projet'!$B$14,Paramètres!$A$1:$I$89,5,0)</f>
        <v>264.04560000000021</v>
      </c>
      <c r="DQ178" s="14">
        <f t="shared" si="176"/>
        <v>63.583959929973794</v>
      </c>
      <c r="DR178" s="22">
        <f t="shared" si="177"/>
        <v>570.6214835447048</v>
      </c>
      <c r="DS178" s="62">
        <f t="shared" si="125"/>
        <v>863.95481687803817</v>
      </c>
      <c r="DT178" s="62">
        <f ca="1">AVERAGE(OFFSET($DS$3,0,0,'Données projet'!$E$14+1,1))-AVERAGE(OFFSET($H$3,0,0,'Données projet'!$E$14+1,1))</f>
        <v>271.09447278906288</v>
      </c>
      <c r="DU178" s="62">
        <f t="shared" si="152"/>
        <v>325.1094067861851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4.1503191639348271</v>
      </c>
      <c r="EB178" s="23">
        <f>EXP(-LN(2)/25)*EB177+(1-EXP(-LN(2)/25))/(LN(2)/25)*Calculateur!DW178*Calculateur!DY178*VLOOKUP('Données projet'!$B$14,Paramètres!$A$1:$I$89,3,0)*0.475*44/12</f>
        <v>0.30333552890904086</v>
      </c>
      <c r="EC178" s="23">
        <f>EXP(-LN(2)/2)*EC177+(1-EXP(-LN(2)/2))/(LN(2)/2)*DW178*DZ178*VLOOKUP('Données projet'!$B$14,Paramètres!$A$1:$I$89,3,0)*0.475*44/12</f>
        <v>2.9899277911340897E-17</v>
      </c>
      <c r="ED178" s="24">
        <f t="shared" si="178"/>
        <v>4.4536546928438678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273.00000000000023</v>
      </c>
      <c r="EK178" s="18">
        <f>EJ178*VLOOKUP('Données projet'!$B$15,Paramètres!$A$1:$I$89,3,0)*VLOOKUP('Données projet'!$B$15,Paramètres!$A$1:$I$89,5,0)</f>
        <v>293.85720000000026</v>
      </c>
      <c r="EL178" s="14">
        <f t="shared" si="179"/>
        <v>69.887150190339895</v>
      </c>
      <c r="EM178" s="22">
        <f t="shared" si="180"/>
        <v>633.52140991484237</v>
      </c>
      <c r="EN178" s="62">
        <f t="shared" si="128"/>
        <v>926.85474324817574</v>
      </c>
      <c r="EO178" s="62">
        <f ca="1">AVERAGE(OFFSET($EN$3,0,0,'Données projet'!$E$15+1,1))-AVERAGE(OFFSET($H$3,0,0,'Données projet'!$E$15+1,1))</f>
        <v>306.50593475734655</v>
      </c>
      <c r="EP178" s="62">
        <f t="shared" si="154"/>
        <v>366.48643801375079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4.618903585669405</v>
      </c>
      <c r="EW178" s="23">
        <f>EXP(-LN(2)/25)*EW177+(1-EXP(-LN(2)/25))/(LN(2)/25)*Calculateur!ER178*Calculateur!ET178*VLOOKUP('Données projet'!$B$15,Paramètres!$A$1:$I$89,3,0)*0.475*44/12</f>
        <v>0.33758308862457731</v>
      </c>
      <c r="EX178" s="23">
        <f>EXP(-LN(2)/2)*EX177+(1-EXP(-LN(2)/2))/(LN(2)/2)*ER178*EU178*VLOOKUP('Données projet'!$B$15,Paramètres!$A$1:$I$89,3,0)*0.475*44/12</f>
        <v>3.3275002836814852E-17</v>
      </c>
      <c r="EY178" s="24">
        <f t="shared" si="181"/>
        <v>4.9564866742939824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129.04319999999956</v>
      </c>
      <c r="D179" s="12">
        <f t="shared" si="140"/>
        <v>33.7751759806373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1256.8436040610566</v>
      </c>
      <c r="H179" s="70">
        <f t="shared" si="110"/>
        <v>576.90867149960923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306.99999999999994</v>
      </c>
      <c r="O179" s="14">
        <f>N179*VLOOKUP('Données projet'!$B$9,Paramètres!$A$1:$I$89,3,0)*VLOOKUP('Données projet'!$B$9,Paramètres!$A$1:$I$89,5,0)</f>
        <v>277.77359999999993</v>
      </c>
      <c r="P179" s="14">
        <f t="shared" si="141"/>
        <v>66.496288176842356</v>
      </c>
      <c r="Q179" s="22">
        <f t="shared" si="162"/>
        <v>599.60338857466706</v>
      </c>
      <c r="R179" s="62">
        <f t="shared" si="109"/>
        <v>892.93672190800044</v>
      </c>
      <c r="S179" s="62">
        <f ca="1">AVERAGE(OFFSET($R$3,0,0,'Données projet'!$E$9+1,1))-AVERAGE(OFFSET($H$3,0,0,'Données projet'!$E$9+1,1))</f>
        <v>312.57314929661908</v>
      </c>
      <c r="T179" s="62">
        <f t="shared" si="142"/>
        <v>190.92100876773804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22.925858605698341</v>
      </c>
      <c r="AA179" s="23">
        <f>EXP(-LN(2)/25)*AA178+(1-EXP(-LN(2)/25))/(LN(2)/25)*Calculateur!V179*Calculateur!X179*VLOOKUP('Données projet'!$B$9,Paramètres!$A$1:$I$89,3,0)*0.475*44/12</f>
        <v>0.61127867456708684</v>
      </c>
      <c r="AB179" s="23">
        <f>EXP(-LN(2)/2)*AB178+(1-EXP(-LN(2)/2))/(LN(2)/2)*V179*Y179*VLOOKUP('Données projet'!$B$9,Paramètres!$A$1:$I$89,3,0)*0.475*44/12</f>
        <v>9.922054560911066E-10</v>
      </c>
      <c r="AC179" s="24">
        <f t="shared" si="163"/>
        <v>23.537137281257632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306.99999999999994</v>
      </c>
      <c r="AJ179" s="14">
        <f>AI179*VLOOKUP('Données projet'!$B$10,Paramètres!$A$1:$I$89,3,0)*VLOOKUP('Données projet'!$B$10,Paramètres!$A$1:$I$89,5,0)</f>
        <v>311.298</v>
      </c>
      <c r="AK179" s="14">
        <f t="shared" si="164"/>
        <v>73.539838278528748</v>
      </c>
      <c r="AL179" s="22">
        <f t="shared" si="165"/>
        <v>670.25923500177089</v>
      </c>
      <c r="AM179" s="62">
        <f t="shared" si="113"/>
        <v>963.59256833510426</v>
      </c>
      <c r="AN179" s="62">
        <f ca="1">AVERAGE(OFFSET($AM$3,0,0,'Données projet'!$E$10+1,1))-AVERAGE(OFFSET($H$3,0,0,'Données projet'!$E$10+1,1))</f>
        <v>360.56293184044779</v>
      </c>
      <c r="AO179" s="62">
        <f t="shared" si="144"/>
        <v>219.32252911220542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25.692772575351569</v>
      </c>
      <c r="AV179" s="23">
        <f>EXP(-LN(2)/25)*AV178+(1-EXP(-LN(2)/25))/(LN(2)/25)*Calculateur!AQ179*Calculateur!AS179*VLOOKUP('Données projet'!$B$10,Paramètres!$A$1:$I$89,3,0)*0.475*44/12</f>
        <v>0.68505368701483882</v>
      </c>
      <c r="AW179" s="23">
        <f>EXP(-LN(2)/2)*AW178+(1-EXP(-LN(2)/2))/(LN(2)/2)*AQ179*AT179*VLOOKUP('Données projet'!$B$10,Paramètres!$A$1:$I$89,3,0)*0.475*44/12</f>
        <v>1.11195439044693E-9</v>
      </c>
      <c r="AX179" s="23">
        <f t="shared" si="166"/>
        <v>26.377826263478362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1.1368683772161603E-13</v>
      </c>
      <c r="BE179" s="14">
        <f>BD179*VLOOKUP('Données projet'!$B$11,Paramètres!$A$1:$I$89,3,0)*VLOOKUP('Données projet'!$B$11,Paramètres!$A$1:$I$89,5,0)</f>
        <v>8.3355189417488869E-14</v>
      </c>
      <c r="BF179" s="14">
        <f t="shared" si="167"/>
        <v>1.2790518435140618E-12</v>
      </c>
      <c r="BG179" s="22">
        <f t="shared" si="168"/>
        <v>2.3728589156891171E-12</v>
      </c>
      <c r="BH179" s="62">
        <f t="shared" si="116"/>
        <v>293.3333333333357</v>
      </c>
      <c r="BI179" s="62">
        <f ca="1">AVERAGE(OFFSET($BH$3,0,0,'Données projet'!$E$11+1,1))-AVERAGE(OFFSET($H$3,0,0,'Données projet'!$E$11+1,1))</f>
        <v>182.06733089745194</v>
      </c>
      <c r="BJ179" s="62">
        <f t="shared" si="146"/>
        <v>320.36755413886021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3.3159019317898797</v>
      </c>
      <c r="BQ179" s="23">
        <f>EXP(-LN(2)/25)*BQ178+(1-EXP(-LN(2)/25))/(LN(2)/25)*Calculateur!BL179*Calculateur!BN179*VLOOKUP('Données projet'!$B$11,Paramètres!$A$1:$I$89,3,0)*0.475*44/12</f>
        <v>0.22183299564241377</v>
      </c>
      <c r="BR179" s="23">
        <f>EXP(-LN(2)/2)*BR178+(1-EXP(-LN(2)/2))/(LN(2)/2)*BL179*BO179*VLOOKUP('Données projet'!$B$11,Paramètres!$A$1:$I$89,3,0)*0.475*44/12</f>
        <v>7.8391221731292806E-20</v>
      </c>
      <c r="BS179" s="24">
        <f t="shared" si="169"/>
        <v>3.5377349274322936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319.99999999999972</v>
      </c>
      <c r="BZ179" s="14">
        <f>BY179*VLOOKUP('Données projet'!$B$12,Paramètres!$A$1:$I$89,3,0)*VLOOKUP('Données projet'!$B$12,Paramètres!$A$1:$I$89,5,0)</f>
        <v>279.55199999999979</v>
      </c>
      <c r="CA179" s="14">
        <f t="shared" si="170"/>
        <v>66.872324781216591</v>
      </c>
      <c r="CB179" s="22">
        <f t="shared" si="171"/>
        <v>603.35569899395182</v>
      </c>
      <c r="CC179" s="62">
        <f t="shared" si="119"/>
        <v>896.68903232728508</v>
      </c>
      <c r="CD179" s="62">
        <f ca="1">AVERAGE(OFFSET($CC$3,0,0,'Données projet'!$E$12+1,1))-AVERAGE(OFFSET($H$3,0,0,'Données projet'!$E$12+1,1))</f>
        <v>248.60758320902863</v>
      </c>
      <c r="CE179" s="62">
        <f t="shared" si="148"/>
        <v>222.23585883330111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8.08396924036877</v>
      </c>
      <c r="CL179" s="23">
        <f>EXP(-LN(2)/25)*CL178+(1-EXP(-LN(2)/25))/(LN(2)/25)*Calculateur!CG179*Calculateur!CI179*VLOOKUP('Données projet'!$B$12,Paramètres!$A$1:$I$89,3,0)*0.475*44/12</f>
        <v>0.50270799118032305</v>
      </c>
      <c r="CM179" s="23">
        <f>EXP(-LN(2)/2)*CM178+(1-EXP(-LN(2)/2))/(LN(2)/2)*CG179*CJ179*VLOOKUP('Données projet'!$B$12,Paramètres!$A$1:$I$89,3,0)*0.475*44/12</f>
        <v>6.6713319114870335E-15</v>
      </c>
      <c r="CN179" s="24">
        <f t="shared" si="172"/>
        <v>8.5866772315490998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193.99999999999994</v>
      </c>
      <c r="CU179" s="18">
        <f>CT179*VLOOKUP('Données projet'!$B$13,Paramètres!$A$1:$I$89,3,0)*VLOOKUP('Données projet'!$B$13,Paramètres!$A$1:$I$89,5,0)</f>
        <v>105.92399999999998</v>
      </c>
      <c r="CV179" s="14">
        <f t="shared" si="173"/>
        <v>28.36854701055546</v>
      </c>
      <c r="CW179" s="22">
        <f t="shared" si="174"/>
        <v>233.89285271005073</v>
      </c>
      <c r="CX179" s="62">
        <f t="shared" si="122"/>
        <v>527.22618604338402</v>
      </c>
      <c r="CY179" s="62">
        <f ca="1">AVERAGE(OFFSET($CX$3,0,0,'Données projet'!$E$13+1,1))-AVERAGE(OFFSET($H$3,0,0,'Données projet'!$E$13+1,1))</f>
        <v>135.44138026609272</v>
      </c>
      <c r="CZ179" s="62">
        <f t="shared" si="150"/>
        <v>254.77247578425659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3.6672100161429442</v>
      </c>
      <c r="DG179" s="23">
        <f>EXP(-LN(2)/25)*DG178+(1-EXP(-LN(2)/25))/(LN(2)/25)*Calculateur!DB179*Calculateur!DD179*VLOOKUP('Données projet'!$B$13,Paramètres!$A$1:$I$89,3,0)*0.475*44/12</f>
        <v>0.78972618764293434</v>
      </c>
      <c r="DH179" s="23">
        <f>EXP(-LN(2)/2)*DH178+(1-EXP(-LN(2)/2))/(LN(2)/2)*DB179*DE179*VLOOKUP('Données projet'!$B$13,Paramètres!$A$1:$I$89,3,0)*0.475*44/12</f>
        <v>9.0051915125687887E-21</v>
      </c>
      <c r="DI179" s="24">
        <f t="shared" si="175"/>
        <v>4.4569362037858786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273.00000000000023</v>
      </c>
      <c r="DP179" s="18">
        <f>DO179*VLOOKUP('Données projet'!$B$14,Paramètres!$A$1:$I$89,3,0)*VLOOKUP('Données projet'!$B$14,Paramètres!$A$1:$I$89,5,0)</f>
        <v>264.04560000000021</v>
      </c>
      <c r="DQ179" s="14">
        <f t="shared" si="176"/>
        <v>63.583959929973794</v>
      </c>
      <c r="DR179" s="22">
        <f t="shared" si="177"/>
        <v>570.6214835447048</v>
      </c>
      <c r="DS179" s="62">
        <f t="shared" si="125"/>
        <v>863.95481687803817</v>
      </c>
      <c r="DT179" s="62">
        <f ca="1">AVERAGE(OFFSET($DS$3,0,0,'Données projet'!$E$14+1,1))-AVERAGE(OFFSET($H$3,0,0,'Données projet'!$E$14+1,1))</f>
        <v>271.09447278906288</v>
      </c>
      <c r="DU179" s="62">
        <f t="shared" si="152"/>
        <v>325.1094067861851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4.0689339365747959</v>
      </c>
      <c r="EB179" s="23">
        <f>EXP(-LN(2)/25)*EB178+(1-EXP(-LN(2)/25))/(LN(2)/25)*Calculateur!DW179*Calculateur!DY179*VLOOKUP('Données projet'!$B$14,Paramètres!$A$1:$I$89,3,0)*0.475*44/12</f>
        <v>0.29504080291930096</v>
      </c>
      <c r="EC179" s="23">
        <f>EXP(-LN(2)/2)*EC178+(1-EXP(-LN(2)/2))/(LN(2)/2)*DW179*DZ179*VLOOKUP('Données projet'!$B$14,Paramètres!$A$1:$I$89,3,0)*0.475*44/12</f>
        <v>2.1141982163690302E-17</v>
      </c>
      <c r="ED179" s="24">
        <f t="shared" si="178"/>
        <v>4.3639747394940969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273.00000000000023</v>
      </c>
      <c r="EK179" s="18">
        <f>EJ179*VLOOKUP('Données projet'!$B$15,Paramètres!$A$1:$I$89,3,0)*VLOOKUP('Données projet'!$B$15,Paramètres!$A$1:$I$89,5,0)</f>
        <v>293.85720000000026</v>
      </c>
      <c r="EL179" s="14">
        <f t="shared" si="179"/>
        <v>69.887150190339895</v>
      </c>
      <c r="EM179" s="22">
        <f t="shared" si="180"/>
        <v>633.52140991484237</v>
      </c>
      <c r="EN179" s="62">
        <f t="shared" si="128"/>
        <v>926.85474324817574</v>
      </c>
      <c r="EO179" s="62">
        <f ca="1">AVERAGE(OFFSET($EN$3,0,0,'Données projet'!$E$15+1,1))-AVERAGE(OFFSET($H$3,0,0,'Données projet'!$E$15+1,1))</f>
        <v>306.50593475734655</v>
      </c>
      <c r="EP179" s="62">
        <f t="shared" si="154"/>
        <v>366.48643801375079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4.5283297036074348</v>
      </c>
      <c r="EW179" s="23">
        <f>EXP(-LN(2)/25)*EW178+(1-EXP(-LN(2)/25))/(LN(2)/25)*Calculateur!ER179*Calculateur!ET179*VLOOKUP('Données projet'!$B$15,Paramètres!$A$1:$I$89,3,0)*0.475*44/12</f>
        <v>0.32835186131341515</v>
      </c>
      <c r="EX179" s="23">
        <f>EXP(-LN(2)/2)*EX178+(1-EXP(-LN(2)/2))/(LN(2)/2)*ER179*EU179*VLOOKUP('Données projet'!$B$15,Paramètres!$A$1:$I$89,3,0)*0.475*44/12</f>
        <v>2.3528980149913388E-17</v>
      </c>
      <c r="EY179" s="24">
        <f t="shared" si="181"/>
        <v>4.8566815649208497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129.77639999999957</v>
      </c>
      <c r="D180" s="12">
        <f t="shared" si="140"/>
        <v>33.944686761980805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1263.8118978117782</v>
      </c>
      <c r="H180" s="70">
        <f t="shared" si="110"/>
        <v>578.48089277711574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306.99999999999994</v>
      </c>
      <c r="O180" s="14">
        <f>N180*VLOOKUP('Données projet'!$B$9,Paramètres!$A$1:$I$89,3,0)*VLOOKUP('Données projet'!$B$9,Paramètres!$A$1:$I$89,5,0)</f>
        <v>277.77359999999993</v>
      </c>
      <c r="P180" s="14">
        <f t="shared" si="141"/>
        <v>66.496288176842356</v>
      </c>
      <c r="Q180" s="22">
        <f t="shared" si="162"/>
        <v>599.60338857466706</v>
      </c>
      <c r="R180" s="62">
        <f t="shared" si="109"/>
        <v>892.93672190800044</v>
      </c>
      <c r="S180" s="62">
        <f ca="1">AVERAGE(OFFSET($R$3,0,0,'Données projet'!$E$9+1,1))-AVERAGE(OFFSET($H$3,0,0,'Données projet'!$E$9+1,1))</f>
        <v>312.57314929661908</v>
      </c>
      <c r="T180" s="62">
        <f t="shared" si="142"/>
        <v>190.92100876773804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22.476296501833602</v>
      </c>
      <c r="AA180" s="23">
        <f>EXP(-LN(2)/25)*AA179+(1-EXP(-LN(2)/25))/(LN(2)/25)*Calculateur!V180*Calculateur!X180*VLOOKUP('Données projet'!$B$9,Paramètres!$A$1:$I$89,3,0)*0.475*44/12</f>
        <v>0.5945632270653014</v>
      </c>
      <c r="AB180" s="23">
        <f>EXP(-LN(2)/2)*AB179+(1-EXP(-LN(2)/2))/(LN(2)/2)*V180*Y180*VLOOKUP('Données projet'!$B$9,Paramètres!$A$1:$I$89,3,0)*0.475*44/12</f>
        <v>7.015952063323127E-10</v>
      </c>
      <c r="AC180" s="24">
        <f t="shared" si="163"/>
        <v>23.070859729600496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306.99999999999994</v>
      </c>
      <c r="AJ180" s="14">
        <f>AI180*VLOOKUP('Données projet'!$B$10,Paramètres!$A$1:$I$89,3,0)*VLOOKUP('Données projet'!$B$10,Paramètres!$A$1:$I$89,5,0)</f>
        <v>311.298</v>
      </c>
      <c r="AK180" s="14">
        <f t="shared" si="164"/>
        <v>73.539838278528748</v>
      </c>
      <c r="AL180" s="22">
        <f t="shared" si="165"/>
        <v>670.25923500177089</v>
      </c>
      <c r="AM180" s="62">
        <f t="shared" si="113"/>
        <v>963.59256833510426</v>
      </c>
      <c r="AN180" s="62">
        <f ca="1">AVERAGE(OFFSET($AM$3,0,0,'Données projet'!$E$10+1,1))-AVERAGE(OFFSET($H$3,0,0,'Données projet'!$E$10+1,1))</f>
        <v>360.56293184044779</v>
      </c>
      <c r="AO180" s="62">
        <f t="shared" si="144"/>
        <v>219.32252911220542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25.188952976192809</v>
      </c>
      <c r="AV180" s="23">
        <f>EXP(-LN(2)/25)*AV179+(1-EXP(-LN(2)/25))/(LN(2)/25)*Calculateur!AQ180*Calculateur!AS180*VLOOKUP('Données projet'!$B$10,Paramètres!$A$1:$I$89,3,0)*0.475*44/12</f>
        <v>0.66632085791801032</v>
      </c>
      <c r="AW180" s="23">
        <f>EXP(-LN(2)/2)*AW179+(1-EXP(-LN(2)/2))/(LN(2)/2)*AQ180*AT180*VLOOKUP('Données projet'!$B$10,Paramètres!$A$1:$I$89,3,0)*0.475*44/12</f>
        <v>7.8627048985517818E-10</v>
      </c>
      <c r="AX180" s="23">
        <f t="shared" si="166"/>
        <v>25.855273834897087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1.1368683772161603E-13</v>
      </c>
      <c r="BE180" s="14">
        <f>BD180*VLOOKUP('Données projet'!$B$11,Paramètres!$A$1:$I$89,3,0)*VLOOKUP('Données projet'!$B$11,Paramètres!$A$1:$I$89,5,0)</f>
        <v>8.3355189417488869E-14</v>
      </c>
      <c r="BF180" s="14">
        <f t="shared" si="167"/>
        <v>1.2790518435140618E-12</v>
      </c>
      <c r="BG180" s="22">
        <f t="shared" si="168"/>
        <v>2.3728589156891171E-12</v>
      </c>
      <c r="BH180" s="62">
        <f t="shared" si="116"/>
        <v>293.3333333333357</v>
      </c>
      <c r="BI180" s="62">
        <f ca="1">AVERAGE(OFFSET($BH$3,0,0,'Données projet'!$E$11+1,1))-AVERAGE(OFFSET($H$3,0,0,'Données projet'!$E$11+1,1))</f>
        <v>182.06733089745194</v>
      </c>
      <c r="BJ180" s="62">
        <f t="shared" si="146"/>
        <v>320.36755413886021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3.250879117407953</v>
      </c>
      <c r="BQ180" s="23">
        <f>EXP(-LN(2)/25)*BQ179+(1-EXP(-LN(2)/25))/(LN(2)/25)*Calculateur!BL180*Calculateur!BN180*VLOOKUP('Données projet'!$B$11,Paramètres!$A$1:$I$89,3,0)*0.475*44/12</f>
        <v>0.21576696071088172</v>
      </c>
      <c r="BR180" s="23">
        <f>EXP(-LN(2)/2)*BR179+(1-EXP(-LN(2)/2))/(LN(2)/2)*BL180*BO180*VLOOKUP('Données projet'!$B$11,Paramètres!$A$1:$I$89,3,0)*0.475*44/12</f>
        <v>5.5430964471695392E-20</v>
      </c>
      <c r="BS180" s="24">
        <f t="shared" si="169"/>
        <v>3.4666460781188349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319.99999999999972</v>
      </c>
      <c r="BZ180" s="14">
        <f>BY180*VLOOKUP('Données projet'!$B$12,Paramètres!$A$1:$I$89,3,0)*VLOOKUP('Données projet'!$B$12,Paramètres!$A$1:$I$89,5,0)</f>
        <v>279.55199999999979</v>
      </c>
      <c r="CA180" s="14">
        <f t="shared" si="170"/>
        <v>66.872324781216591</v>
      </c>
      <c r="CB180" s="22">
        <f t="shared" si="171"/>
        <v>603.35569899395182</v>
      </c>
      <c r="CC180" s="62">
        <f t="shared" si="119"/>
        <v>896.68903232728508</v>
      </c>
      <c r="CD180" s="62">
        <f ca="1">AVERAGE(OFFSET($CC$3,0,0,'Données projet'!$E$12+1,1))-AVERAGE(OFFSET($H$3,0,0,'Données projet'!$E$12+1,1))</f>
        <v>248.60758320902863</v>
      </c>
      <c r="CE180" s="62">
        <f t="shared" si="148"/>
        <v>222.23585883330111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7.9254475342995052</v>
      </c>
      <c r="CL180" s="23">
        <f>EXP(-LN(2)/25)*CL179+(1-EXP(-LN(2)/25))/(LN(2)/25)*Calculateur!CG180*Calculateur!CI180*VLOOKUP('Données projet'!$B$12,Paramètres!$A$1:$I$89,3,0)*0.475*44/12</f>
        <v>0.4889614147252328</v>
      </c>
      <c r="CM180" s="23">
        <f>EXP(-LN(2)/2)*CM179+(1-EXP(-LN(2)/2))/(LN(2)/2)*CG180*CJ180*VLOOKUP('Données projet'!$B$12,Paramètres!$A$1:$I$89,3,0)*0.475*44/12</f>
        <v>4.7173440341586936E-15</v>
      </c>
      <c r="CN180" s="24">
        <f t="shared" si="172"/>
        <v>8.4144089490247431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193.99999999999994</v>
      </c>
      <c r="CU180" s="18">
        <f>CT180*VLOOKUP('Données projet'!$B$13,Paramètres!$A$1:$I$89,3,0)*VLOOKUP('Données projet'!$B$13,Paramètres!$A$1:$I$89,5,0)</f>
        <v>105.92399999999998</v>
      </c>
      <c r="CV180" s="14">
        <f t="shared" si="173"/>
        <v>28.36854701055546</v>
      </c>
      <c r="CW180" s="22">
        <f t="shared" si="174"/>
        <v>233.89285271005073</v>
      </c>
      <c r="CX180" s="62">
        <f t="shared" si="122"/>
        <v>527.22618604338402</v>
      </c>
      <c r="CY180" s="62">
        <f ca="1">AVERAGE(OFFSET($CX$3,0,0,'Données projet'!$E$13+1,1))-AVERAGE(OFFSET($H$3,0,0,'Données projet'!$E$13+1,1))</f>
        <v>135.44138026609272</v>
      </c>
      <c r="CZ180" s="62">
        <f t="shared" si="150"/>
        <v>254.77247578425659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3.5952982645036275</v>
      </c>
      <c r="DG180" s="23">
        <f>EXP(-LN(2)/25)*DG179+(1-EXP(-LN(2)/25))/(LN(2)/25)*Calculateur!DB180*Calculateur!DD180*VLOOKUP('Données projet'!$B$13,Paramètres!$A$1:$I$89,3,0)*0.475*44/12</f>
        <v>0.76813108351194304</v>
      </c>
      <c r="DH180" s="23">
        <f>EXP(-LN(2)/2)*DH179+(1-EXP(-LN(2)/2))/(LN(2)/2)*DB180*DE180*VLOOKUP('Données projet'!$B$13,Paramètres!$A$1:$I$89,3,0)*0.475*44/12</f>
        <v>6.3676319844209334E-21</v>
      </c>
      <c r="DI180" s="24">
        <f t="shared" si="175"/>
        <v>4.3634293480155701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273.00000000000023</v>
      </c>
      <c r="DP180" s="18">
        <f>DO180*VLOOKUP('Données projet'!$B$14,Paramètres!$A$1:$I$89,3,0)*VLOOKUP('Données projet'!$B$14,Paramètres!$A$1:$I$89,5,0)</f>
        <v>264.04560000000021</v>
      </c>
      <c r="DQ180" s="14">
        <f t="shared" si="176"/>
        <v>63.583959929973794</v>
      </c>
      <c r="DR180" s="22">
        <f t="shared" si="177"/>
        <v>570.6214835447048</v>
      </c>
      <c r="DS180" s="62">
        <f t="shared" si="125"/>
        <v>863.95481687803817</v>
      </c>
      <c r="DT180" s="62">
        <f ca="1">AVERAGE(OFFSET($DS$3,0,0,'Données projet'!$E$14+1,1))-AVERAGE(OFFSET($H$3,0,0,'Données projet'!$E$14+1,1))</f>
        <v>271.09447278906288</v>
      </c>
      <c r="DU180" s="62">
        <f t="shared" si="152"/>
        <v>325.1094067861851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3.9891446238832073</v>
      </c>
      <c r="EB180" s="23">
        <f>EXP(-LN(2)/25)*EB179+(1-EXP(-LN(2)/25))/(LN(2)/25)*Calculateur!DW180*Calculateur!DY180*VLOOKUP('Données projet'!$B$14,Paramètres!$A$1:$I$89,3,0)*0.475*44/12</f>
        <v>0.28697289664795117</v>
      </c>
      <c r="EC180" s="23">
        <f>EXP(-LN(2)/2)*EC179+(1-EXP(-LN(2)/2))/(LN(2)/2)*DW180*DZ180*VLOOKUP('Données projet'!$B$14,Paramètres!$A$1:$I$89,3,0)*0.475*44/12</f>
        <v>1.4949638955670449E-17</v>
      </c>
      <c r="ED180" s="24">
        <f t="shared" si="178"/>
        <v>4.2761175205311588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273.00000000000023</v>
      </c>
      <c r="EK180" s="18">
        <f>EJ180*VLOOKUP('Données projet'!$B$15,Paramètres!$A$1:$I$89,3,0)*VLOOKUP('Données projet'!$B$15,Paramètres!$A$1:$I$89,5,0)</f>
        <v>293.85720000000026</v>
      </c>
      <c r="EL180" s="14">
        <f t="shared" si="179"/>
        <v>69.887150190339895</v>
      </c>
      <c r="EM180" s="22">
        <f t="shared" si="180"/>
        <v>633.52140991484237</v>
      </c>
      <c r="EN180" s="62">
        <f t="shared" si="128"/>
        <v>926.85474324817574</v>
      </c>
      <c r="EO180" s="62">
        <f ca="1">AVERAGE(OFFSET($EN$3,0,0,'Données projet'!$E$15+1,1))-AVERAGE(OFFSET($H$3,0,0,'Données projet'!$E$15+1,1))</f>
        <v>306.50593475734655</v>
      </c>
      <c r="EP180" s="62">
        <f t="shared" si="154"/>
        <v>366.48643801375079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4.4395319201280863</v>
      </c>
      <c r="EW180" s="23">
        <f>EXP(-LN(2)/25)*EW179+(1-EXP(-LN(2)/25))/(LN(2)/25)*Calculateur!ER180*Calculateur!ET180*VLOOKUP('Données projet'!$B$15,Paramètres!$A$1:$I$89,3,0)*0.475*44/12</f>
        <v>0.31937306239852586</v>
      </c>
      <c r="EX180" s="23">
        <f>EXP(-LN(2)/2)*EX179+(1-EXP(-LN(2)/2))/(LN(2)/2)*ER180*EU180*VLOOKUP('Données projet'!$B$15,Paramètres!$A$1:$I$89,3,0)*0.475*44/12</f>
        <v>1.6637501418407426E-17</v>
      </c>
      <c r="EY180" s="24">
        <f t="shared" si="181"/>
        <v>4.7589049825266123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130.50959999999958</v>
      </c>
      <c r="D181" s="12">
        <f t="shared" si="140"/>
        <v>34.114086104456895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1270.7793313326467</v>
      </c>
      <c r="H181" s="70">
        <f t="shared" si="110"/>
        <v>580.05291996526171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306.99999999999994</v>
      </c>
      <c r="O181" s="14">
        <f>N181*VLOOKUP('Données projet'!$B$9,Paramètres!$A$1:$I$89,3,0)*VLOOKUP('Données projet'!$B$9,Paramètres!$A$1:$I$89,5,0)</f>
        <v>277.77359999999993</v>
      </c>
      <c r="P181" s="14">
        <f t="shared" si="141"/>
        <v>66.496288176842356</v>
      </c>
      <c r="Q181" s="22">
        <f t="shared" si="162"/>
        <v>599.60338857466706</v>
      </c>
      <c r="R181" s="62">
        <f t="shared" si="109"/>
        <v>892.93672190800044</v>
      </c>
      <c r="S181" s="62">
        <f ca="1">AVERAGE(OFFSET($R$3,0,0,'Données projet'!$E$9+1,1))-AVERAGE(OFFSET($H$3,0,0,'Données projet'!$E$9+1,1))</f>
        <v>312.57314929661908</v>
      </c>
      <c r="T181" s="62">
        <f t="shared" si="142"/>
        <v>190.92100876773804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22.035550036619842</v>
      </c>
      <c r="AA181" s="23">
        <f>EXP(-LN(2)/25)*AA180+(1-EXP(-LN(2)/25))/(LN(2)/25)*Calculateur!V181*Calculateur!X181*VLOOKUP('Données projet'!$B$9,Paramètres!$A$1:$I$89,3,0)*0.475*44/12</f>
        <v>0.57830486435447948</v>
      </c>
      <c r="AB181" s="23">
        <f>EXP(-LN(2)/2)*AB180+(1-EXP(-LN(2)/2))/(LN(2)/2)*V181*Y181*VLOOKUP('Données projet'!$B$9,Paramètres!$A$1:$I$89,3,0)*0.475*44/12</f>
        <v>4.961027280455533E-10</v>
      </c>
      <c r="AC181" s="24">
        <f t="shared" si="163"/>
        <v>22.613854901470425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306.99999999999994</v>
      </c>
      <c r="AJ181" s="14">
        <f>AI181*VLOOKUP('Données projet'!$B$10,Paramètres!$A$1:$I$89,3,0)*VLOOKUP('Données projet'!$B$10,Paramètres!$A$1:$I$89,5,0)</f>
        <v>311.298</v>
      </c>
      <c r="AK181" s="14">
        <f t="shared" si="164"/>
        <v>73.539838278528748</v>
      </c>
      <c r="AL181" s="22">
        <f t="shared" si="165"/>
        <v>670.25923500177089</v>
      </c>
      <c r="AM181" s="62">
        <f t="shared" si="113"/>
        <v>963.59256833510426</v>
      </c>
      <c r="AN181" s="62">
        <f ca="1">AVERAGE(OFFSET($AM$3,0,0,'Données projet'!$E$10+1,1))-AVERAGE(OFFSET($H$3,0,0,'Données projet'!$E$10+1,1))</f>
        <v>360.56293184044779</v>
      </c>
      <c r="AO181" s="62">
        <f t="shared" si="144"/>
        <v>219.32252911220542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24.69501297207394</v>
      </c>
      <c r="AV181" s="23">
        <f>EXP(-LN(2)/25)*AV180+(1-EXP(-LN(2)/25))/(LN(2)/25)*Calculateur!AQ181*Calculateur!AS181*VLOOKUP('Données projet'!$B$10,Paramètres!$A$1:$I$89,3,0)*0.475*44/12</f>
        <v>0.64810027901795131</v>
      </c>
      <c r="AW181" s="23">
        <f>EXP(-LN(2)/2)*AW180+(1-EXP(-LN(2)/2))/(LN(2)/2)*AQ181*AT181*VLOOKUP('Données projet'!$B$10,Paramètres!$A$1:$I$89,3,0)*0.475*44/12</f>
        <v>5.5597719522346501E-10</v>
      </c>
      <c r="AX181" s="23">
        <f t="shared" si="166"/>
        <v>25.343113251647871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1.1368683772161603E-13</v>
      </c>
      <c r="BE181" s="14">
        <f>BD181*VLOOKUP('Données projet'!$B$11,Paramètres!$A$1:$I$89,3,0)*VLOOKUP('Données projet'!$B$11,Paramètres!$A$1:$I$89,5,0)</f>
        <v>8.3355189417488869E-14</v>
      </c>
      <c r="BF181" s="14">
        <f t="shared" si="167"/>
        <v>1.2790518435140618E-12</v>
      </c>
      <c r="BG181" s="22">
        <f t="shared" si="168"/>
        <v>2.3728589156891171E-12</v>
      </c>
      <c r="BH181" s="62">
        <f t="shared" si="116"/>
        <v>293.3333333333357</v>
      </c>
      <c r="BI181" s="62">
        <f ca="1">AVERAGE(OFFSET($BH$3,0,0,'Données projet'!$E$11+1,1))-AVERAGE(OFFSET($H$3,0,0,'Données projet'!$E$11+1,1))</f>
        <v>182.06733089745194</v>
      </c>
      <c r="BJ181" s="62">
        <f t="shared" si="146"/>
        <v>320.36755413886021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3.1871313607560556</v>
      </c>
      <c r="BQ181" s="23">
        <f>EXP(-LN(2)/25)*BQ180+(1-EXP(-LN(2)/25))/(LN(2)/25)*Calculateur!BL181*Calculateur!BN181*VLOOKUP('Données projet'!$B$11,Paramètres!$A$1:$I$89,3,0)*0.475*44/12</f>
        <v>0.20986680182355133</v>
      </c>
      <c r="BR181" s="23">
        <f>EXP(-LN(2)/2)*BR180+(1-EXP(-LN(2)/2))/(LN(2)/2)*BL181*BO181*VLOOKUP('Données projet'!$B$11,Paramètres!$A$1:$I$89,3,0)*0.475*44/12</f>
        <v>3.9195610865646403E-20</v>
      </c>
      <c r="BS181" s="24">
        <f t="shared" si="169"/>
        <v>3.3969981625796071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319.99999999999972</v>
      </c>
      <c r="BZ181" s="14">
        <f>BY181*VLOOKUP('Données projet'!$B$12,Paramètres!$A$1:$I$89,3,0)*VLOOKUP('Données projet'!$B$12,Paramètres!$A$1:$I$89,5,0)</f>
        <v>279.55199999999979</v>
      </c>
      <c r="CA181" s="14">
        <f t="shared" si="170"/>
        <v>66.872324781216591</v>
      </c>
      <c r="CB181" s="22">
        <f t="shared" si="171"/>
        <v>603.35569899395182</v>
      </c>
      <c r="CC181" s="62">
        <f t="shared" si="119"/>
        <v>896.68903232728508</v>
      </c>
      <c r="CD181" s="62">
        <f ca="1">AVERAGE(OFFSET($CC$3,0,0,'Données projet'!$E$12+1,1))-AVERAGE(OFFSET($H$3,0,0,'Données projet'!$E$12+1,1))</f>
        <v>248.60758320902863</v>
      </c>
      <c r="CE181" s="62">
        <f t="shared" si="148"/>
        <v>222.23585883330111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7.7700343421975653</v>
      </c>
      <c r="CL181" s="23">
        <f>EXP(-LN(2)/25)*CL180+(1-EXP(-LN(2)/25))/(LN(2)/25)*Calculateur!CG181*Calculateur!CI181*VLOOKUP('Données projet'!$B$12,Paramètres!$A$1:$I$89,3,0)*0.475*44/12</f>
        <v>0.47559073912620803</v>
      </c>
      <c r="CM181" s="23">
        <f>EXP(-LN(2)/2)*CM180+(1-EXP(-LN(2)/2))/(LN(2)/2)*CG181*CJ181*VLOOKUP('Données projet'!$B$12,Paramètres!$A$1:$I$89,3,0)*0.475*44/12</f>
        <v>3.3356659557435168E-15</v>
      </c>
      <c r="CN181" s="24">
        <f t="shared" si="172"/>
        <v>8.2456250813237766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193.99999999999994</v>
      </c>
      <c r="CU181" s="18">
        <f>CT181*VLOOKUP('Données projet'!$B$13,Paramètres!$A$1:$I$89,3,0)*VLOOKUP('Données projet'!$B$13,Paramètres!$A$1:$I$89,5,0)</f>
        <v>105.92399999999998</v>
      </c>
      <c r="CV181" s="14">
        <f t="shared" si="173"/>
        <v>28.36854701055546</v>
      </c>
      <c r="CW181" s="22">
        <f t="shared" si="174"/>
        <v>233.89285271005073</v>
      </c>
      <c r="CX181" s="62">
        <f t="shared" si="122"/>
        <v>527.22618604338402</v>
      </c>
      <c r="CY181" s="62">
        <f ca="1">AVERAGE(OFFSET($CX$3,0,0,'Données projet'!$E$13+1,1))-AVERAGE(OFFSET($H$3,0,0,'Données projet'!$E$13+1,1))</f>
        <v>135.44138026609272</v>
      </c>
      <c r="CZ181" s="62">
        <f t="shared" si="150"/>
        <v>254.77247578425659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3.5247966584521202</v>
      </c>
      <c r="DG181" s="23">
        <f>EXP(-LN(2)/25)*DG180+(1-EXP(-LN(2)/25))/(LN(2)/25)*Calculateur!DB181*Calculateur!DD181*VLOOKUP('Données projet'!$B$13,Paramètres!$A$1:$I$89,3,0)*0.475*44/12</f>
        <v>0.7471264986390509</v>
      </c>
      <c r="DH181" s="23">
        <f>EXP(-LN(2)/2)*DH180+(1-EXP(-LN(2)/2))/(LN(2)/2)*DB181*DE181*VLOOKUP('Données projet'!$B$13,Paramètres!$A$1:$I$89,3,0)*0.475*44/12</f>
        <v>4.5025957562843943E-21</v>
      </c>
      <c r="DI181" s="24">
        <f t="shared" si="175"/>
        <v>4.2719231570911713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273.00000000000023</v>
      </c>
      <c r="DP181" s="18">
        <f>DO181*VLOOKUP('Données projet'!$B$14,Paramètres!$A$1:$I$89,3,0)*VLOOKUP('Données projet'!$B$14,Paramètres!$A$1:$I$89,5,0)</f>
        <v>264.04560000000021</v>
      </c>
      <c r="DQ181" s="14">
        <f t="shared" si="176"/>
        <v>63.583959929973794</v>
      </c>
      <c r="DR181" s="22">
        <f t="shared" si="177"/>
        <v>570.6214835447048</v>
      </c>
      <c r="DS181" s="62">
        <f t="shared" si="125"/>
        <v>863.95481687803817</v>
      </c>
      <c r="DT181" s="62">
        <f ca="1">AVERAGE(OFFSET($DS$3,0,0,'Données projet'!$E$14+1,1))-AVERAGE(OFFSET($H$3,0,0,'Données projet'!$E$14+1,1))</f>
        <v>271.09447278906288</v>
      </c>
      <c r="DU181" s="62">
        <f t="shared" si="152"/>
        <v>325.1094067861851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3.9109199309468257</v>
      </c>
      <c r="EB181" s="23">
        <f>EXP(-LN(2)/25)*EB180+(1-EXP(-LN(2)/25))/(LN(2)/25)*Calculateur!DW181*Calculateur!DY181*VLOOKUP('Données projet'!$B$14,Paramètres!$A$1:$I$89,3,0)*0.475*44/12</f>
        <v>0.27912560769786421</v>
      </c>
      <c r="EC181" s="23">
        <f>EXP(-LN(2)/2)*EC180+(1-EXP(-LN(2)/2))/(LN(2)/2)*DW181*DZ181*VLOOKUP('Données projet'!$B$14,Paramètres!$A$1:$I$89,3,0)*0.475*44/12</f>
        <v>1.0570991081845151E-17</v>
      </c>
      <c r="ED181" s="24">
        <f t="shared" si="178"/>
        <v>4.1900455386446902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273.00000000000023</v>
      </c>
      <c r="EK181" s="18">
        <f>EJ181*VLOOKUP('Données projet'!$B$15,Paramètres!$A$1:$I$89,3,0)*VLOOKUP('Données projet'!$B$15,Paramètres!$A$1:$I$89,5,0)</f>
        <v>293.85720000000026</v>
      </c>
      <c r="EL181" s="14">
        <f t="shared" si="179"/>
        <v>69.887150190339895</v>
      </c>
      <c r="EM181" s="22">
        <f t="shared" si="180"/>
        <v>633.52140991484237</v>
      </c>
      <c r="EN181" s="62">
        <f t="shared" si="128"/>
        <v>926.85474324817574</v>
      </c>
      <c r="EO181" s="62">
        <f ca="1">AVERAGE(OFFSET($EN$3,0,0,'Données projet'!$E$15+1,1))-AVERAGE(OFFSET($H$3,0,0,'Données projet'!$E$15+1,1))</f>
        <v>306.50593475734655</v>
      </c>
      <c r="EP181" s="62">
        <f t="shared" si="154"/>
        <v>366.48643801375079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4.3524754070214682</v>
      </c>
      <c r="EW181" s="23">
        <f>EXP(-LN(2)/25)*EW180+(1-EXP(-LN(2)/25))/(LN(2)/25)*Calculateur!ER181*Calculateur!ET181*VLOOKUP('Données projet'!$B$15,Paramètres!$A$1:$I$89,3,0)*0.475*44/12</f>
        <v>0.31063978921213875</v>
      </c>
      <c r="EX181" s="23">
        <f>EXP(-LN(2)/2)*EX180+(1-EXP(-LN(2)/2))/(LN(2)/2)*ER181*EU181*VLOOKUP('Données projet'!$B$15,Paramètres!$A$1:$I$89,3,0)*0.475*44/12</f>
        <v>1.1764490074956694E-17</v>
      </c>
      <c r="EY181" s="24">
        <f t="shared" si="181"/>
        <v>4.6631151962336066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131.24279999999959</v>
      </c>
      <c r="D182" s="12">
        <f t="shared" si="140"/>
        <v>34.283374706778957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1277.745910017238</v>
      </c>
      <c r="H182" s="70">
        <f t="shared" si="110"/>
        <v>581.62475428097252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306.99999999999994</v>
      </c>
      <c r="O182" s="14">
        <f>N182*VLOOKUP('Données projet'!$B$9,Paramètres!$A$1:$I$89,3,0)*VLOOKUP('Données projet'!$B$9,Paramètres!$A$1:$I$89,5,0)</f>
        <v>277.77359999999993</v>
      </c>
      <c r="P182" s="14">
        <f t="shared" si="141"/>
        <v>66.496288176842356</v>
      </c>
      <c r="Q182" s="22">
        <f t="shared" si="162"/>
        <v>599.60338857466706</v>
      </c>
      <c r="R182" s="62">
        <f t="shared" si="109"/>
        <v>892.93672190800044</v>
      </c>
      <c r="S182" s="62">
        <f ca="1">AVERAGE(OFFSET($R$3,0,0,'Données projet'!$E$9+1,1))-AVERAGE(OFFSET($H$3,0,0,'Données projet'!$E$9+1,1))</f>
        <v>312.57314929661908</v>
      </c>
      <c r="T182" s="62">
        <f t="shared" si="142"/>
        <v>190.92100876773804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21.603446340760126</v>
      </c>
      <c r="AA182" s="23">
        <f>EXP(-LN(2)/25)*AA181+(1-EXP(-LN(2)/25))/(LN(2)/25)*Calculateur!V182*Calculateur!X182*VLOOKUP('Données projet'!$B$9,Paramètres!$A$1:$I$89,3,0)*0.475*44/12</f>
        <v>0.56249108742697518</v>
      </c>
      <c r="AB182" s="23">
        <f>EXP(-LN(2)/2)*AB181+(1-EXP(-LN(2)/2))/(LN(2)/2)*V182*Y182*VLOOKUP('Données projet'!$B$9,Paramètres!$A$1:$I$89,3,0)*0.475*44/12</f>
        <v>3.5079760316615635E-10</v>
      </c>
      <c r="AC182" s="24">
        <f t="shared" si="163"/>
        <v>22.165937428537898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306.99999999999994</v>
      </c>
      <c r="AJ182" s="14">
        <f>AI182*VLOOKUP('Données projet'!$B$10,Paramètres!$A$1:$I$89,3,0)*VLOOKUP('Données projet'!$B$10,Paramètres!$A$1:$I$89,5,0)</f>
        <v>311.298</v>
      </c>
      <c r="AK182" s="14">
        <f t="shared" si="164"/>
        <v>73.539838278528748</v>
      </c>
      <c r="AL182" s="22">
        <f t="shared" si="165"/>
        <v>670.25923500177089</v>
      </c>
      <c r="AM182" s="62">
        <f t="shared" si="113"/>
        <v>963.59256833510426</v>
      </c>
      <c r="AN182" s="62">
        <f ca="1">AVERAGE(OFFSET($AM$3,0,0,'Données projet'!$E$10+1,1))-AVERAGE(OFFSET($H$3,0,0,'Données projet'!$E$10+1,1))</f>
        <v>360.56293184044779</v>
      </c>
      <c r="AO182" s="62">
        <f t="shared" si="144"/>
        <v>219.32252911220542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24.210758830162188</v>
      </c>
      <c r="AV182" s="23">
        <f>EXP(-LN(2)/25)*AV181+(1-EXP(-LN(2)/25))/(LN(2)/25)*Calculateur!AQ182*Calculateur!AS182*VLOOKUP('Données projet'!$B$10,Paramètres!$A$1:$I$89,3,0)*0.475*44/12</f>
        <v>0.63037794280609305</v>
      </c>
      <c r="AW182" s="23">
        <f>EXP(-LN(2)/2)*AW181+(1-EXP(-LN(2)/2))/(LN(2)/2)*AQ182*AT182*VLOOKUP('Données projet'!$B$10,Paramètres!$A$1:$I$89,3,0)*0.475*44/12</f>
        <v>3.9313524492758909E-10</v>
      </c>
      <c r="AX182" s="23">
        <f t="shared" si="166"/>
        <v>24.841136773361416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1.1368683772161603E-13</v>
      </c>
      <c r="BE182" s="14">
        <f>BD182*VLOOKUP('Données projet'!$B$11,Paramètres!$A$1:$I$89,3,0)*VLOOKUP('Données projet'!$B$11,Paramètres!$A$1:$I$89,5,0)</f>
        <v>8.3355189417488869E-14</v>
      </c>
      <c r="BF182" s="14">
        <f t="shared" si="167"/>
        <v>1.2790518435140618E-12</v>
      </c>
      <c r="BG182" s="22">
        <f t="shared" si="168"/>
        <v>2.3728589156891171E-12</v>
      </c>
      <c r="BH182" s="62">
        <f t="shared" si="116"/>
        <v>293.3333333333357</v>
      </c>
      <c r="BI182" s="62">
        <f ca="1">AVERAGE(OFFSET($BH$3,0,0,'Données projet'!$E$11+1,1))-AVERAGE(OFFSET($H$3,0,0,'Données projet'!$E$11+1,1))</f>
        <v>182.06733089745194</v>
      </c>
      <c r="BJ182" s="62">
        <f t="shared" si="146"/>
        <v>320.36755413886021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3.1246336587298096</v>
      </c>
      <c r="BQ182" s="23">
        <f>EXP(-LN(2)/25)*BQ181+(1-EXP(-LN(2)/25))/(LN(2)/25)*Calculateur!BL182*Calculateur!BN182*VLOOKUP('Données projet'!$B$11,Paramètres!$A$1:$I$89,3,0)*0.475*44/12</f>
        <v>0.20412798309127086</v>
      </c>
      <c r="BR182" s="23">
        <f>EXP(-LN(2)/2)*BR181+(1-EXP(-LN(2)/2))/(LN(2)/2)*BL182*BO182*VLOOKUP('Données projet'!$B$11,Paramètres!$A$1:$I$89,3,0)*0.475*44/12</f>
        <v>2.7715482235847696E-20</v>
      </c>
      <c r="BS182" s="24">
        <f t="shared" si="169"/>
        <v>3.3287616418210804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319.99999999999972</v>
      </c>
      <c r="BZ182" s="14">
        <f>BY182*VLOOKUP('Données projet'!$B$12,Paramètres!$A$1:$I$89,3,0)*VLOOKUP('Données projet'!$B$12,Paramètres!$A$1:$I$89,5,0)</f>
        <v>279.55199999999979</v>
      </c>
      <c r="CA182" s="14">
        <f t="shared" si="170"/>
        <v>66.872324781216591</v>
      </c>
      <c r="CB182" s="22">
        <f t="shared" si="171"/>
        <v>603.35569899395182</v>
      </c>
      <c r="CC182" s="62">
        <f t="shared" si="119"/>
        <v>896.68903232728508</v>
      </c>
      <c r="CD182" s="62">
        <f ca="1">AVERAGE(OFFSET($CC$3,0,0,'Données projet'!$E$12+1,1))-AVERAGE(OFFSET($H$3,0,0,'Données projet'!$E$12+1,1))</f>
        <v>248.60758320902863</v>
      </c>
      <c r="CE182" s="62">
        <f t="shared" si="148"/>
        <v>222.23585883330111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7.6176687080000578</v>
      </c>
      <c r="CL182" s="23">
        <f>EXP(-LN(2)/25)*CL181+(1-EXP(-LN(2)/25))/(LN(2)/25)*Calculateur!CG182*Calculateur!CI182*VLOOKUP('Données projet'!$B$12,Paramètres!$A$1:$I$89,3,0)*0.475*44/12</f>
        <v>0.4625856853545719</v>
      </c>
      <c r="CM182" s="23">
        <f>EXP(-LN(2)/2)*CM181+(1-EXP(-LN(2)/2))/(LN(2)/2)*CG182*CJ182*VLOOKUP('Données projet'!$B$12,Paramètres!$A$1:$I$89,3,0)*0.475*44/12</f>
        <v>2.3586720170793468E-15</v>
      </c>
      <c r="CN182" s="24">
        <f t="shared" si="172"/>
        <v>8.0802543933546307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193.99999999999994</v>
      </c>
      <c r="CU182" s="18">
        <f>CT182*VLOOKUP('Données projet'!$B$13,Paramètres!$A$1:$I$89,3,0)*VLOOKUP('Données projet'!$B$13,Paramètres!$A$1:$I$89,5,0)</f>
        <v>105.92399999999998</v>
      </c>
      <c r="CV182" s="14">
        <f t="shared" si="173"/>
        <v>28.36854701055546</v>
      </c>
      <c r="CW182" s="22">
        <f t="shared" si="174"/>
        <v>233.89285271005073</v>
      </c>
      <c r="CX182" s="62">
        <f t="shared" si="122"/>
        <v>527.22618604338402</v>
      </c>
      <c r="CY182" s="62">
        <f ca="1">AVERAGE(OFFSET($CX$3,0,0,'Données projet'!$E$13+1,1))-AVERAGE(OFFSET($H$3,0,0,'Données projet'!$E$13+1,1))</f>
        <v>135.44138026609272</v>
      </c>
      <c r="CZ182" s="62">
        <f t="shared" si="150"/>
        <v>254.77247578425659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3.4556775458935496</v>
      </c>
      <c r="DG182" s="23">
        <f>EXP(-LN(2)/25)*DG181+(1-EXP(-LN(2)/25))/(LN(2)/25)*Calculateur!DB182*Calculateur!DD182*VLOOKUP('Données projet'!$B$13,Paramètres!$A$1:$I$89,3,0)*0.475*44/12</f>
        <v>0.72669628524409102</v>
      </c>
      <c r="DH182" s="23">
        <f>EXP(-LN(2)/2)*DH181+(1-EXP(-LN(2)/2))/(LN(2)/2)*DB182*DE182*VLOOKUP('Données projet'!$B$13,Paramètres!$A$1:$I$89,3,0)*0.475*44/12</f>
        <v>3.1838159922104667E-21</v>
      </c>
      <c r="DI182" s="24">
        <f t="shared" si="175"/>
        <v>4.1823738311376406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273.00000000000023</v>
      </c>
      <c r="DP182" s="18">
        <f>DO182*VLOOKUP('Données projet'!$B$14,Paramètres!$A$1:$I$89,3,0)*VLOOKUP('Données projet'!$B$14,Paramètres!$A$1:$I$89,5,0)</f>
        <v>264.04560000000021</v>
      </c>
      <c r="DQ182" s="14">
        <f t="shared" si="176"/>
        <v>63.583959929973794</v>
      </c>
      <c r="DR182" s="22">
        <f t="shared" si="177"/>
        <v>570.6214835447048</v>
      </c>
      <c r="DS182" s="62">
        <f t="shared" si="125"/>
        <v>863.95481687803817</v>
      </c>
      <c r="DT182" s="62">
        <f ca="1">AVERAGE(OFFSET($DS$3,0,0,'Données projet'!$E$14+1,1))-AVERAGE(OFFSET($H$3,0,0,'Données projet'!$E$14+1,1))</f>
        <v>271.09447278906288</v>
      </c>
      <c r="DU182" s="62">
        <f t="shared" si="152"/>
        <v>325.1094067861851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3.8342291765265752</v>
      </c>
      <c r="EB182" s="23">
        <f>EXP(-LN(2)/25)*EB181+(1-EXP(-LN(2)/25))/(LN(2)/25)*Calculateur!DW182*Calculateur!DY182*VLOOKUP('Données projet'!$B$14,Paramètres!$A$1:$I$89,3,0)*0.475*44/12</f>
        <v>0.27149290327678838</v>
      </c>
      <c r="EC182" s="23">
        <f>EXP(-LN(2)/2)*EC181+(1-EXP(-LN(2)/2))/(LN(2)/2)*DW182*DZ182*VLOOKUP('Données projet'!$B$14,Paramètres!$A$1:$I$89,3,0)*0.475*44/12</f>
        <v>7.4748194778352243E-18</v>
      </c>
      <c r="ED182" s="24">
        <f t="shared" si="178"/>
        <v>4.105722079803364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273.00000000000023</v>
      </c>
      <c r="EK182" s="18">
        <f>EJ182*VLOOKUP('Données projet'!$B$15,Paramètres!$A$1:$I$89,3,0)*VLOOKUP('Données projet'!$B$15,Paramètres!$A$1:$I$89,5,0)</f>
        <v>293.85720000000026</v>
      </c>
      <c r="EL182" s="14">
        <f t="shared" si="179"/>
        <v>69.887150190339895</v>
      </c>
      <c r="EM182" s="22">
        <f t="shared" si="180"/>
        <v>633.52140991484237</v>
      </c>
      <c r="EN182" s="62">
        <f t="shared" si="128"/>
        <v>926.85474324817574</v>
      </c>
      <c r="EO182" s="62">
        <f ca="1">AVERAGE(OFFSET($EN$3,0,0,'Données projet'!$E$15+1,1))-AVERAGE(OFFSET($H$3,0,0,'Données projet'!$E$15+1,1))</f>
        <v>306.50593475734655</v>
      </c>
      <c r="EP182" s="62">
        <f t="shared" si="154"/>
        <v>366.48643801375079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4.267126019037641</v>
      </c>
      <c r="EW182" s="23">
        <f>EXP(-LN(2)/25)*EW181+(1-EXP(-LN(2)/25))/(LN(2)/25)*Calculateur!ER182*Calculateur!ET182*VLOOKUP('Données projet'!$B$15,Paramètres!$A$1:$I$89,3,0)*0.475*44/12</f>
        <v>0.3021453278402963</v>
      </c>
      <c r="EX182" s="23">
        <f>EXP(-LN(2)/2)*EX181+(1-EXP(-LN(2)/2))/(LN(2)/2)*ER182*EU182*VLOOKUP('Données projet'!$B$15,Paramètres!$A$1:$I$89,3,0)*0.475*44/12</f>
        <v>8.3187507092037129E-18</v>
      </c>
      <c r="EY182" s="24">
        <f t="shared" si="181"/>
        <v>4.5692713468779376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131.9759999999996</v>
      </c>
      <c r="D183" s="12">
        <f t="shared" si="140"/>
        <v>34.452553259401881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1284.7116391953803</v>
      </c>
      <c r="H183" s="70">
        <f t="shared" si="110"/>
        <v>583.19639692679084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306.99999999999994</v>
      </c>
      <c r="O183" s="14">
        <f>N183*VLOOKUP('Données projet'!$B$9,Paramètres!$A$1:$I$89,3,0)*VLOOKUP('Données projet'!$B$9,Paramètres!$A$1:$I$89,5,0)</f>
        <v>277.77359999999993</v>
      </c>
      <c r="P183" s="14">
        <f t="shared" si="141"/>
        <v>66.496288176842356</v>
      </c>
      <c r="Q183" s="22">
        <f t="shared" si="162"/>
        <v>599.60338857466706</v>
      </c>
      <c r="R183" s="62">
        <f t="shared" si="109"/>
        <v>892.93672190800044</v>
      </c>
      <c r="S183" s="62">
        <f ca="1">AVERAGE(OFFSET($R$3,0,0,'Données projet'!$E$9+1,1))-AVERAGE(OFFSET($H$3,0,0,'Données projet'!$E$9+1,1))</f>
        <v>312.57314929661908</v>
      </c>
      <c r="T183" s="62">
        <f t="shared" si="142"/>
        <v>190.92100876773804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21.179815934818986</v>
      </c>
      <c r="AA183" s="23">
        <f>EXP(-LN(2)/25)*AA182+(1-EXP(-LN(2)/25))/(LN(2)/25)*Calculateur!V183*Calculateur!X183*VLOOKUP('Données projet'!$B$9,Paramètres!$A$1:$I$89,3,0)*0.475*44/12</f>
        <v>0.54710973906116389</v>
      </c>
      <c r="AB183" s="23">
        <f>EXP(-LN(2)/2)*AB182+(1-EXP(-LN(2)/2))/(LN(2)/2)*V183*Y183*VLOOKUP('Données projet'!$B$9,Paramètres!$A$1:$I$89,3,0)*0.475*44/12</f>
        <v>2.4805136402277665E-10</v>
      </c>
      <c r="AC183" s="24">
        <f t="shared" si="163"/>
        <v>21.7269256741282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306.99999999999994</v>
      </c>
      <c r="AJ183" s="14">
        <f>AI183*VLOOKUP('Données projet'!$B$10,Paramètres!$A$1:$I$89,3,0)*VLOOKUP('Données projet'!$B$10,Paramètres!$A$1:$I$89,5,0)</f>
        <v>311.298</v>
      </c>
      <c r="AK183" s="14">
        <f t="shared" si="164"/>
        <v>73.539838278528748</v>
      </c>
      <c r="AL183" s="22">
        <f t="shared" si="165"/>
        <v>670.25923500177089</v>
      </c>
      <c r="AM183" s="62">
        <f t="shared" si="113"/>
        <v>963.59256833510426</v>
      </c>
      <c r="AN183" s="62">
        <f ca="1">AVERAGE(OFFSET($AM$3,0,0,'Données projet'!$E$10+1,1))-AVERAGE(OFFSET($H$3,0,0,'Données projet'!$E$10+1,1))</f>
        <v>360.56293184044779</v>
      </c>
      <c r="AO183" s="62">
        <f t="shared" si="144"/>
        <v>219.32252911220542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23.736000616607463</v>
      </c>
      <c r="AV183" s="23">
        <f>EXP(-LN(2)/25)*AV182+(1-EXP(-LN(2)/25))/(LN(2)/25)*Calculateur!AQ183*Calculateur!AS183*VLOOKUP('Données projet'!$B$10,Paramètres!$A$1:$I$89,3,0)*0.475*44/12</f>
        <v>0.61314022480992514</v>
      </c>
      <c r="AW183" s="23">
        <f>EXP(-LN(2)/2)*AW182+(1-EXP(-LN(2)/2))/(LN(2)/2)*AQ183*AT183*VLOOKUP('Données projet'!$B$10,Paramètres!$A$1:$I$89,3,0)*0.475*44/12</f>
        <v>2.779885976117325E-10</v>
      </c>
      <c r="AX183" s="23">
        <f t="shared" si="166"/>
        <v>24.349140841695377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1.1368683772161603E-13</v>
      </c>
      <c r="BE183" s="14">
        <f>BD183*VLOOKUP('Données projet'!$B$11,Paramètres!$A$1:$I$89,3,0)*VLOOKUP('Données projet'!$B$11,Paramètres!$A$1:$I$89,5,0)</f>
        <v>8.3355189417488869E-14</v>
      </c>
      <c r="BF183" s="14">
        <f t="shared" si="167"/>
        <v>1.2790518435140618E-12</v>
      </c>
      <c r="BG183" s="22">
        <f t="shared" si="168"/>
        <v>2.3728589156891171E-12</v>
      </c>
      <c r="BH183" s="62">
        <f t="shared" si="116"/>
        <v>293.3333333333357</v>
      </c>
      <c r="BI183" s="62">
        <f ca="1">AVERAGE(OFFSET($BH$3,0,0,'Données projet'!$E$11+1,1))-AVERAGE(OFFSET($H$3,0,0,'Données projet'!$E$11+1,1))</f>
        <v>182.06733089745194</v>
      </c>
      <c r="BJ183" s="62">
        <f t="shared" si="146"/>
        <v>320.36755413886021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3.063361498520464</v>
      </c>
      <c r="BQ183" s="23">
        <f>EXP(-LN(2)/25)*BQ182+(1-EXP(-LN(2)/25))/(LN(2)/25)*Calculateur!BL183*Calculateur!BN183*VLOOKUP('Données projet'!$B$11,Paramètres!$A$1:$I$89,3,0)*0.475*44/12</f>
        <v>0.19854609265901596</v>
      </c>
      <c r="BR183" s="23">
        <f>EXP(-LN(2)/2)*BR182+(1-EXP(-LN(2)/2))/(LN(2)/2)*BL183*BO183*VLOOKUP('Données projet'!$B$11,Paramètres!$A$1:$I$89,3,0)*0.475*44/12</f>
        <v>1.9597805432823202E-20</v>
      </c>
      <c r="BS183" s="24">
        <f t="shared" si="169"/>
        <v>3.2619075911794799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319.99999999999972</v>
      </c>
      <c r="BZ183" s="14">
        <f>BY183*VLOOKUP('Données projet'!$B$12,Paramètres!$A$1:$I$89,3,0)*VLOOKUP('Données projet'!$B$12,Paramètres!$A$1:$I$89,5,0)</f>
        <v>279.55199999999979</v>
      </c>
      <c r="CA183" s="14">
        <f t="shared" si="170"/>
        <v>66.872324781216591</v>
      </c>
      <c r="CB183" s="22">
        <f t="shared" si="171"/>
        <v>603.35569899395182</v>
      </c>
      <c r="CC183" s="62">
        <f t="shared" si="119"/>
        <v>896.68903232728508</v>
      </c>
      <c r="CD183" s="62">
        <f ca="1">AVERAGE(OFFSET($CC$3,0,0,'Données projet'!$E$12+1,1))-AVERAGE(OFFSET($H$3,0,0,'Données projet'!$E$12+1,1))</f>
        <v>248.60758320902863</v>
      </c>
      <c r="CE183" s="62">
        <f t="shared" si="148"/>
        <v>222.23585883330111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7.4682908709553022</v>
      </c>
      <c r="CL183" s="23">
        <f>EXP(-LN(2)/25)*CL182+(1-EXP(-LN(2)/25))/(LN(2)/25)*Calculateur!CG183*Calculateur!CI183*VLOOKUP('Données projet'!$B$12,Paramètres!$A$1:$I$89,3,0)*0.475*44/12</f>
        <v>0.44993625546222721</v>
      </c>
      <c r="CM183" s="23">
        <f>EXP(-LN(2)/2)*CM182+(1-EXP(-LN(2)/2))/(LN(2)/2)*CG183*CJ183*VLOOKUP('Données projet'!$B$12,Paramètres!$A$1:$I$89,3,0)*0.475*44/12</f>
        <v>1.6678329778717584E-15</v>
      </c>
      <c r="CN183" s="24">
        <f t="shared" si="172"/>
        <v>7.9182271264175315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193.99999999999994</v>
      </c>
      <c r="CU183" s="18">
        <f>CT183*VLOOKUP('Données projet'!$B$13,Paramètres!$A$1:$I$89,3,0)*VLOOKUP('Données projet'!$B$13,Paramètres!$A$1:$I$89,5,0)</f>
        <v>105.92399999999998</v>
      </c>
      <c r="CV183" s="14">
        <f t="shared" si="173"/>
        <v>28.36854701055546</v>
      </c>
      <c r="CW183" s="22">
        <f t="shared" si="174"/>
        <v>233.89285271005073</v>
      </c>
      <c r="CX183" s="62">
        <f t="shared" si="122"/>
        <v>527.22618604338402</v>
      </c>
      <c r="CY183" s="62">
        <f ca="1">AVERAGE(OFFSET($CX$3,0,0,'Données projet'!$E$13+1,1))-AVERAGE(OFFSET($H$3,0,0,'Données projet'!$E$13+1,1))</f>
        <v>135.44138026609272</v>
      </c>
      <c r="CZ183" s="62">
        <f t="shared" si="150"/>
        <v>254.77247578425659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3.3879138169737564</v>
      </c>
      <c r="DG183" s="23">
        <f>EXP(-LN(2)/25)*DG182+(1-EXP(-LN(2)/25))/(LN(2)/25)*Calculateur!DB183*Calculateur!DD183*VLOOKUP('Données projet'!$B$13,Paramètres!$A$1:$I$89,3,0)*0.475*44/12</f>
        <v>0.70682473710879457</v>
      </c>
      <c r="DH183" s="23">
        <f>EXP(-LN(2)/2)*DH182+(1-EXP(-LN(2)/2))/(LN(2)/2)*DB183*DE183*VLOOKUP('Données projet'!$B$13,Paramètres!$A$1:$I$89,3,0)*0.475*44/12</f>
        <v>2.2512978781421972E-21</v>
      </c>
      <c r="DI183" s="24">
        <f t="shared" si="175"/>
        <v>4.0947385540825509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273.00000000000023</v>
      </c>
      <c r="DP183" s="18">
        <f>DO183*VLOOKUP('Données projet'!$B$14,Paramètres!$A$1:$I$89,3,0)*VLOOKUP('Données projet'!$B$14,Paramètres!$A$1:$I$89,5,0)</f>
        <v>264.04560000000021</v>
      </c>
      <c r="DQ183" s="14">
        <f t="shared" si="176"/>
        <v>63.583959929973794</v>
      </c>
      <c r="DR183" s="22">
        <f t="shared" si="177"/>
        <v>570.6214835447048</v>
      </c>
      <c r="DS183" s="62">
        <f t="shared" si="125"/>
        <v>863.95481687803817</v>
      </c>
      <c r="DT183" s="62">
        <f ca="1">AVERAGE(OFFSET($DS$3,0,0,'Données projet'!$E$14+1,1))-AVERAGE(OFFSET($H$3,0,0,'Données projet'!$E$14+1,1))</f>
        <v>271.09447278906288</v>
      </c>
      <c r="DU183" s="62">
        <f t="shared" si="152"/>
        <v>325.1094067861851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3.7590422810237643</v>
      </c>
      <c r="EB183" s="23">
        <f>EXP(-LN(2)/25)*EB182+(1-EXP(-LN(2)/25))/(LN(2)/25)*Calculateur!DW183*Calculateur!DY183*VLOOKUP('Données projet'!$B$14,Paramètres!$A$1:$I$89,3,0)*0.475*44/12</f>
        <v>0.2640689155594933</v>
      </c>
      <c r="EC183" s="23">
        <f>EXP(-LN(2)/2)*EC182+(1-EXP(-LN(2)/2))/(LN(2)/2)*DW183*DZ183*VLOOKUP('Données projet'!$B$14,Paramètres!$A$1:$I$89,3,0)*0.475*44/12</f>
        <v>5.2854955409225755E-18</v>
      </c>
      <c r="ED183" s="24">
        <f t="shared" si="178"/>
        <v>4.0231111965832573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273.00000000000023</v>
      </c>
      <c r="EK183" s="18">
        <f>EJ183*VLOOKUP('Données projet'!$B$15,Paramètres!$A$1:$I$89,3,0)*VLOOKUP('Données projet'!$B$15,Paramètres!$A$1:$I$89,5,0)</f>
        <v>293.85720000000026</v>
      </c>
      <c r="EL183" s="14">
        <f t="shared" si="179"/>
        <v>69.887150190339895</v>
      </c>
      <c r="EM183" s="22">
        <f t="shared" si="180"/>
        <v>633.52140991484237</v>
      </c>
      <c r="EN183" s="62">
        <f t="shared" si="128"/>
        <v>926.85474324817574</v>
      </c>
      <c r="EO183" s="62">
        <f ca="1">AVERAGE(OFFSET($EN$3,0,0,'Données projet'!$E$15+1,1))-AVERAGE(OFFSET($H$3,0,0,'Données projet'!$E$15+1,1))</f>
        <v>306.50593475734655</v>
      </c>
      <c r="EP183" s="62">
        <f t="shared" si="154"/>
        <v>366.48643801375079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4.1834502804941902</v>
      </c>
      <c r="EW183" s="23">
        <f>EXP(-LN(2)/25)*EW182+(1-EXP(-LN(2)/25))/(LN(2)/25)*Calculateur!ER183*Calculateur!ET183*VLOOKUP('Données projet'!$B$15,Paramètres!$A$1:$I$89,3,0)*0.475*44/12</f>
        <v>0.29388314796137116</v>
      </c>
      <c r="EX183" s="23">
        <f>EXP(-LN(2)/2)*EX182+(1-EXP(-LN(2)/2))/(LN(2)/2)*ER183*EU183*VLOOKUP('Données projet'!$B$15,Paramètres!$A$1:$I$89,3,0)*0.475*44/12</f>
        <v>5.8822450374783469E-18</v>
      </c>
      <c r="EY183" s="24">
        <f t="shared" si="181"/>
        <v>4.4773334284555615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132.70919999999961</v>
      </c>
      <c r="D184" s="12">
        <f t="shared" si="140"/>
        <v>34.621622444664645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1291.6765241342503</v>
      </c>
      <c r="H184" s="70">
        <f t="shared" si="110"/>
        <v>584.76784909112348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306.99999999999994</v>
      </c>
      <c r="O184" s="14">
        <f>N184*VLOOKUP('Données projet'!$B$9,Paramètres!$A$1:$I$89,3,0)*VLOOKUP('Données projet'!$B$9,Paramètres!$A$1:$I$89,5,0)</f>
        <v>277.77359999999993</v>
      </c>
      <c r="P184" s="14">
        <f t="shared" si="141"/>
        <v>66.496288176842356</v>
      </c>
      <c r="Q184" s="22">
        <f t="shared" si="162"/>
        <v>599.60338857466706</v>
      </c>
      <c r="R184" s="62">
        <f t="shared" si="109"/>
        <v>892.93672190800044</v>
      </c>
      <c r="S184" s="62">
        <f ca="1">AVERAGE(OFFSET($R$3,0,0,'Données projet'!$E$9+1,1))-AVERAGE(OFFSET($H$3,0,0,'Données projet'!$E$9+1,1))</f>
        <v>312.57314929661908</v>
      </c>
      <c r="T184" s="62">
        <f t="shared" si="142"/>
        <v>190.92100876773804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20.764492662749319</v>
      </c>
      <c r="AA184" s="23">
        <f>EXP(-LN(2)/25)*AA183+(1-EXP(-LN(2)/25))/(LN(2)/25)*Calculateur!V184*Calculateur!X184*VLOOKUP('Données projet'!$B$9,Paramètres!$A$1:$I$89,3,0)*0.475*44/12</f>
        <v>0.53214899447528563</v>
      </c>
      <c r="AB184" s="23">
        <f>EXP(-LN(2)/2)*AB183+(1-EXP(-LN(2)/2))/(LN(2)/2)*V184*Y184*VLOOKUP('Données projet'!$B$9,Paramètres!$A$1:$I$89,3,0)*0.475*44/12</f>
        <v>1.7539880158307818E-10</v>
      </c>
      <c r="AC184" s="24">
        <f t="shared" si="163"/>
        <v>21.296641657400002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306.99999999999994</v>
      </c>
      <c r="AJ184" s="14">
        <f>AI184*VLOOKUP('Données projet'!$B$10,Paramètres!$A$1:$I$89,3,0)*VLOOKUP('Données projet'!$B$10,Paramètres!$A$1:$I$89,5,0)</f>
        <v>311.298</v>
      </c>
      <c r="AK184" s="14">
        <f t="shared" si="164"/>
        <v>73.539838278528748</v>
      </c>
      <c r="AL184" s="22">
        <f t="shared" si="165"/>
        <v>670.25923500177089</v>
      </c>
      <c r="AM184" s="62">
        <f t="shared" si="113"/>
        <v>963.59256833510426</v>
      </c>
      <c r="AN184" s="62">
        <f ca="1">AVERAGE(OFFSET($AM$3,0,0,'Données projet'!$E$10+1,1))-AVERAGE(OFFSET($H$3,0,0,'Données projet'!$E$10+1,1))</f>
        <v>360.56293184044779</v>
      </c>
      <c r="AO184" s="62">
        <f t="shared" si="144"/>
        <v>219.32252911220542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23.270552122046627</v>
      </c>
      <c r="AV184" s="23">
        <f>EXP(-LN(2)/25)*AV183+(1-EXP(-LN(2)/25))/(LN(2)/25)*Calculateur!AQ184*Calculateur!AS184*VLOOKUP('Données projet'!$B$10,Paramètres!$A$1:$I$89,3,0)*0.475*44/12</f>
        <v>0.5963738731188547</v>
      </c>
      <c r="AW184" s="23">
        <f>EXP(-LN(2)/2)*AW183+(1-EXP(-LN(2)/2))/(LN(2)/2)*AQ184*AT184*VLOOKUP('Données projet'!$B$10,Paramètres!$A$1:$I$89,3,0)*0.475*44/12</f>
        <v>1.9656762246379454E-10</v>
      </c>
      <c r="AX184" s="23">
        <f t="shared" si="166"/>
        <v>23.866925995362049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1.1368683772161603E-13</v>
      </c>
      <c r="BE184" s="14">
        <f>BD184*VLOOKUP('Données projet'!$B$11,Paramètres!$A$1:$I$89,3,0)*VLOOKUP('Données projet'!$B$11,Paramètres!$A$1:$I$89,5,0)</f>
        <v>8.3355189417488869E-14</v>
      </c>
      <c r="BF184" s="14">
        <f t="shared" si="167"/>
        <v>1.2790518435140618E-12</v>
      </c>
      <c r="BG184" s="22">
        <f t="shared" si="168"/>
        <v>2.3728589156891171E-12</v>
      </c>
      <c r="BH184" s="62">
        <f t="shared" si="116"/>
        <v>293.3333333333357</v>
      </c>
      <c r="BI184" s="62">
        <f ca="1">AVERAGE(OFFSET($BH$3,0,0,'Données projet'!$E$11+1,1))-AVERAGE(OFFSET($H$3,0,0,'Données projet'!$E$11+1,1))</f>
        <v>182.06733089745194</v>
      </c>
      <c r="BJ184" s="62">
        <f t="shared" si="146"/>
        <v>320.36755413886021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3.0032908480004963</v>
      </c>
      <c r="BQ184" s="23">
        <f>EXP(-LN(2)/25)*BQ183+(1-EXP(-LN(2)/25))/(LN(2)/25)*Calculateur!BL184*Calculateur!BN184*VLOOKUP('Données projet'!$B$11,Paramètres!$A$1:$I$89,3,0)*0.475*44/12</f>
        <v>0.19311683931416995</v>
      </c>
      <c r="BR184" s="23">
        <f>EXP(-LN(2)/2)*BR183+(1-EXP(-LN(2)/2))/(LN(2)/2)*BL184*BO184*VLOOKUP('Données projet'!$B$11,Paramètres!$A$1:$I$89,3,0)*0.475*44/12</f>
        <v>1.3857741117923848E-20</v>
      </c>
      <c r="BS184" s="24">
        <f t="shared" si="169"/>
        <v>3.1964076873146663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319.99999999999972</v>
      </c>
      <c r="BZ184" s="14">
        <f>BY184*VLOOKUP('Données projet'!$B$12,Paramètres!$A$1:$I$89,3,0)*VLOOKUP('Données projet'!$B$12,Paramètres!$A$1:$I$89,5,0)</f>
        <v>279.55199999999979</v>
      </c>
      <c r="CA184" s="14">
        <f t="shared" si="170"/>
        <v>66.872324781216591</v>
      </c>
      <c r="CB184" s="22">
        <f t="shared" si="171"/>
        <v>603.35569899395182</v>
      </c>
      <c r="CC184" s="62">
        <f t="shared" si="119"/>
        <v>896.68903232728508</v>
      </c>
      <c r="CD184" s="62">
        <f ca="1">AVERAGE(OFFSET($CC$3,0,0,'Données projet'!$E$12+1,1))-AVERAGE(OFFSET($H$3,0,0,'Données projet'!$E$12+1,1))</f>
        <v>248.60758320902863</v>
      </c>
      <c r="CE184" s="62">
        <f t="shared" si="148"/>
        <v>222.23585883330111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7.3218422421835108</v>
      </c>
      <c r="CL184" s="23">
        <f>EXP(-LN(2)/25)*CL183+(1-EXP(-LN(2)/25))/(LN(2)/25)*Calculateur!CG184*Calculateur!CI184*VLOOKUP('Données projet'!$B$12,Paramètres!$A$1:$I$89,3,0)*0.475*44/12</f>
        <v>0.43763272489549326</v>
      </c>
      <c r="CM184" s="23">
        <f>EXP(-LN(2)/2)*CM183+(1-EXP(-LN(2)/2))/(LN(2)/2)*CG184*CJ184*VLOOKUP('Données projet'!$B$12,Paramètres!$A$1:$I$89,3,0)*0.475*44/12</f>
        <v>1.1793360085396734E-15</v>
      </c>
      <c r="CN184" s="24">
        <f t="shared" si="172"/>
        <v>7.7594749670790053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193.99999999999994</v>
      </c>
      <c r="CU184" s="18">
        <f>CT184*VLOOKUP('Données projet'!$B$13,Paramètres!$A$1:$I$89,3,0)*VLOOKUP('Données projet'!$B$13,Paramètres!$A$1:$I$89,5,0)</f>
        <v>105.92399999999998</v>
      </c>
      <c r="CV184" s="14">
        <f t="shared" si="173"/>
        <v>28.36854701055546</v>
      </c>
      <c r="CW184" s="22">
        <f t="shared" si="174"/>
        <v>233.89285271005073</v>
      </c>
      <c r="CX184" s="62">
        <f t="shared" si="122"/>
        <v>527.22618604338402</v>
      </c>
      <c r="CY184" s="62">
        <f ca="1">AVERAGE(OFFSET($CX$3,0,0,'Données projet'!$E$13+1,1))-AVERAGE(OFFSET($H$3,0,0,'Données projet'!$E$13+1,1))</f>
        <v>135.44138026609272</v>
      </c>
      <c r="CZ184" s="62">
        <f t="shared" si="150"/>
        <v>254.77247578425659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3.3214788934462871</v>
      </c>
      <c r="DG184" s="23">
        <f>EXP(-LN(2)/25)*DG183+(1-EXP(-LN(2)/25))/(LN(2)/25)*Calculateur!DB184*Calculateur!DD184*VLOOKUP('Données projet'!$B$13,Paramètres!$A$1:$I$89,3,0)*0.475*44/12</f>
        <v>0.68749657750225712</v>
      </c>
      <c r="DH184" s="23">
        <f>EXP(-LN(2)/2)*DH183+(1-EXP(-LN(2)/2))/(LN(2)/2)*DB184*DE184*VLOOKUP('Données projet'!$B$13,Paramètres!$A$1:$I$89,3,0)*0.475*44/12</f>
        <v>1.5919079961052334E-21</v>
      </c>
      <c r="DI184" s="24">
        <f t="shared" si="175"/>
        <v>4.0089754709485446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273.00000000000023</v>
      </c>
      <c r="DP184" s="18">
        <f>DO184*VLOOKUP('Données projet'!$B$14,Paramètres!$A$1:$I$89,3,0)*VLOOKUP('Données projet'!$B$14,Paramètres!$A$1:$I$89,5,0)</f>
        <v>264.04560000000021</v>
      </c>
      <c r="DQ184" s="14">
        <f t="shared" si="176"/>
        <v>63.583959929973794</v>
      </c>
      <c r="DR184" s="22">
        <f t="shared" si="177"/>
        <v>570.6214835447048</v>
      </c>
      <c r="DS184" s="62">
        <f t="shared" si="125"/>
        <v>863.95481687803817</v>
      </c>
      <c r="DT184" s="62">
        <f ca="1">AVERAGE(OFFSET($DS$3,0,0,'Données projet'!$E$14+1,1))-AVERAGE(OFFSET($H$3,0,0,'Données projet'!$E$14+1,1))</f>
        <v>271.09447278906288</v>
      </c>
      <c r="DU184" s="62">
        <f t="shared" si="152"/>
        <v>325.1094067861851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3.6853297546822854</v>
      </c>
      <c r="EB184" s="23">
        <f>EXP(-LN(2)/25)*EB183+(1-EXP(-LN(2)/25))/(LN(2)/25)*Calculateur!DW184*Calculateur!DY184*VLOOKUP('Données projet'!$B$14,Paramètres!$A$1:$I$89,3,0)*0.475*44/12</f>
        <v>0.25684793717673821</v>
      </c>
      <c r="EC184" s="23">
        <f>EXP(-LN(2)/2)*EC183+(1-EXP(-LN(2)/2))/(LN(2)/2)*DW184*DZ184*VLOOKUP('Données projet'!$B$14,Paramètres!$A$1:$I$89,3,0)*0.475*44/12</f>
        <v>3.7374097389176122E-18</v>
      </c>
      <c r="ED184" s="24">
        <f t="shared" si="178"/>
        <v>3.9421776918590234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273.00000000000023</v>
      </c>
      <c r="EK184" s="18">
        <f>EJ184*VLOOKUP('Données projet'!$B$15,Paramètres!$A$1:$I$89,3,0)*VLOOKUP('Données projet'!$B$15,Paramètres!$A$1:$I$89,5,0)</f>
        <v>293.85720000000026</v>
      </c>
      <c r="EL184" s="14">
        <f t="shared" si="179"/>
        <v>69.887150190339895</v>
      </c>
      <c r="EM184" s="22">
        <f t="shared" si="180"/>
        <v>633.52140991484237</v>
      </c>
      <c r="EN184" s="62">
        <f t="shared" si="128"/>
        <v>926.85474324817574</v>
      </c>
      <c r="EO184" s="62">
        <f ca="1">AVERAGE(OFFSET($EN$3,0,0,'Données projet'!$E$15+1,1))-AVERAGE(OFFSET($H$3,0,0,'Données projet'!$E$15+1,1))</f>
        <v>306.50593475734655</v>
      </c>
      <c r="EP184" s="62">
        <f t="shared" si="154"/>
        <v>366.48643801375079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4.1014153721464153</v>
      </c>
      <c r="EW184" s="23">
        <f>EXP(-LN(2)/25)*EW183+(1-EXP(-LN(2)/25))/(LN(2)/25)*Calculateur!ER184*Calculateur!ET184*VLOOKUP('Données projet'!$B$15,Paramètres!$A$1:$I$89,3,0)*0.475*44/12</f>
        <v>0.28584689782572437</v>
      </c>
      <c r="EX184" s="23">
        <f>EXP(-LN(2)/2)*EX183+(1-EXP(-LN(2)/2))/(LN(2)/2)*ER184*EU184*VLOOKUP('Données projet'!$B$15,Paramètres!$A$1:$I$89,3,0)*0.475*44/12</f>
        <v>4.1593753546018565E-18</v>
      </c>
      <c r="EY184" s="24">
        <f t="shared" si="181"/>
        <v>4.3872622699721395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133.44239999999962</v>
      </c>
      <c r="D185" s="12">
        <f t="shared" si="140"/>
        <v>34.790582936930399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1298.6405700394598</v>
      </c>
      <c r="H185" s="70">
        <f t="shared" si="110"/>
        <v>586.33911194848645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306.99999999999994</v>
      </c>
      <c r="O185" s="14">
        <f>N185*VLOOKUP('Données projet'!$B$9,Paramètres!$A$1:$I$89,3,0)*VLOOKUP('Données projet'!$B$9,Paramètres!$A$1:$I$89,5,0)</f>
        <v>277.77359999999993</v>
      </c>
      <c r="P185" s="14">
        <f t="shared" si="141"/>
        <v>66.496288176842356</v>
      </c>
      <c r="Q185" s="22">
        <f t="shared" si="162"/>
        <v>599.60338857466706</v>
      </c>
      <c r="R185" s="62">
        <f t="shared" si="109"/>
        <v>892.93672190800044</v>
      </c>
      <c r="S185" s="62">
        <f ca="1">AVERAGE(OFFSET($R$3,0,0,'Données projet'!$E$9+1,1))-AVERAGE(OFFSET($H$3,0,0,'Données projet'!$E$9+1,1))</f>
        <v>312.57314929661908</v>
      </c>
      <c r="T185" s="62">
        <f t="shared" si="142"/>
        <v>190.92100876773804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20.357313626722757</v>
      </c>
      <c r="AA185" s="23">
        <f>EXP(-LN(2)/25)*AA184+(1-EXP(-LN(2)/25))/(LN(2)/25)*Calculateur!V185*Calculateur!X185*VLOOKUP('Données projet'!$B$9,Paramètres!$A$1:$I$89,3,0)*0.475*44/12</f>
        <v>0.51759735223685954</v>
      </c>
      <c r="AB185" s="23">
        <f>EXP(-LN(2)/2)*AB184+(1-EXP(-LN(2)/2))/(LN(2)/2)*V185*Y185*VLOOKUP('Données projet'!$B$9,Paramètres!$A$1:$I$89,3,0)*0.475*44/12</f>
        <v>1.2402568201138832E-10</v>
      </c>
      <c r="AC185" s="24">
        <f t="shared" si="163"/>
        <v>20.874910979083641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306.99999999999994</v>
      </c>
      <c r="AJ185" s="14">
        <f>AI185*VLOOKUP('Données projet'!$B$10,Paramètres!$A$1:$I$89,3,0)*VLOOKUP('Données projet'!$B$10,Paramètres!$A$1:$I$89,5,0)</f>
        <v>311.298</v>
      </c>
      <c r="AK185" s="14">
        <f t="shared" si="164"/>
        <v>73.539838278528748</v>
      </c>
      <c r="AL185" s="22">
        <f t="shared" si="165"/>
        <v>670.25923500177089</v>
      </c>
      <c r="AM185" s="62">
        <f t="shared" si="113"/>
        <v>963.59256833510426</v>
      </c>
      <c r="AN185" s="62">
        <f ca="1">AVERAGE(OFFSET($AM$3,0,0,'Données projet'!$E$10+1,1))-AVERAGE(OFFSET($H$3,0,0,'Données projet'!$E$10+1,1))</f>
        <v>360.56293184044779</v>
      </c>
      <c r="AO185" s="62">
        <f t="shared" si="144"/>
        <v>219.32252911220542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22.814230788568583</v>
      </c>
      <c r="AV185" s="23">
        <f>EXP(-LN(2)/25)*AV184+(1-EXP(-LN(2)/25))/(LN(2)/25)*Calculateur!AQ185*Calculateur!AS185*VLOOKUP('Données projet'!$B$10,Paramètres!$A$1:$I$89,3,0)*0.475*44/12</f>
        <v>0.58006599819648064</v>
      </c>
      <c r="AW185" s="23">
        <f>EXP(-LN(2)/2)*AW184+(1-EXP(-LN(2)/2))/(LN(2)/2)*AQ185*AT185*VLOOKUP('Données projet'!$B$10,Paramètres!$A$1:$I$89,3,0)*0.475*44/12</f>
        <v>1.3899429880586625E-10</v>
      </c>
      <c r="AX185" s="23">
        <f t="shared" si="166"/>
        <v>23.394296786904057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1.1368683772161603E-13</v>
      </c>
      <c r="BE185" s="14">
        <f>BD185*VLOOKUP('Données projet'!$B$11,Paramètres!$A$1:$I$89,3,0)*VLOOKUP('Données projet'!$B$11,Paramètres!$A$1:$I$89,5,0)</f>
        <v>8.3355189417488869E-14</v>
      </c>
      <c r="BF185" s="14">
        <f t="shared" si="167"/>
        <v>1.2790518435140618E-12</v>
      </c>
      <c r="BG185" s="22">
        <f t="shared" si="168"/>
        <v>2.3728589156891171E-12</v>
      </c>
      <c r="BH185" s="62">
        <f t="shared" si="116"/>
        <v>293.3333333333357</v>
      </c>
      <c r="BI185" s="62">
        <f ca="1">AVERAGE(OFFSET($BH$3,0,0,'Données projet'!$E$11+1,1))-AVERAGE(OFFSET($H$3,0,0,'Données projet'!$E$11+1,1))</f>
        <v>182.06733089745194</v>
      </c>
      <c r="BJ185" s="62">
        <f t="shared" si="146"/>
        <v>320.36755413886021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2.944398146297746</v>
      </c>
      <c r="BQ185" s="23">
        <f>EXP(-LN(2)/25)*BQ184+(1-EXP(-LN(2)/25))/(LN(2)/25)*Calculateur!BL185*Calculateur!BN185*VLOOKUP('Données projet'!$B$11,Paramètres!$A$1:$I$89,3,0)*0.475*44/12</f>
        <v>0.18783604918755076</v>
      </c>
      <c r="BR185" s="23">
        <f>EXP(-LN(2)/2)*BR184+(1-EXP(-LN(2)/2))/(LN(2)/2)*BL185*BO185*VLOOKUP('Données projet'!$B$11,Paramètres!$A$1:$I$89,3,0)*0.475*44/12</f>
        <v>9.7989027164116008E-21</v>
      </c>
      <c r="BS185" s="24">
        <f t="shared" si="169"/>
        <v>3.1322341954852968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319.99999999999972</v>
      </c>
      <c r="BZ185" s="14">
        <f>BY185*VLOOKUP('Données projet'!$B$12,Paramètres!$A$1:$I$89,3,0)*VLOOKUP('Données projet'!$B$12,Paramètres!$A$1:$I$89,5,0)</f>
        <v>279.55199999999979</v>
      </c>
      <c r="CA185" s="14">
        <f t="shared" si="170"/>
        <v>66.872324781216591</v>
      </c>
      <c r="CB185" s="22">
        <f t="shared" si="171"/>
        <v>603.35569899395182</v>
      </c>
      <c r="CC185" s="62">
        <f t="shared" si="119"/>
        <v>896.68903232728508</v>
      </c>
      <c r="CD185" s="62">
        <f ca="1">AVERAGE(OFFSET($CC$3,0,0,'Données projet'!$E$12+1,1))-AVERAGE(OFFSET($H$3,0,0,'Données projet'!$E$12+1,1))</f>
        <v>248.60758320902863</v>
      </c>
      <c r="CE185" s="62">
        <f t="shared" si="148"/>
        <v>222.23585883330111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7.1782653816970905</v>
      </c>
      <c r="CL185" s="23">
        <f>EXP(-LN(2)/25)*CL184+(1-EXP(-LN(2)/25))/(LN(2)/25)*Calculateur!CG185*Calculateur!CI185*VLOOKUP('Données projet'!$B$12,Paramètres!$A$1:$I$89,3,0)*0.475*44/12</f>
        <v>0.42566563501912125</v>
      </c>
      <c r="CM185" s="23">
        <f>EXP(-LN(2)/2)*CM184+(1-EXP(-LN(2)/2))/(LN(2)/2)*CG185*CJ185*VLOOKUP('Données projet'!$B$12,Paramètres!$A$1:$I$89,3,0)*0.475*44/12</f>
        <v>8.3391648893587919E-16</v>
      </c>
      <c r="CN185" s="24">
        <f t="shared" si="172"/>
        <v>7.6039310167162126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193.99999999999994</v>
      </c>
      <c r="CU185" s="18">
        <f>CT185*VLOOKUP('Données projet'!$B$13,Paramètres!$A$1:$I$89,3,0)*VLOOKUP('Données projet'!$B$13,Paramètres!$A$1:$I$89,5,0)</f>
        <v>105.92399999999998</v>
      </c>
      <c r="CV185" s="14">
        <f t="shared" si="173"/>
        <v>28.36854701055546</v>
      </c>
      <c r="CW185" s="22">
        <f t="shared" si="174"/>
        <v>233.89285271005073</v>
      </c>
      <c r="CX185" s="62">
        <f t="shared" si="122"/>
        <v>527.22618604338402</v>
      </c>
      <c r="CY185" s="62">
        <f ca="1">AVERAGE(OFFSET($CX$3,0,0,'Données projet'!$E$13+1,1))-AVERAGE(OFFSET($H$3,0,0,'Données projet'!$E$13+1,1))</f>
        <v>135.44138026609272</v>
      </c>
      <c r="CZ185" s="62">
        <f t="shared" si="150"/>
        <v>254.77247578425659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3.2563467182478893</v>
      </c>
      <c r="DG185" s="23">
        <f>EXP(-LN(2)/25)*DG184+(1-EXP(-LN(2)/25))/(LN(2)/25)*Calculateur!DB185*Calculateur!DD185*VLOOKUP('Données projet'!$B$13,Paramètres!$A$1:$I$89,3,0)*0.475*44/12</f>
        <v>0.66869694743658414</v>
      </c>
      <c r="DH185" s="23">
        <f>EXP(-LN(2)/2)*DH184+(1-EXP(-LN(2)/2))/(LN(2)/2)*DB185*DE185*VLOOKUP('Données projet'!$B$13,Paramètres!$A$1:$I$89,3,0)*0.475*44/12</f>
        <v>1.1256489390710986E-21</v>
      </c>
      <c r="DI185" s="24">
        <f t="shared" si="175"/>
        <v>3.9250436656844734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273.00000000000023</v>
      </c>
      <c r="DP185" s="18">
        <f>DO185*VLOOKUP('Données projet'!$B$14,Paramètres!$A$1:$I$89,3,0)*VLOOKUP('Données projet'!$B$14,Paramètres!$A$1:$I$89,5,0)</f>
        <v>264.04560000000021</v>
      </c>
      <c r="DQ185" s="14">
        <f t="shared" si="176"/>
        <v>63.583959929973794</v>
      </c>
      <c r="DR185" s="22">
        <f t="shared" si="177"/>
        <v>570.6214835447048</v>
      </c>
      <c r="DS185" s="62">
        <f t="shared" si="125"/>
        <v>863.95481687803817</v>
      </c>
      <c r="DT185" s="62">
        <f ca="1">AVERAGE(OFFSET($DS$3,0,0,'Données projet'!$E$14+1,1))-AVERAGE(OFFSET($H$3,0,0,'Données projet'!$E$14+1,1))</f>
        <v>271.09447278906288</v>
      </c>
      <c r="DU185" s="62">
        <f t="shared" si="152"/>
        <v>325.1094067861851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3.6130626860221615</v>
      </c>
      <c r="EB185" s="23">
        <f>EXP(-LN(2)/25)*EB184+(1-EXP(-LN(2)/25))/(LN(2)/25)*Calculateur!DW185*Calculateur!DY185*VLOOKUP('Données projet'!$B$14,Paramètres!$A$1:$I$89,3,0)*0.475*44/12</f>
        <v>0.24982441682759432</v>
      </c>
      <c r="EC185" s="23">
        <f>EXP(-LN(2)/2)*EC184+(1-EXP(-LN(2)/2))/(LN(2)/2)*DW185*DZ185*VLOOKUP('Données projet'!$B$14,Paramètres!$A$1:$I$89,3,0)*0.475*44/12</f>
        <v>2.6427477704612877E-18</v>
      </c>
      <c r="ED185" s="24">
        <f t="shared" si="178"/>
        <v>3.862887102849756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273.00000000000023</v>
      </c>
      <c r="EK185" s="18">
        <f>EJ185*VLOOKUP('Données projet'!$B$15,Paramètres!$A$1:$I$89,3,0)*VLOOKUP('Données projet'!$B$15,Paramètres!$A$1:$I$89,5,0)</f>
        <v>293.85720000000026</v>
      </c>
      <c r="EL185" s="14">
        <f t="shared" si="179"/>
        <v>69.887150190339895</v>
      </c>
      <c r="EM185" s="22">
        <f t="shared" si="180"/>
        <v>633.52140991484237</v>
      </c>
      <c r="EN185" s="62">
        <f t="shared" si="128"/>
        <v>926.85474324817574</v>
      </c>
      <c r="EO185" s="62">
        <f ca="1">AVERAGE(OFFSET($EN$3,0,0,'Données projet'!$E$15+1,1))-AVERAGE(OFFSET($H$3,0,0,'Données projet'!$E$15+1,1))</f>
        <v>306.50593475734655</v>
      </c>
      <c r="EP185" s="62">
        <f t="shared" si="154"/>
        <v>366.48643801375079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4.0209891183149873</v>
      </c>
      <c r="EW185" s="23">
        <f>EXP(-LN(2)/25)*EW184+(1-EXP(-LN(2)/25))/(LN(2)/25)*Calculateur!ER185*Calculateur!ET185*VLOOKUP('Données projet'!$B$15,Paramètres!$A$1:$I$89,3,0)*0.475*44/12</f>
        <v>0.2780303993726449</v>
      </c>
      <c r="EX185" s="23">
        <f>EXP(-LN(2)/2)*EX184+(1-EXP(-LN(2)/2))/(LN(2)/2)*ER185*EU185*VLOOKUP('Données projet'!$B$15,Paramètres!$A$1:$I$89,3,0)*0.475*44/12</f>
        <v>2.9411225187391734E-18</v>
      </c>
      <c r="EY185" s="24">
        <f t="shared" si="181"/>
        <v>4.2990195176876318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134.17559999999963</v>
      </c>
      <c r="D186" s="12">
        <f t="shared" si="140"/>
        <v>34.959435402722669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1305.6037820561021</v>
      </c>
      <c r="H186" s="70">
        <f t="shared" si="110"/>
        <v>587.91018665974138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306.99999999999994</v>
      </c>
      <c r="O186" s="14">
        <f>N186*VLOOKUP('Données projet'!$B$9,Paramètres!$A$1:$I$89,3,0)*VLOOKUP('Données projet'!$B$9,Paramètres!$A$1:$I$89,5,0)</f>
        <v>277.77359999999993</v>
      </c>
      <c r="P186" s="14">
        <f t="shared" si="141"/>
        <v>66.496288176842356</v>
      </c>
      <c r="Q186" s="22">
        <f t="shared" si="162"/>
        <v>599.60338857466706</v>
      </c>
      <c r="R186" s="62">
        <f t="shared" si="109"/>
        <v>892.93672190800044</v>
      </c>
      <c r="S186" s="62">
        <f ca="1">AVERAGE(OFFSET($R$3,0,0,'Données projet'!$E$9+1,1))-AVERAGE(OFFSET($H$3,0,0,'Données projet'!$E$9+1,1))</f>
        <v>312.57314929661908</v>
      </c>
      <c r="T186" s="62">
        <f t="shared" si="142"/>
        <v>190.92100876773804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19.958119123237985</v>
      </c>
      <c r="AA186" s="23">
        <f>EXP(-LN(2)/25)*AA185+(1-EXP(-LN(2)/25))/(LN(2)/25)*Calculateur!V186*Calculateur!X186*VLOOKUP('Données projet'!$B$9,Paramètres!$A$1:$I$89,3,0)*0.475*44/12</f>
        <v>0.50344362542068088</v>
      </c>
      <c r="AB186" s="23">
        <f>EXP(-LN(2)/2)*AB185+(1-EXP(-LN(2)/2))/(LN(2)/2)*V186*Y186*VLOOKUP('Données projet'!$B$9,Paramètres!$A$1:$I$89,3,0)*0.475*44/12</f>
        <v>8.7699400791539088E-11</v>
      </c>
      <c r="AC186" s="24">
        <f t="shared" si="163"/>
        <v>20.461562748746363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306.99999999999994</v>
      </c>
      <c r="AJ186" s="14">
        <f>AI186*VLOOKUP('Données projet'!$B$10,Paramètres!$A$1:$I$89,3,0)*VLOOKUP('Données projet'!$B$10,Paramètres!$A$1:$I$89,5,0)</f>
        <v>311.298</v>
      </c>
      <c r="AK186" s="14">
        <f t="shared" si="164"/>
        <v>73.539838278528748</v>
      </c>
      <c r="AL186" s="22">
        <f t="shared" si="165"/>
        <v>670.25923500177089</v>
      </c>
      <c r="AM186" s="62">
        <f t="shared" si="113"/>
        <v>963.59256833510426</v>
      </c>
      <c r="AN186" s="62">
        <f ca="1">AVERAGE(OFFSET($AM$3,0,0,'Données projet'!$E$10+1,1))-AVERAGE(OFFSET($H$3,0,0,'Données projet'!$E$10+1,1))</f>
        <v>360.56293184044779</v>
      </c>
      <c r="AO186" s="62">
        <f t="shared" si="144"/>
        <v>219.32252911220542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22.366857638111512</v>
      </c>
      <c r="AV186" s="23">
        <f>EXP(-LN(2)/25)*AV185+(1-EXP(-LN(2)/25))/(LN(2)/25)*Calculateur!AQ186*Calculateur!AS186*VLOOKUP('Données projet'!$B$10,Paramètres!$A$1:$I$89,3,0)*0.475*44/12</f>
        <v>0.56420406297145276</v>
      </c>
      <c r="AW186" s="23">
        <f>EXP(-LN(2)/2)*AW185+(1-EXP(-LN(2)/2))/(LN(2)/2)*AQ186*AT186*VLOOKUP('Données projet'!$B$10,Paramètres!$A$1:$I$89,3,0)*0.475*44/12</f>
        <v>9.8283811231897272E-11</v>
      </c>
      <c r="AX186" s="23">
        <f t="shared" si="166"/>
        <v>22.931061701181246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1.1368683772161603E-13</v>
      </c>
      <c r="BE186" s="14">
        <f>BD186*VLOOKUP('Données projet'!$B$11,Paramètres!$A$1:$I$89,3,0)*VLOOKUP('Données projet'!$B$11,Paramètres!$A$1:$I$89,5,0)</f>
        <v>8.3355189417488869E-14</v>
      </c>
      <c r="BF186" s="14">
        <f t="shared" si="167"/>
        <v>1.2790518435140618E-12</v>
      </c>
      <c r="BG186" s="22">
        <f t="shared" si="168"/>
        <v>2.3728589156891171E-12</v>
      </c>
      <c r="BH186" s="62">
        <f t="shared" si="116"/>
        <v>293.3333333333357</v>
      </c>
      <c r="BI186" s="62">
        <f ca="1">AVERAGE(OFFSET($BH$3,0,0,'Données projet'!$E$11+1,1))-AVERAGE(OFFSET($H$3,0,0,'Données projet'!$E$11+1,1))</f>
        <v>182.06733089745194</v>
      </c>
      <c r="BJ186" s="62">
        <f t="shared" si="146"/>
        <v>320.36755413886021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2.8866602945543853</v>
      </c>
      <c r="BQ186" s="23">
        <f>EXP(-LN(2)/25)*BQ185+(1-EXP(-LN(2)/25))/(LN(2)/25)*Calculateur!BL186*Calculateur!BN186*VLOOKUP('Données projet'!$B$11,Paramètres!$A$1:$I$89,3,0)*0.475*44/12</f>
        <v>0.18269966254464867</v>
      </c>
      <c r="BR186" s="23">
        <f>EXP(-LN(2)/2)*BR185+(1-EXP(-LN(2)/2))/(LN(2)/2)*BL186*BO186*VLOOKUP('Données projet'!$B$11,Paramètres!$A$1:$I$89,3,0)*0.475*44/12</f>
        <v>6.928870558961924E-21</v>
      </c>
      <c r="BS186" s="24">
        <f t="shared" si="169"/>
        <v>3.0693599570990342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319.99999999999972</v>
      </c>
      <c r="BZ186" s="14">
        <f>BY186*VLOOKUP('Données projet'!$B$12,Paramètres!$A$1:$I$89,3,0)*VLOOKUP('Données projet'!$B$12,Paramètres!$A$1:$I$89,5,0)</f>
        <v>279.55199999999979</v>
      </c>
      <c r="CA186" s="14">
        <f t="shared" si="170"/>
        <v>66.872324781216591</v>
      </c>
      <c r="CB186" s="22">
        <f t="shared" si="171"/>
        <v>603.35569899395182</v>
      </c>
      <c r="CC186" s="62">
        <f t="shared" si="119"/>
        <v>896.68903232728508</v>
      </c>
      <c r="CD186" s="62">
        <f ca="1">AVERAGE(OFFSET($CC$3,0,0,'Données projet'!$E$12+1,1))-AVERAGE(OFFSET($H$3,0,0,'Données projet'!$E$12+1,1))</f>
        <v>248.60758320902863</v>
      </c>
      <c r="CE186" s="62">
        <f t="shared" si="148"/>
        <v>222.23585883330111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7.0375039758715712</v>
      </c>
      <c r="CL186" s="23">
        <f>EXP(-LN(2)/25)*CL185+(1-EXP(-LN(2)/25))/(LN(2)/25)*Calculateur!CG186*Calculateur!CI186*VLOOKUP('Données projet'!$B$12,Paramètres!$A$1:$I$89,3,0)*0.475*44/12</f>
        <v>0.41402578584474048</v>
      </c>
      <c r="CM186" s="23">
        <f>EXP(-LN(2)/2)*CM185+(1-EXP(-LN(2)/2))/(LN(2)/2)*CG186*CJ186*VLOOKUP('Données projet'!$B$12,Paramètres!$A$1:$I$89,3,0)*0.475*44/12</f>
        <v>5.896680042698367E-16</v>
      </c>
      <c r="CN186" s="24">
        <f t="shared" si="172"/>
        <v>7.451529761716313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193.99999999999994</v>
      </c>
      <c r="CU186" s="18">
        <f>CT186*VLOOKUP('Données projet'!$B$13,Paramètres!$A$1:$I$89,3,0)*VLOOKUP('Données projet'!$B$13,Paramètres!$A$1:$I$89,5,0)</f>
        <v>105.92399999999998</v>
      </c>
      <c r="CV186" s="14">
        <f t="shared" si="173"/>
        <v>28.36854701055546</v>
      </c>
      <c r="CW186" s="22">
        <f t="shared" si="174"/>
        <v>233.89285271005073</v>
      </c>
      <c r="CX186" s="62">
        <f t="shared" si="122"/>
        <v>527.22618604338402</v>
      </c>
      <c r="CY186" s="62">
        <f ca="1">AVERAGE(OFFSET($CX$3,0,0,'Données projet'!$E$13+1,1))-AVERAGE(OFFSET($H$3,0,0,'Données projet'!$E$13+1,1))</f>
        <v>135.44138026609272</v>
      </c>
      <c r="CZ186" s="62">
        <f t="shared" si="150"/>
        <v>254.77247578425659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3.1924917452784278</v>
      </c>
      <c r="DG186" s="23">
        <f>EXP(-LN(2)/25)*DG185+(1-EXP(-LN(2)/25))/(LN(2)/25)*Calculateur!DB186*Calculateur!DD186*VLOOKUP('Données projet'!$B$13,Paramètres!$A$1:$I$89,3,0)*0.475*44/12</f>
        <v>0.65041139424368666</v>
      </c>
      <c r="DH186" s="23">
        <f>EXP(-LN(2)/2)*DH185+(1-EXP(-LN(2)/2))/(LN(2)/2)*DB186*DE186*VLOOKUP('Données projet'!$B$13,Paramètres!$A$1:$I$89,3,0)*0.475*44/12</f>
        <v>7.9595399805261668E-22</v>
      </c>
      <c r="DI186" s="24">
        <f t="shared" si="175"/>
        <v>3.8429031395221145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273.00000000000023</v>
      </c>
      <c r="DP186" s="18">
        <f>DO186*VLOOKUP('Données projet'!$B$14,Paramètres!$A$1:$I$89,3,0)*VLOOKUP('Données projet'!$B$14,Paramètres!$A$1:$I$89,5,0)</f>
        <v>264.04560000000021</v>
      </c>
      <c r="DQ186" s="14">
        <f t="shared" si="176"/>
        <v>63.583959929973794</v>
      </c>
      <c r="DR186" s="22">
        <f t="shared" si="177"/>
        <v>570.6214835447048</v>
      </c>
      <c r="DS186" s="62">
        <f t="shared" si="125"/>
        <v>863.95481687803817</v>
      </c>
      <c r="DT186" s="62">
        <f ca="1">AVERAGE(OFFSET($DS$3,0,0,'Données projet'!$E$14+1,1))-AVERAGE(OFFSET($H$3,0,0,'Données projet'!$E$14+1,1))</f>
        <v>271.09447278906288</v>
      </c>
      <c r="DU186" s="62">
        <f t="shared" si="152"/>
        <v>325.1094067861851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3.5422127304999029</v>
      </c>
      <c r="EB186" s="23">
        <f>EXP(-LN(2)/25)*EB185+(1-EXP(-LN(2)/25))/(LN(2)/25)*Calculateur!DW186*Calculateur!DY186*VLOOKUP('Données projet'!$B$14,Paramètres!$A$1:$I$89,3,0)*0.475*44/12</f>
        <v>0.24299295501174864</v>
      </c>
      <c r="EC186" s="23">
        <f>EXP(-LN(2)/2)*EC185+(1-EXP(-LN(2)/2))/(LN(2)/2)*DW186*DZ186*VLOOKUP('Données projet'!$B$14,Paramètres!$A$1:$I$89,3,0)*0.475*44/12</f>
        <v>1.8687048694588061E-18</v>
      </c>
      <c r="ED186" s="24">
        <f t="shared" si="178"/>
        <v>3.7852056855116514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273.00000000000023</v>
      </c>
      <c r="EK186" s="18">
        <f>EJ186*VLOOKUP('Données projet'!$B$15,Paramètres!$A$1:$I$89,3,0)*VLOOKUP('Données projet'!$B$15,Paramètres!$A$1:$I$89,5,0)</f>
        <v>293.85720000000026</v>
      </c>
      <c r="EL186" s="14">
        <f t="shared" si="179"/>
        <v>69.887150190339895</v>
      </c>
      <c r="EM186" s="22">
        <f t="shared" si="180"/>
        <v>633.52140991484237</v>
      </c>
      <c r="EN186" s="62">
        <f t="shared" si="128"/>
        <v>926.85474324817574</v>
      </c>
      <c r="EO186" s="62">
        <f ca="1">AVERAGE(OFFSET($EN$3,0,0,'Données projet'!$E$15+1,1))-AVERAGE(OFFSET($H$3,0,0,'Données projet'!$E$15+1,1))</f>
        <v>306.50593475734655</v>
      </c>
      <c r="EP186" s="62">
        <f t="shared" si="154"/>
        <v>366.48643801375079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3.9421399742660221</v>
      </c>
      <c r="EW186" s="23">
        <f>EXP(-LN(2)/25)*EW185+(1-EXP(-LN(2)/25))/(LN(2)/25)*Calculateur!ER186*Calculateur!ET186*VLOOKUP('Données projet'!$B$15,Paramètres!$A$1:$I$89,3,0)*0.475*44/12</f>
        <v>0.27042764348081666</v>
      </c>
      <c r="EX186" s="23">
        <f>EXP(-LN(2)/2)*EX185+(1-EXP(-LN(2)/2))/(LN(2)/2)*ER186*EU186*VLOOKUP('Données projet'!$B$15,Paramètres!$A$1:$I$89,3,0)*0.475*44/12</f>
        <v>2.0796876773009282E-18</v>
      </c>
      <c r="EY186" s="24">
        <f t="shared" si="181"/>
        <v>4.2125676177468385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134.90879999999964</v>
      </c>
      <c r="D187" s="12">
        <f t="shared" si="140"/>
        <v>35.12818050085901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1312.5661652697861</v>
      </c>
      <c r="H187" s="70">
        <f t="shared" si="110"/>
        <v>589.48107437232875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306.99999999999994</v>
      </c>
      <c r="O187" s="14">
        <f>N187*VLOOKUP('Données projet'!$B$9,Paramètres!$A$1:$I$89,3,0)*VLOOKUP('Données projet'!$B$9,Paramètres!$A$1:$I$89,5,0)</f>
        <v>277.77359999999993</v>
      </c>
      <c r="P187" s="14">
        <f t="shared" si="141"/>
        <v>66.496288176842356</v>
      </c>
      <c r="Q187" s="22">
        <f t="shared" si="162"/>
        <v>599.60338857466706</v>
      </c>
      <c r="R187" s="62">
        <f t="shared" si="109"/>
        <v>892.93672190800044</v>
      </c>
      <c r="S187" s="62">
        <f ca="1">AVERAGE(OFFSET($R$3,0,0,'Données projet'!$E$9+1,1))-AVERAGE(OFFSET($H$3,0,0,'Données projet'!$E$9+1,1))</f>
        <v>312.57314929661908</v>
      </c>
      <c r="T187" s="62">
        <f t="shared" si="142"/>
        <v>190.92100876773804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19.566752580481946</v>
      </c>
      <c r="AA187" s="23">
        <f>EXP(-LN(2)/25)*AA186+(1-EXP(-LN(2)/25))/(LN(2)/25)*Calculateur!V187*Calculateur!X187*VLOOKUP('Données projet'!$B$9,Paramètres!$A$1:$I$89,3,0)*0.475*44/12</f>
        <v>0.48967693300860277</v>
      </c>
      <c r="AB187" s="23">
        <f>EXP(-LN(2)/2)*AB186+(1-EXP(-LN(2)/2))/(LN(2)/2)*V187*Y187*VLOOKUP('Données projet'!$B$9,Paramètres!$A$1:$I$89,3,0)*0.475*44/12</f>
        <v>6.2012841005694162E-11</v>
      </c>
      <c r="AC187" s="24">
        <f t="shared" si="163"/>
        <v>20.056429513552562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306.99999999999994</v>
      </c>
      <c r="AJ187" s="14">
        <f>AI187*VLOOKUP('Données projet'!$B$10,Paramètres!$A$1:$I$89,3,0)*VLOOKUP('Données projet'!$B$10,Paramètres!$A$1:$I$89,5,0)</f>
        <v>311.298</v>
      </c>
      <c r="AK187" s="14">
        <f t="shared" si="164"/>
        <v>73.539838278528748</v>
      </c>
      <c r="AL187" s="22">
        <f t="shared" si="165"/>
        <v>670.25923500177089</v>
      </c>
      <c r="AM187" s="62">
        <f t="shared" si="113"/>
        <v>963.59256833510426</v>
      </c>
      <c r="AN187" s="62">
        <f ca="1">AVERAGE(OFFSET($AM$3,0,0,'Données projet'!$E$10+1,1))-AVERAGE(OFFSET($H$3,0,0,'Données projet'!$E$10+1,1))</f>
        <v>360.56293184044779</v>
      </c>
      <c r="AO187" s="62">
        <f t="shared" si="144"/>
        <v>219.32252911220542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21.928257202264227</v>
      </c>
      <c r="AV187" s="23">
        <f>EXP(-LN(2)/25)*AV186+(1-EXP(-LN(2)/25))/(LN(2)/25)*Calculateur!AQ187*Calculateur!AS187*VLOOKUP('Données projet'!$B$10,Paramètres!$A$1:$I$89,3,0)*0.475*44/12</f>
        <v>0.54877587319929622</v>
      </c>
      <c r="AW187" s="23">
        <f>EXP(-LN(2)/2)*AW186+(1-EXP(-LN(2)/2))/(LN(2)/2)*AQ187*AT187*VLOOKUP('Données projet'!$B$10,Paramètres!$A$1:$I$89,3,0)*0.475*44/12</f>
        <v>6.9497149402933126E-11</v>
      </c>
      <c r="AX187" s="23">
        <f t="shared" si="166"/>
        <v>22.477033075533022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1.1368683772161603E-13</v>
      </c>
      <c r="BE187" s="14">
        <f>BD187*VLOOKUP('Données projet'!$B$11,Paramètres!$A$1:$I$89,3,0)*VLOOKUP('Données projet'!$B$11,Paramètres!$A$1:$I$89,5,0)</f>
        <v>8.3355189417488869E-14</v>
      </c>
      <c r="BF187" s="14">
        <f t="shared" si="167"/>
        <v>1.2790518435140618E-12</v>
      </c>
      <c r="BG187" s="22">
        <f t="shared" si="168"/>
        <v>2.3728589156891171E-12</v>
      </c>
      <c r="BH187" s="62">
        <f t="shared" si="116"/>
        <v>293.3333333333357</v>
      </c>
      <c r="BI187" s="62">
        <f ca="1">AVERAGE(OFFSET($BH$3,0,0,'Données projet'!$E$11+1,1))-AVERAGE(OFFSET($H$3,0,0,'Données projet'!$E$11+1,1))</f>
        <v>182.06733089745194</v>
      </c>
      <c r="BJ187" s="62">
        <f t="shared" si="146"/>
        <v>320.36755413886021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2.8300546468671</v>
      </c>
      <c r="BQ187" s="23">
        <f>EXP(-LN(2)/25)*BQ186+(1-EXP(-LN(2)/25))/(LN(2)/25)*Calculateur!BL187*Calculateur!BN187*VLOOKUP('Données projet'!$B$11,Paramètres!$A$1:$I$89,3,0)*0.475*44/12</f>
        <v>0.17770373066460757</v>
      </c>
      <c r="BR187" s="23">
        <f>EXP(-LN(2)/2)*BR186+(1-EXP(-LN(2)/2))/(LN(2)/2)*BL187*BO187*VLOOKUP('Données projet'!$B$11,Paramètres!$A$1:$I$89,3,0)*0.475*44/12</f>
        <v>4.8994513582058004E-21</v>
      </c>
      <c r="BS187" s="24">
        <f t="shared" si="169"/>
        <v>3.0077583775317076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319.99999999999972</v>
      </c>
      <c r="BZ187" s="14">
        <f>BY187*VLOOKUP('Données projet'!$B$12,Paramètres!$A$1:$I$89,3,0)*VLOOKUP('Données projet'!$B$12,Paramètres!$A$1:$I$89,5,0)</f>
        <v>279.55199999999979</v>
      </c>
      <c r="CA187" s="14">
        <f t="shared" si="170"/>
        <v>66.872324781216591</v>
      </c>
      <c r="CB187" s="22">
        <f t="shared" si="171"/>
        <v>603.35569899395182</v>
      </c>
      <c r="CC187" s="62">
        <f t="shared" si="119"/>
        <v>896.68903232728508</v>
      </c>
      <c r="CD187" s="62">
        <f ca="1">AVERAGE(OFFSET($CC$3,0,0,'Données projet'!$E$12+1,1))-AVERAGE(OFFSET($H$3,0,0,'Données projet'!$E$12+1,1))</f>
        <v>248.60758320902863</v>
      </c>
      <c r="CE187" s="62">
        <f t="shared" si="148"/>
        <v>222.23585883330111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6.8995028153583107</v>
      </c>
      <c r="CL187" s="23">
        <f>EXP(-LN(2)/25)*CL186+(1-EXP(-LN(2)/25))/(LN(2)/25)*Calculateur!CG187*Calculateur!CI187*VLOOKUP('Données projet'!$B$12,Paramètres!$A$1:$I$89,3,0)*0.475*44/12</f>
        <v>0.40270422895814623</v>
      </c>
      <c r="CM187" s="23">
        <f>EXP(-LN(2)/2)*CM186+(1-EXP(-LN(2)/2))/(LN(2)/2)*CG187*CJ187*VLOOKUP('Données projet'!$B$12,Paramètres!$A$1:$I$89,3,0)*0.475*44/12</f>
        <v>4.1695824446793959E-16</v>
      </c>
      <c r="CN187" s="24">
        <f t="shared" si="172"/>
        <v>7.3022070443164573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193.99999999999994</v>
      </c>
      <c r="CU187" s="18">
        <f>CT187*VLOOKUP('Données projet'!$B$13,Paramètres!$A$1:$I$89,3,0)*VLOOKUP('Données projet'!$B$13,Paramètres!$A$1:$I$89,5,0)</f>
        <v>105.92399999999998</v>
      </c>
      <c r="CV187" s="14">
        <f t="shared" si="173"/>
        <v>28.36854701055546</v>
      </c>
      <c r="CW187" s="22">
        <f t="shared" si="174"/>
        <v>233.89285271005073</v>
      </c>
      <c r="CX187" s="62">
        <f t="shared" si="122"/>
        <v>527.22618604338402</v>
      </c>
      <c r="CY187" s="62">
        <f ca="1">AVERAGE(OFFSET($CX$3,0,0,'Données projet'!$E$13+1,1))-AVERAGE(OFFSET($H$3,0,0,'Données projet'!$E$13+1,1))</f>
        <v>135.44138026609272</v>
      </c>
      <c r="CZ187" s="62">
        <f t="shared" si="150"/>
        <v>254.77247578425659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3.1298889293812096</v>
      </c>
      <c r="DG187" s="23">
        <f>EXP(-LN(2)/25)*DG186+(1-EXP(-LN(2)/25))/(LN(2)/25)*Calculateur!DB187*Calculateur!DD187*VLOOKUP('Données projet'!$B$13,Paramètres!$A$1:$I$89,3,0)*0.475*44/12</f>
        <v>0.63262586046444436</v>
      </c>
      <c r="DH187" s="23">
        <f>EXP(-LN(2)/2)*DH186+(1-EXP(-LN(2)/2))/(LN(2)/2)*DB187*DE187*VLOOKUP('Données projet'!$B$13,Paramètres!$A$1:$I$89,3,0)*0.475*44/12</f>
        <v>5.6282446953554929E-22</v>
      </c>
      <c r="DI187" s="24">
        <f t="shared" si="175"/>
        <v>3.7625147898456541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273.00000000000023</v>
      </c>
      <c r="DP187" s="18">
        <f>DO187*VLOOKUP('Données projet'!$B$14,Paramètres!$A$1:$I$89,3,0)*VLOOKUP('Données projet'!$B$14,Paramètres!$A$1:$I$89,5,0)</f>
        <v>264.04560000000021</v>
      </c>
      <c r="DQ187" s="14">
        <f t="shared" si="176"/>
        <v>63.583959929973794</v>
      </c>
      <c r="DR187" s="22">
        <f t="shared" si="177"/>
        <v>570.6214835447048</v>
      </c>
      <c r="DS187" s="62">
        <f t="shared" si="125"/>
        <v>863.95481687803817</v>
      </c>
      <c r="DT187" s="62">
        <f ca="1">AVERAGE(OFFSET($DS$3,0,0,'Données projet'!$E$14+1,1))-AVERAGE(OFFSET($H$3,0,0,'Données projet'!$E$14+1,1))</f>
        <v>271.09447278906288</v>
      </c>
      <c r="DU187" s="62">
        <f t="shared" si="152"/>
        <v>325.1094067861851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3.4727520993912302</v>
      </c>
      <c r="EB187" s="23">
        <f>EXP(-LN(2)/25)*EB186+(1-EXP(-LN(2)/25))/(LN(2)/25)*Calculateur!DW187*Calculateur!DY187*VLOOKUP('Données projet'!$B$14,Paramètres!$A$1:$I$89,3,0)*0.475*44/12</f>
        <v>0.23634829987850825</v>
      </c>
      <c r="EC187" s="23">
        <f>EXP(-LN(2)/2)*EC186+(1-EXP(-LN(2)/2))/(LN(2)/2)*DW187*DZ187*VLOOKUP('Données projet'!$B$14,Paramètres!$A$1:$I$89,3,0)*0.475*44/12</f>
        <v>1.3213738852306439E-18</v>
      </c>
      <c r="ED187" s="24">
        <f t="shared" si="178"/>
        <v>3.7091003992697384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273.00000000000023</v>
      </c>
      <c r="EK187" s="18">
        <f>EJ187*VLOOKUP('Données projet'!$B$15,Paramètres!$A$1:$I$89,3,0)*VLOOKUP('Données projet'!$B$15,Paramètres!$A$1:$I$89,5,0)</f>
        <v>293.85720000000026</v>
      </c>
      <c r="EL187" s="14">
        <f t="shared" si="179"/>
        <v>69.887150190339895</v>
      </c>
      <c r="EM187" s="22">
        <f t="shared" si="180"/>
        <v>633.52140991484237</v>
      </c>
      <c r="EN187" s="62">
        <f t="shared" si="128"/>
        <v>926.85474324817574</v>
      </c>
      <c r="EO187" s="62">
        <f ca="1">AVERAGE(OFFSET($EN$3,0,0,'Données projet'!$E$15+1,1))-AVERAGE(OFFSET($H$3,0,0,'Données projet'!$E$15+1,1))</f>
        <v>306.50593475734655</v>
      </c>
      <c r="EP187" s="62">
        <f t="shared" si="154"/>
        <v>366.48643801375079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3.8648370138386281</v>
      </c>
      <c r="EW187" s="23">
        <f>EXP(-LN(2)/25)*EW186+(1-EXP(-LN(2)/25))/(LN(2)/25)*Calculateur!ER187*Calculateur!ET187*VLOOKUP('Données projet'!$B$15,Paramètres!$A$1:$I$89,3,0)*0.475*44/12</f>
        <v>0.26303278534866203</v>
      </c>
      <c r="EX187" s="23">
        <f>EXP(-LN(2)/2)*EX186+(1-EXP(-LN(2)/2))/(LN(2)/2)*ER187*EU187*VLOOKUP('Données projet'!$B$15,Paramètres!$A$1:$I$89,3,0)*0.475*44/12</f>
        <v>1.4705612593695867E-18</v>
      </c>
      <c r="EY187" s="24">
        <f t="shared" si="181"/>
        <v>4.1278697991872901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135.64199999999965</v>
      </c>
      <c r="D188" s="12">
        <f t="shared" si="140"/>
        <v>35.296818882581405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1319.5277247076435</v>
      </c>
      <c r="H188" s="70">
        <f t="shared" si="110"/>
        <v>591.0517762204953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306.99999999999994</v>
      </c>
      <c r="O188" s="14">
        <f>N188*VLOOKUP('Données projet'!$B$9,Paramètres!$A$1:$I$89,3,0)*VLOOKUP('Données projet'!$B$9,Paramètres!$A$1:$I$89,5,0)</f>
        <v>277.77359999999993</v>
      </c>
      <c r="P188" s="14">
        <f t="shared" si="141"/>
        <v>66.496288176842356</v>
      </c>
      <c r="Q188" s="22">
        <f t="shared" si="162"/>
        <v>599.60338857466706</v>
      </c>
      <c r="R188" s="62">
        <f t="shared" si="109"/>
        <v>892.93672190800044</v>
      </c>
      <c r="S188" s="62">
        <f ca="1">AVERAGE(OFFSET($R$3,0,0,'Données projet'!$E$9+1,1))-AVERAGE(OFFSET($H$3,0,0,'Données projet'!$E$9+1,1))</f>
        <v>312.57314929661908</v>
      </c>
      <c r="T188" s="62">
        <f t="shared" si="142"/>
        <v>190.92100876773804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19.183060496919332</v>
      </c>
      <c r="AA188" s="23">
        <f>EXP(-LN(2)/25)*AA187+(1-EXP(-LN(2)/25))/(LN(2)/25)*Calculateur!V188*Calculateur!X188*VLOOKUP('Données projet'!$B$9,Paramètres!$A$1:$I$89,3,0)*0.475*44/12</f>
        <v>0.47628669152449177</v>
      </c>
      <c r="AB188" s="23">
        <f>EXP(-LN(2)/2)*AB187+(1-EXP(-LN(2)/2))/(LN(2)/2)*V188*Y188*VLOOKUP('Données projet'!$B$9,Paramètres!$A$1:$I$89,3,0)*0.475*44/12</f>
        <v>4.3849700395769544E-11</v>
      </c>
      <c r="AC188" s="24">
        <f t="shared" si="163"/>
        <v>19.659347188487676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306.99999999999994</v>
      </c>
      <c r="AJ188" s="14">
        <f>AI188*VLOOKUP('Données projet'!$B$10,Paramètres!$A$1:$I$89,3,0)*VLOOKUP('Données projet'!$B$10,Paramètres!$A$1:$I$89,5,0)</f>
        <v>311.298</v>
      </c>
      <c r="AK188" s="14">
        <f t="shared" si="164"/>
        <v>73.539838278528748</v>
      </c>
      <c r="AL188" s="22">
        <f t="shared" si="165"/>
        <v>670.25923500177089</v>
      </c>
      <c r="AM188" s="62">
        <f t="shared" si="113"/>
        <v>963.59256833510426</v>
      </c>
      <c r="AN188" s="62">
        <f ca="1">AVERAGE(OFFSET($AM$3,0,0,'Données projet'!$E$10+1,1))-AVERAGE(OFFSET($H$3,0,0,'Données projet'!$E$10+1,1))</f>
        <v>360.56293184044779</v>
      </c>
      <c r="AO188" s="62">
        <f t="shared" si="144"/>
        <v>219.32252911220542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21.498257453444054</v>
      </c>
      <c r="AV188" s="23">
        <f>EXP(-LN(2)/25)*AV187+(1-EXP(-LN(2)/25))/(LN(2)/25)*Calculateur!AQ188*Calculateur!AS188*VLOOKUP('Données projet'!$B$10,Paramètres!$A$1:$I$89,3,0)*0.475*44/12</f>
        <v>0.53376956808779252</v>
      </c>
      <c r="AW188" s="23">
        <f>EXP(-LN(2)/2)*AW187+(1-EXP(-LN(2)/2))/(LN(2)/2)*AQ188*AT188*VLOOKUP('Données projet'!$B$10,Paramètres!$A$1:$I$89,3,0)*0.475*44/12</f>
        <v>4.9141905615948636E-11</v>
      </c>
      <c r="AX188" s="23">
        <f t="shared" si="166"/>
        <v>22.032027021580987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1.1368683772161603E-13</v>
      </c>
      <c r="BE188" s="14">
        <f>BD188*VLOOKUP('Données projet'!$B$11,Paramètres!$A$1:$I$89,3,0)*VLOOKUP('Données projet'!$B$11,Paramètres!$A$1:$I$89,5,0)</f>
        <v>8.3355189417488869E-14</v>
      </c>
      <c r="BF188" s="14">
        <f t="shared" si="167"/>
        <v>1.2790518435140618E-12</v>
      </c>
      <c r="BG188" s="22">
        <f t="shared" si="168"/>
        <v>2.3728589156891171E-12</v>
      </c>
      <c r="BH188" s="62">
        <f t="shared" si="116"/>
        <v>293.3333333333357</v>
      </c>
      <c r="BI188" s="62">
        <f ca="1">AVERAGE(OFFSET($BH$3,0,0,'Données projet'!$E$11+1,1))-AVERAGE(OFFSET($H$3,0,0,'Données projet'!$E$11+1,1))</f>
        <v>182.06733089745194</v>
      </c>
      <c r="BJ188" s="62">
        <f t="shared" si="146"/>
        <v>320.36755413886021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2.7745590014049264</v>
      </c>
      <c r="BQ188" s="23">
        <f>EXP(-LN(2)/25)*BQ187+(1-EXP(-LN(2)/25))/(LN(2)/25)*Calculateur!BL188*Calculateur!BN188*VLOOKUP('Données projet'!$B$11,Paramètres!$A$1:$I$89,3,0)*0.475*44/12</f>
        <v>0.17284441280455082</v>
      </c>
      <c r="BR188" s="23">
        <f>EXP(-LN(2)/2)*BR187+(1-EXP(-LN(2)/2))/(LN(2)/2)*BL188*BO188*VLOOKUP('Données projet'!$B$11,Paramètres!$A$1:$I$89,3,0)*0.475*44/12</f>
        <v>3.464435279480962E-21</v>
      </c>
      <c r="BS188" s="24">
        <f t="shared" si="169"/>
        <v>2.9474034142094774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319.99999999999972</v>
      </c>
      <c r="BZ188" s="14">
        <f>BY188*VLOOKUP('Données projet'!$B$12,Paramètres!$A$1:$I$89,3,0)*VLOOKUP('Données projet'!$B$12,Paramètres!$A$1:$I$89,5,0)</f>
        <v>279.55199999999979</v>
      </c>
      <c r="CA188" s="14">
        <f t="shared" si="170"/>
        <v>66.872324781216591</v>
      </c>
      <c r="CB188" s="22">
        <f t="shared" si="171"/>
        <v>603.35569899395182</v>
      </c>
      <c r="CC188" s="62">
        <f t="shared" si="119"/>
        <v>896.68903232728508</v>
      </c>
      <c r="CD188" s="62">
        <f ca="1">AVERAGE(OFFSET($CC$3,0,0,'Données projet'!$E$12+1,1))-AVERAGE(OFFSET($H$3,0,0,'Données projet'!$E$12+1,1))</f>
        <v>248.60758320902863</v>
      </c>
      <c r="CE188" s="62">
        <f t="shared" si="148"/>
        <v>222.23585883330111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6.7642077734303179</v>
      </c>
      <c r="CL188" s="23">
        <f>EXP(-LN(2)/25)*CL187+(1-EXP(-LN(2)/25))/(LN(2)/25)*Calculateur!CG188*Calculateur!CI188*VLOOKUP('Données projet'!$B$12,Paramètres!$A$1:$I$89,3,0)*0.475*44/12</f>
        <v>0.39169226063999069</v>
      </c>
      <c r="CM188" s="23">
        <f>EXP(-LN(2)/2)*CM187+(1-EXP(-LN(2)/2))/(LN(2)/2)*CG188*CJ188*VLOOKUP('Données projet'!$B$12,Paramètres!$A$1:$I$89,3,0)*0.475*44/12</f>
        <v>2.9483400213491835E-16</v>
      </c>
      <c r="CN188" s="24">
        <f t="shared" si="172"/>
        <v>7.1559000340703083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193.99999999999994</v>
      </c>
      <c r="CU188" s="18">
        <f>CT188*VLOOKUP('Données projet'!$B$13,Paramètres!$A$1:$I$89,3,0)*VLOOKUP('Données projet'!$B$13,Paramètres!$A$1:$I$89,5,0)</f>
        <v>105.92399999999998</v>
      </c>
      <c r="CV188" s="14">
        <f t="shared" si="173"/>
        <v>28.36854701055546</v>
      </c>
      <c r="CW188" s="22">
        <f t="shared" si="174"/>
        <v>233.89285271005073</v>
      </c>
      <c r="CX188" s="62">
        <f t="shared" si="122"/>
        <v>527.22618604338402</v>
      </c>
      <c r="CY188" s="62">
        <f ca="1">AVERAGE(OFFSET($CX$3,0,0,'Données projet'!$E$13+1,1))-AVERAGE(OFFSET($H$3,0,0,'Données projet'!$E$13+1,1))</f>
        <v>135.44138026609272</v>
      </c>
      <c r="CZ188" s="62">
        <f t="shared" si="150"/>
        <v>254.77247578425659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3.0685137165197887</v>
      </c>
      <c r="DG188" s="23">
        <f>EXP(-LN(2)/25)*DG187+(1-EXP(-LN(2)/25))/(LN(2)/25)*Calculateur!DB188*Calculateur!DD188*VLOOKUP('Données projet'!$B$13,Paramètres!$A$1:$I$89,3,0)*0.475*44/12</f>
        <v>0.61532667304169597</v>
      </c>
      <c r="DH188" s="23">
        <f>EXP(-LN(2)/2)*DH187+(1-EXP(-LN(2)/2))/(LN(2)/2)*DB188*DE188*VLOOKUP('Données projet'!$B$13,Paramètres!$A$1:$I$89,3,0)*0.475*44/12</f>
        <v>3.9797699902630834E-22</v>
      </c>
      <c r="DI188" s="24">
        <f t="shared" si="175"/>
        <v>3.6838403895614844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273.00000000000023</v>
      </c>
      <c r="DP188" s="18">
        <f>DO188*VLOOKUP('Données projet'!$B$14,Paramètres!$A$1:$I$89,3,0)*VLOOKUP('Données projet'!$B$14,Paramètres!$A$1:$I$89,5,0)</f>
        <v>264.04560000000021</v>
      </c>
      <c r="DQ188" s="14">
        <f t="shared" si="176"/>
        <v>63.583959929973794</v>
      </c>
      <c r="DR188" s="22">
        <f t="shared" si="177"/>
        <v>570.6214835447048</v>
      </c>
      <c r="DS188" s="62">
        <f t="shared" si="125"/>
        <v>863.95481687803817</v>
      </c>
      <c r="DT188" s="62">
        <f ca="1">AVERAGE(OFFSET($DS$3,0,0,'Données projet'!$E$14+1,1))-AVERAGE(OFFSET($H$3,0,0,'Données projet'!$E$14+1,1))</f>
        <v>271.09447278906288</v>
      </c>
      <c r="DU188" s="62">
        <f t="shared" si="152"/>
        <v>325.1094067861851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3.4046535488917971</v>
      </c>
      <c r="EB188" s="23">
        <f>EXP(-LN(2)/25)*EB187+(1-EXP(-LN(2)/25))/(LN(2)/25)*Calculateur!DW188*Calculateur!DY188*VLOOKUP('Données projet'!$B$14,Paramètres!$A$1:$I$89,3,0)*0.475*44/12</f>
        <v>0.22988534318931353</v>
      </c>
      <c r="EC188" s="23">
        <f>EXP(-LN(2)/2)*EC187+(1-EXP(-LN(2)/2))/(LN(2)/2)*DW188*DZ188*VLOOKUP('Données projet'!$B$14,Paramètres!$A$1:$I$89,3,0)*0.475*44/12</f>
        <v>9.3435243472940304E-19</v>
      </c>
      <c r="ED188" s="24">
        <f t="shared" si="178"/>
        <v>3.6345388920811104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273.00000000000023</v>
      </c>
      <c r="EK188" s="18">
        <f>EJ188*VLOOKUP('Données projet'!$B$15,Paramètres!$A$1:$I$89,3,0)*VLOOKUP('Données projet'!$B$15,Paramètres!$A$1:$I$89,5,0)</f>
        <v>293.85720000000026</v>
      </c>
      <c r="EL188" s="14">
        <f t="shared" si="179"/>
        <v>69.887150190339895</v>
      </c>
      <c r="EM188" s="22">
        <f t="shared" si="180"/>
        <v>633.52140991484237</v>
      </c>
      <c r="EN188" s="62">
        <f t="shared" si="128"/>
        <v>926.85474324817574</v>
      </c>
      <c r="EO188" s="62">
        <f ca="1">AVERAGE(OFFSET($EN$3,0,0,'Données projet'!$E$15+1,1))-AVERAGE(OFFSET($H$3,0,0,'Données projet'!$E$15+1,1))</f>
        <v>306.50593475734655</v>
      </c>
      <c r="EP188" s="62">
        <f t="shared" si="154"/>
        <v>366.48643801375079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3.7890499173150651</v>
      </c>
      <c r="EW188" s="23">
        <f>EXP(-LN(2)/25)*EW187+(1-EXP(-LN(2)/25))/(LN(2)/25)*Calculateur!ER188*Calculateur!ET188*VLOOKUP('Données projet'!$B$15,Paramètres!$A$1:$I$89,3,0)*0.475*44/12</f>
        <v>0.25584014000100985</v>
      </c>
      <c r="EX188" s="23">
        <f>EXP(-LN(2)/2)*EX187+(1-EXP(-LN(2)/2))/(LN(2)/2)*ER188*EU188*VLOOKUP('Données projet'!$B$15,Paramètres!$A$1:$I$89,3,0)*0.475*44/12</f>
        <v>1.0398438386504641E-18</v>
      </c>
      <c r="EY188" s="24">
        <f t="shared" si="181"/>
        <v>4.0448900573160751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136.37519999999967</v>
      </c>
      <c r="D189" s="12">
        <f t="shared" si="140"/>
        <v>35.465351191683915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1326.4884653393119</v>
      </c>
      <c r="H189" s="70">
        <f t="shared" si="110"/>
        <v>592.62229332551556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306.99999999999994</v>
      </c>
      <c r="O189" s="14">
        <f>N189*VLOOKUP('Données projet'!$B$9,Paramètres!$A$1:$I$89,3,0)*VLOOKUP('Données projet'!$B$9,Paramètres!$A$1:$I$89,5,0)</f>
        <v>277.77359999999993</v>
      </c>
      <c r="P189" s="14">
        <f t="shared" si="141"/>
        <v>66.496288176842356</v>
      </c>
      <c r="Q189" s="22">
        <f t="shared" si="162"/>
        <v>599.60338857466706</v>
      </c>
      <c r="R189" s="62">
        <f t="shared" si="109"/>
        <v>892.93672190800044</v>
      </c>
      <c r="S189" s="62">
        <f ca="1">AVERAGE(OFFSET($R$3,0,0,'Données projet'!$E$9+1,1))-AVERAGE(OFFSET($H$3,0,0,'Données projet'!$E$9+1,1))</f>
        <v>312.57314929661908</v>
      </c>
      <c r="T189" s="62">
        <f t="shared" si="142"/>
        <v>190.92100876773804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18.806892381086318</v>
      </c>
      <c r="AA189" s="23">
        <f>EXP(-LN(2)/25)*AA188+(1-EXP(-LN(2)/25))/(LN(2)/25)*Calculateur!V189*Calculateur!X189*VLOOKUP('Données projet'!$B$9,Paramètres!$A$1:$I$89,3,0)*0.475*44/12</f>
        <v>0.46326260689792598</v>
      </c>
      <c r="AB189" s="23">
        <f>EXP(-LN(2)/2)*AB188+(1-EXP(-LN(2)/2))/(LN(2)/2)*V189*Y189*VLOOKUP('Données projet'!$B$9,Paramètres!$A$1:$I$89,3,0)*0.475*44/12</f>
        <v>3.1006420502847081E-11</v>
      </c>
      <c r="AC189" s="24">
        <f t="shared" si="163"/>
        <v>19.27015498801525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306.99999999999994</v>
      </c>
      <c r="AJ189" s="14">
        <f>AI189*VLOOKUP('Données projet'!$B$10,Paramètres!$A$1:$I$89,3,0)*VLOOKUP('Données projet'!$B$10,Paramètres!$A$1:$I$89,5,0)</f>
        <v>311.298</v>
      </c>
      <c r="AK189" s="14">
        <f t="shared" si="164"/>
        <v>73.539838278528748</v>
      </c>
      <c r="AL189" s="22">
        <f t="shared" si="165"/>
        <v>670.25923500177089</v>
      </c>
      <c r="AM189" s="62">
        <f t="shared" si="113"/>
        <v>963.59256833510426</v>
      </c>
      <c r="AN189" s="62">
        <f ca="1">AVERAGE(OFFSET($AM$3,0,0,'Données projet'!$E$10+1,1))-AVERAGE(OFFSET($H$3,0,0,'Données projet'!$E$10+1,1))</f>
        <v>360.56293184044779</v>
      </c>
      <c r="AO189" s="62">
        <f t="shared" si="144"/>
        <v>219.32252911220542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21.076689737424296</v>
      </c>
      <c r="AV189" s="23">
        <f>EXP(-LN(2)/25)*AV188+(1-EXP(-LN(2)/25))/(LN(2)/25)*Calculateur!AQ189*Calculateur!AS189*VLOOKUP('Données projet'!$B$10,Paramètres!$A$1:$I$89,3,0)*0.475*44/12</f>
        <v>0.51917361117871019</v>
      </c>
      <c r="AW189" s="23">
        <f>EXP(-LN(2)/2)*AW188+(1-EXP(-LN(2)/2))/(LN(2)/2)*AQ189*AT189*VLOOKUP('Données projet'!$B$10,Paramètres!$A$1:$I$89,3,0)*0.475*44/12</f>
        <v>3.4748574701466563E-11</v>
      </c>
      <c r="AX189" s="23">
        <f t="shared" si="166"/>
        <v>21.595863348637756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1.1368683772161603E-13</v>
      </c>
      <c r="BE189" s="14">
        <f>BD189*VLOOKUP('Données projet'!$B$11,Paramètres!$A$1:$I$89,3,0)*VLOOKUP('Données projet'!$B$11,Paramètres!$A$1:$I$89,5,0)</f>
        <v>8.3355189417488869E-14</v>
      </c>
      <c r="BF189" s="14">
        <f t="shared" si="167"/>
        <v>1.2790518435140618E-12</v>
      </c>
      <c r="BG189" s="22">
        <f t="shared" si="168"/>
        <v>2.3728589156891171E-12</v>
      </c>
      <c r="BH189" s="62">
        <f t="shared" si="116"/>
        <v>293.3333333333357</v>
      </c>
      <c r="BI189" s="62">
        <f ca="1">AVERAGE(OFFSET($BH$3,0,0,'Données projet'!$E$11+1,1))-AVERAGE(OFFSET($H$3,0,0,'Données projet'!$E$11+1,1))</f>
        <v>182.06733089745194</v>
      </c>
      <c r="BJ189" s="62">
        <f t="shared" si="146"/>
        <v>320.36755413886021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2.7201515917012644</v>
      </c>
      <c r="BQ189" s="23">
        <f>EXP(-LN(2)/25)*BQ188+(1-EXP(-LN(2)/25))/(LN(2)/25)*Calculateur!BL189*Calculateur!BN189*VLOOKUP('Données projet'!$B$11,Paramètres!$A$1:$I$89,3,0)*0.475*44/12</f>
        <v>0.16811797324691774</v>
      </c>
      <c r="BR189" s="23">
        <f>EXP(-LN(2)/2)*BR188+(1-EXP(-LN(2)/2))/(LN(2)/2)*BL189*BO189*VLOOKUP('Données projet'!$B$11,Paramètres!$A$1:$I$89,3,0)*0.475*44/12</f>
        <v>2.4497256791029002E-21</v>
      </c>
      <c r="BS189" s="24">
        <f t="shared" si="169"/>
        <v>2.8882695649481822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319.99999999999972</v>
      </c>
      <c r="BZ189" s="14">
        <f>BY189*VLOOKUP('Données projet'!$B$12,Paramètres!$A$1:$I$89,3,0)*VLOOKUP('Données projet'!$B$12,Paramètres!$A$1:$I$89,5,0)</f>
        <v>279.55199999999979</v>
      </c>
      <c r="CA189" s="14">
        <f t="shared" si="170"/>
        <v>66.872324781216591</v>
      </c>
      <c r="CB189" s="22">
        <f t="shared" si="171"/>
        <v>603.35569899395182</v>
      </c>
      <c r="CC189" s="62">
        <f t="shared" si="119"/>
        <v>896.68903232728508</v>
      </c>
      <c r="CD189" s="62">
        <f ca="1">AVERAGE(OFFSET($CC$3,0,0,'Données projet'!$E$12+1,1))-AVERAGE(OFFSET($H$3,0,0,'Données projet'!$E$12+1,1))</f>
        <v>248.60758320902863</v>
      </c>
      <c r="CE189" s="62">
        <f t="shared" si="148"/>
        <v>222.23585883330111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6.6315657847527065</v>
      </c>
      <c r="CL189" s="23">
        <f>EXP(-LN(2)/25)*CL188+(1-EXP(-LN(2)/25))/(LN(2)/25)*Calculateur!CG189*Calculateur!CI189*VLOOKUP('Données projet'!$B$12,Paramètres!$A$1:$I$89,3,0)*0.475*44/12</f>
        <v>0.38098141517458939</v>
      </c>
      <c r="CM189" s="23">
        <f>EXP(-LN(2)/2)*CM188+(1-EXP(-LN(2)/2))/(LN(2)/2)*CG189*CJ189*VLOOKUP('Données projet'!$B$12,Paramètres!$A$1:$I$89,3,0)*0.475*44/12</f>
        <v>2.084791222339698E-16</v>
      </c>
      <c r="CN189" s="24">
        <f t="shared" si="172"/>
        <v>7.0125471999272957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193.99999999999994</v>
      </c>
      <c r="CU189" s="18">
        <f>CT189*VLOOKUP('Données projet'!$B$13,Paramètres!$A$1:$I$89,3,0)*VLOOKUP('Données projet'!$B$13,Paramètres!$A$1:$I$89,5,0)</f>
        <v>105.92399999999998</v>
      </c>
      <c r="CV189" s="14">
        <f t="shared" si="173"/>
        <v>28.36854701055546</v>
      </c>
      <c r="CW189" s="22">
        <f t="shared" si="174"/>
        <v>233.89285271005073</v>
      </c>
      <c r="CX189" s="62">
        <f t="shared" si="122"/>
        <v>527.22618604338402</v>
      </c>
      <c r="CY189" s="62">
        <f ca="1">AVERAGE(OFFSET($CX$3,0,0,'Données projet'!$E$13+1,1))-AVERAGE(OFFSET($H$3,0,0,'Données projet'!$E$13+1,1))</f>
        <v>135.44138026609272</v>
      </c>
      <c r="CZ189" s="62">
        <f t="shared" si="150"/>
        <v>254.77247578425659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3.0083420341473968</v>
      </c>
      <c r="DG189" s="23">
        <f>EXP(-LN(2)/25)*DG188+(1-EXP(-LN(2)/25))/(LN(2)/25)*Calculateur!DB189*Calculateur!DD189*VLOOKUP('Données projet'!$B$13,Paramètres!$A$1:$I$89,3,0)*0.475*44/12</f>
        <v>0.59850053280874738</v>
      </c>
      <c r="DH189" s="23">
        <f>EXP(-LN(2)/2)*DH188+(1-EXP(-LN(2)/2))/(LN(2)/2)*DB189*DE189*VLOOKUP('Données projet'!$B$13,Paramètres!$A$1:$I$89,3,0)*0.475*44/12</f>
        <v>2.8141223476777465E-22</v>
      </c>
      <c r="DI189" s="24">
        <f t="shared" si="175"/>
        <v>3.6068425669561441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273.00000000000023</v>
      </c>
      <c r="DP189" s="18">
        <f>DO189*VLOOKUP('Données projet'!$B$14,Paramètres!$A$1:$I$89,3,0)*VLOOKUP('Données projet'!$B$14,Paramètres!$A$1:$I$89,5,0)</f>
        <v>264.04560000000021</v>
      </c>
      <c r="DQ189" s="14">
        <f t="shared" si="176"/>
        <v>63.583959929973794</v>
      </c>
      <c r="DR189" s="22">
        <f t="shared" si="177"/>
        <v>570.6214835447048</v>
      </c>
      <c r="DS189" s="62">
        <f t="shared" si="125"/>
        <v>863.95481687803817</v>
      </c>
      <c r="DT189" s="62">
        <f ca="1">AVERAGE(OFFSET($DS$3,0,0,'Données projet'!$E$14+1,1))-AVERAGE(OFFSET($H$3,0,0,'Données projet'!$E$14+1,1))</f>
        <v>271.09447278906288</v>
      </c>
      <c r="DU189" s="62">
        <f t="shared" si="152"/>
        <v>325.1094067861851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3.3378903694316433</v>
      </c>
      <c r="EB189" s="23">
        <f>EXP(-LN(2)/25)*EB188+(1-EXP(-LN(2)/25))/(LN(2)/25)*Calculateur!DW189*Calculateur!DY189*VLOOKUP('Données projet'!$B$14,Paramètres!$A$1:$I$89,3,0)*0.475*44/12</f>
        <v>0.22359911639065697</v>
      </c>
      <c r="EC189" s="23">
        <f>EXP(-LN(2)/2)*EC188+(1-EXP(-LN(2)/2))/(LN(2)/2)*DW189*DZ189*VLOOKUP('Données projet'!$B$14,Paramètres!$A$1:$I$89,3,0)*0.475*44/12</f>
        <v>6.6068694261532193E-19</v>
      </c>
      <c r="ED189" s="24">
        <f t="shared" si="178"/>
        <v>3.5614894858223001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273.00000000000023</v>
      </c>
      <c r="EK189" s="18">
        <f>EJ189*VLOOKUP('Données projet'!$B$15,Paramètres!$A$1:$I$89,3,0)*VLOOKUP('Données projet'!$B$15,Paramètres!$A$1:$I$89,5,0)</f>
        <v>293.85720000000026</v>
      </c>
      <c r="EL189" s="14">
        <f t="shared" si="179"/>
        <v>69.887150190339895</v>
      </c>
      <c r="EM189" s="22">
        <f t="shared" si="180"/>
        <v>633.52140991484237</v>
      </c>
      <c r="EN189" s="62">
        <f t="shared" si="128"/>
        <v>926.85474324817574</v>
      </c>
      <c r="EO189" s="62">
        <f ca="1">AVERAGE(OFFSET($EN$3,0,0,'Données projet'!$E$15+1,1))-AVERAGE(OFFSET($H$3,0,0,'Données projet'!$E$15+1,1))</f>
        <v>306.50593475734655</v>
      </c>
      <c r="EP189" s="62">
        <f t="shared" si="154"/>
        <v>366.48643801375079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3.714748959528765</v>
      </c>
      <c r="EW189" s="23">
        <f>EXP(-LN(2)/25)*EW188+(1-EXP(-LN(2)/25))/(LN(2)/25)*Calculateur!ER189*Calculateur!ET189*VLOOKUP('Données projet'!$B$15,Paramètres!$A$1:$I$89,3,0)*0.475*44/12</f>
        <v>0.248844177918634</v>
      </c>
      <c r="EX189" s="23">
        <f>EXP(-LN(2)/2)*EX188+(1-EXP(-LN(2)/2))/(LN(2)/2)*ER189*EU189*VLOOKUP('Données projet'!$B$15,Paramètres!$A$1:$I$89,3,0)*0.475*44/12</f>
        <v>7.3528062968479336E-19</v>
      </c>
      <c r="EY189" s="24">
        <f t="shared" si="181"/>
        <v>3.9635931374473992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137.10839999999968</v>
      </c>
      <c r="D190" s="12">
        <f t="shared" si="140"/>
        <v>35.633778064637305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1333.4483920778996</v>
      </c>
      <c r="H190" s="70">
        <f t="shared" si="110"/>
        <v>594.1926267959094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306.99999999999994</v>
      </c>
      <c r="O190" s="14">
        <f>N190*VLOOKUP('Données projet'!$B$9,Paramètres!$A$1:$I$89,3,0)*VLOOKUP('Données projet'!$B$9,Paramètres!$A$1:$I$89,5,0)</f>
        <v>277.77359999999993</v>
      </c>
      <c r="P190" s="14">
        <f t="shared" si="141"/>
        <v>66.496288176842356</v>
      </c>
      <c r="Q190" s="22">
        <f t="shared" si="162"/>
        <v>599.60338857466706</v>
      </c>
      <c r="R190" s="62">
        <f t="shared" si="109"/>
        <v>892.93672190800044</v>
      </c>
      <c r="S190" s="62">
        <f ca="1">AVERAGE(OFFSET($R$3,0,0,'Données projet'!$E$9+1,1))-AVERAGE(OFFSET($H$3,0,0,'Données projet'!$E$9+1,1))</f>
        <v>312.57314929661908</v>
      </c>
      <c r="T190" s="62">
        <f t="shared" si="142"/>
        <v>190.92100876773804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18.438100692564895</v>
      </c>
      <c r="AA190" s="23">
        <f>EXP(-LN(2)/25)*AA189+(1-EXP(-LN(2)/25))/(LN(2)/25)*Calculateur!V190*Calculateur!X190*VLOOKUP('Données projet'!$B$9,Paramètres!$A$1:$I$89,3,0)*0.475*44/12</f>
        <v>0.4505946665503805</v>
      </c>
      <c r="AB190" s="23">
        <f>EXP(-LN(2)/2)*AB189+(1-EXP(-LN(2)/2))/(LN(2)/2)*V190*Y190*VLOOKUP('Données projet'!$B$9,Paramètres!$A$1:$I$89,3,0)*0.475*44/12</f>
        <v>2.1924850197884772E-11</v>
      </c>
      <c r="AC190" s="24">
        <f t="shared" si="163"/>
        <v>18.888695359137198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306.99999999999994</v>
      </c>
      <c r="AJ190" s="14">
        <f>AI190*VLOOKUP('Données projet'!$B$10,Paramètres!$A$1:$I$89,3,0)*VLOOKUP('Données projet'!$B$10,Paramètres!$A$1:$I$89,5,0)</f>
        <v>311.298</v>
      </c>
      <c r="AK190" s="14">
        <f t="shared" si="164"/>
        <v>73.539838278528748</v>
      </c>
      <c r="AL190" s="22">
        <f t="shared" si="165"/>
        <v>670.25923500177089</v>
      </c>
      <c r="AM190" s="62">
        <f t="shared" si="113"/>
        <v>963.59256833510426</v>
      </c>
      <c r="AN190" s="62">
        <f ca="1">AVERAGE(OFFSET($AM$3,0,0,'Données projet'!$E$10+1,1))-AVERAGE(OFFSET($H$3,0,0,'Données projet'!$E$10+1,1))</f>
        <v>360.56293184044779</v>
      </c>
      <c r="AO190" s="62">
        <f t="shared" si="144"/>
        <v>219.32252911220542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20.663388707184769</v>
      </c>
      <c r="AV190" s="23">
        <f>EXP(-LN(2)/25)*AV189+(1-EXP(-LN(2)/25))/(LN(2)/25)*Calculateur!AQ190*Calculateur!AS190*VLOOKUP('Données projet'!$B$10,Paramètres!$A$1:$I$89,3,0)*0.475*44/12</f>
        <v>0.5049767814788747</v>
      </c>
      <c r="AW190" s="23">
        <f>EXP(-LN(2)/2)*AW189+(1-EXP(-LN(2)/2))/(LN(2)/2)*AQ190*AT190*VLOOKUP('Données projet'!$B$10,Paramètres!$A$1:$I$89,3,0)*0.475*44/12</f>
        <v>2.4570952807974318E-11</v>
      </c>
      <c r="AX190" s="23">
        <f t="shared" si="166"/>
        <v>21.168365488688213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1.1368683772161603E-13</v>
      </c>
      <c r="BE190" s="14">
        <f>BD190*VLOOKUP('Données projet'!$B$11,Paramètres!$A$1:$I$89,3,0)*VLOOKUP('Données projet'!$B$11,Paramètres!$A$1:$I$89,5,0)</f>
        <v>8.3355189417488869E-14</v>
      </c>
      <c r="BF190" s="14">
        <f t="shared" si="167"/>
        <v>1.2790518435140618E-12</v>
      </c>
      <c r="BG190" s="22">
        <f t="shared" si="168"/>
        <v>2.3728589156891171E-12</v>
      </c>
      <c r="BH190" s="62">
        <f t="shared" si="116"/>
        <v>293.3333333333357</v>
      </c>
      <c r="BI190" s="62">
        <f ca="1">AVERAGE(OFFSET($BH$3,0,0,'Données projet'!$E$11+1,1))-AVERAGE(OFFSET($H$3,0,0,'Données projet'!$E$11+1,1))</f>
        <v>182.06733089745194</v>
      </c>
      <c r="BJ190" s="62">
        <f t="shared" si="146"/>
        <v>320.36755413886021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2.6668110781166483</v>
      </c>
      <c r="BQ190" s="23">
        <f>EXP(-LN(2)/25)*BQ189+(1-EXP(-LN(2)/25))/(LN(2)/25)*Calculateur!BL190*Calculateur!BN190*VLOOKUP('Données projet'!$B$11,Paramètres!$A$1:$I$89,3,0)*0.475*44/12</f>
        <v>0.16352077842754081</v>
      </c>
      <c r="BR190" s="23">
        <f>EXP(-LN(2)/2)*BR189+(1-EXP(-LN(2)/2))/(LN(2)/2)*BL190*BO190*VLOOKUP('Données projet'!$B$11,Paramètres!$A$1:$I$89,3,0)*0.475*44/12</f>
        <v>1.732217639740481E-21</v>
      </c>
      <c r="BS190" s="24">
        <f t="shared" si="169"/>
        <v>2.8303318565441891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319.99999999999972</v>
      </c>
      <c r="BZ190" s="14">
        <f>BY190*VLOOKUP('Données projet'!$B$12,Paramètres!$A$1:$I$89,3,0)*VLOOKUP('Données projet'!$B$12,Paramètres!$A$1:$I$89,5,0)</f>
        <v>279.55199999999979</v>
      </c>
      <c r="CA190" s="14">
        <f t="shared" si="170"/>
        <v>66.872324781216591</v>
      </c>
      <c r="CB190" s="22">
        <f t="shared" si="171"/>
        <v>603.35569899395182</v>
      </c>
      <c r="CC190" s="62">
        <f t="shared" si="119"/>
        <v>896.68903232728508</v>
      </c>
      <c r="CD190" s="62">
        <f ca="1">AVERAGE(OFFSET($CC$3,0,0,'Données projet'!$E$12+1,1))-AVERAGE(OFFSET($H$3,0,0,'Données projet'!$E$12+1,1))</f>
        <v>248.60758320902863</v>
      </c>
      <c r="CE190" s="62">
        <f t="shared" si="148"/>
        <v>222.23585883330111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6.5015248245694384</v>
      </c>
      <c r="CL190" s="23">
        <f>EXP(-LN(2)/25)*CL189+(1-EXP(-LN(2)/25))/(LN(2)/25)*Calculateur!CG190*Calculateur!CI190*VLOOKUP('Données projet'!$B$12,Paramètres!$A$1:$I$89,3,0)*0.475*44/12</f>
        <v>0.37056345834169835</v>
      </c>
      <c r="CM190" s="23">
        <f>EXP(-LN(2)/2)*CM189+(1-EXP(-LN(2)/2))/(LN(2)/2)*CG190*CJ190*VLOOKUP('Données projet'!$B$12,Paramètres!$A$1:$I$89,3,0)*0.475*44/12</f>
        <v>1.4741700106745917E-16</v>
      </c>
      <c r="CN190" s="24">
        <f t="shared" si="172"/>
        <v>6.8720882829111369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193.99999999999994</v>
      </c>
      <c r="CU190" s="18">
        <f>CT190*VLOOKUP('Données projet'!$B$13,Paramètres!$A$1:$I$89,3,0)*VLOOKUP('Données projet'!$B$13,Paramètres!$A$1:$I$89,5,0)</f>
        <v>105.92399999999998</v>
      </c>
      <c r="CV190" s="14">
        <f t="shared" si="173"/>
        <v>28.36854701055546</v>
      </c>
      <c r="CW190" s="22">
        <f t="shared" si="174"/>
        <v>233.89285271005073</v>
      </c>
      <c r="CX190" s="62">
        <f t="shared" si="122"/>
        <v>527.22618604338402</v>
      </c>
      <c r="CY190" s="62">
        <f ca="1">AVERAGE(OFFSET($CX$3,0,0,'Données projet'!$E$13+1,1))-AVERAGE(OFFSET($H$3,0,0,'Données projet'!$E$13+1,1))</f>
        <v>135.44138026609272</v>
      </c>
      <c r="CZ190" s="62">
        <f t="shared" si="150"/>
        <v>254.77247578425659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2.9493502817652253</v>
      </c>
      <c r="DG190" s="23">
        <f>EXP(-LN(2)/25)*DG189+(1-EXP(-LN(2)/25))/(LN(2)/25)*Calculateur!DB190*Calculateur!DD190*VLOOKUP('Données projet'!$B$13,Paramètres!$A$1:$I$89,3,0)*0.475*44/12</f>
        <v>0.5821345042653171</v>
      </c>
      <c r="DH190" s="23">
        <f>EXP(-LN(2)/2)*DH189+(1-EXP(-LN(2)/2))/(LN(2)/2)*DB190*DE190*VLOOKUP('Données projet'!$B$13,Paramètres!$A$1:$I$89,3,0)*0.475*44/12</f>
        <v>1.9898849951315417E-22</v>
      </c>
      <c r="DI190" s="24">
        <f t="shared" si="175"/>
        <v>3.5314847860305423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273.00000000000023</v>
      </c>
      <c r="DP190" s="18">
        <f>DO190*VLOOKUP('Données projet'!$B$14,Paramètres!$A$1:$I$89,3,0)*VLOOKUP('Données projet'!$B$14,Paramètres!$A$1:$I$89,5,0)</f>
        <v>264.04560000000021</v>
      </c>
      <c r="DQ190" s="14">
        <f t="shared" si="176"/>
        <v>63.583959929973794</v>
      </c>
      <c r="DR190" s="22">
        <f t="shared" si="177"/>
        <v>570.6214835447048</v>
      </c>
      <c r="DS190" s="62">
        <f t="shared" si="125"/>
        <v>863.95481687803817</v>
      </c>
      <c r="DT190" s="62">
        <f ca="1">AVERAGE(OFFSET($DS$3,0,0,'Données projet'!$E$14+1,1))-AVERAGE(OFFSET($H$3,0,0,'Données projet'!$E$14+1,1))</f>
        <v>271.09447278906288</v>
      </c>
      <c r="DU190" s="62">
        <f t="shared" si="152"/>
        <v>325.1094067861851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3.2724363751991845</v>
      </c>
      <c r="EB190" s="23">
        <f>EXP(-LN(2)/25)*EB189+(1-EXP(-LN(2)/25))/(LN(2)/25)*Calculateur!DW190*Calculateur!DY190*VLOOKUP('Données projet'!$B$14,Paramètres!$A$1:$I$89,3,0)*0.475*44/12</f>
        <v>0.21748478679438796</v>
      </c>
      <c r="EC190" s="23">
        <f>EXP(-LN(2)/2)*EC189+(1-EXP(-LN(2)/2))/(LN(2)/2)*DW190*DZ190*VLOOKUP('Données projet'!$B$14,Paramètres!$A$1:$I$89,3,0)*0.475*44/12</f>
        <v>4.6717621736470152E-19</v>
      </c>
      <c r="ED190" s="24">
        <f t="shared" si="178"/>
        <v>3.4899211619935726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273.00000000000023</v>
      </c>
      <c r="EK190" s="18">
        <f>EJ190*VLOOKUP('Données projet'!$B$15,Paramètres!$A$1:$I$89,3,0)*VLOOKUP('Données projet'!$B$15,Paramètres!$A$1:$I$89,5,0)</f>
        <v>293.85720000000026</v>
      </c>
      <c r="EL190" s="14">
        <f t="shared" si="179"/>
        <v>69.887150190339895</v>
      </c>
      <c r="EM190" s="22">
        <f t="shared" si="180"/>
        <v>633.52140991484237</v>
      </c>
      <c r="EN190" s="62">
        <f t="shared" si="128"/>
        <v>926.85474324817574</v>
      </c>
      <c r="EO190" s="62">
        <f ca="1">AVERAGE(OFFSET($EN$3,0,0,'Données projet'!$E$15+1,1))-AVERAGE(OFFSET($H$3,0,0,'Données projet'!$E$15+1,1))</f>
        <v>306.50593475734655</v>
      </c>
      <c r="EP190" s="62">
        <f t="shared" si="154"/>
        <v>366.48643801375079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3.6419049982055447</v>
      </c>
      <c r="EW190" s="23">
        <f>EXP(-LN(2)/25)*EW189+(1-EXP(-LN(2)/25))/(LN(2)/25)*Calculateur!ER190*Calculateur!ET190*VLOOKUP('Données projet'!$B$15,Paramètres!$A$1:$I$89,3,0)*0.475*44/12</f>
        <v>0.24203952078730237</v>
      </c>
      <c r="EX190" s="23">
        <f>EXP(-LN(2)/2)*EX189+(1-EXP(-LN(2)/2))/(LN(2)/2)*ER190*EU190*VLOOKUP('Données projet'!$B$15,Paramètres!$A$1:$I$89,3,0)*0.475*44/12</f>
        <v>5.1992191932523206E-19</v>
      </c>
      <c r="EY190" s="24">
        <f t="shared" si="181"/>
        <v>3.883944518992847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137.84159999999969</v>
      </c>
      <c r="D191" s="12">
        <f t="shared" si="140"/>
        <v>35.802100130711267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1340.4075097809266</v>
      </c>
      <c r="H191" s="70">
        <f t="shared" si="110"/>
        <v>595.76277772765491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306.99999999999994</v>
      </c>
      <c r="O191" s="14">
        <f>N191*VLOOKUP('Données projet'!$B$9,Paramètres!$A$1:$I$89,3,0)*VLOOKUP('Données projet'!$B$9,Paramètres!$A$1:$I$89,5,0)</f>
        <v>277.77359999999993</v>
      </c>
      <c r="P191" s="14">
        <f t="shared" si="141"/>
        <v>66.496288176842356</v>
      </c>
      <c r="Q191" s="22">
        <f t="shared" si="162"/>
        <v>599.60338857466706</v>
      </c>
      <c r="R191" s="62">
        <f t="shared" si="109"/>
        <v>892.93672190800044</v>
      </c>
      <c r="S191" s="62">
        <f ca="1">AVERAGE(OFFSET($R$3,0,0,'Données projet'!$E$9+1,1))-AVERAGE(OFFSET($H$3,0,0,'Données projet'!$E$9+1,1))</f>
        <v>312.57314929661908</v>
      </c>
      <c r="T191" s="62">
        <f t="shared" si="142"/>
        <v>190.92100876773804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18.076540784114655</v>
      </c>
      <c r="AA191" s="23">
        <f>EXP(-LN(2)/25)*AA190+(1-EXP(-LN(2)/25))/(LN(2)/25)*Calculateur!V191*Calculateur!X191*VLOOKUP('Données projet'!$B$9,Paramètres!$A$1:$I$89,3,0)*0.475*44/12</f>
        <v>0.43827313169781668</v>
      </c>
      <c r="AB191" s="23">
        <f>EXP(-LN(2)/2)*AB190+(1-EXP(-LN(2)/2))/(LN(2)/2)*V191*Y191*VLOOKUP('Données projet'!$B$9,Paramètres!$A$1:$I$89,3,0)*0.475*44/12</f>
        <v>1.5503210251423541E-11</v>
      </c>
      <c r="AC191" s="24">
        <f t="shared" si="163"/>
        <v>18.514813915827975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306.99999999999994</v>
      </c>
      <c r="AJ191" s="14">
        <f>AI191*VLOOKUP('Données projet'!$B$10,Paramètres!$A$1:$I$89,3,0)*VLOOKUP('Données projet'!$B$10,Paramètres!$A$1:$I$89,5,0)</f>
        <v>311.298</v>
      </c>
      <c r="AK191" s="14">
        <f t="shared" si="164"/>
        <v>73.539838278528748</v>
      </c>
      <c r="AL191" s="22">
        <f t="shared" si="165"/>
        <v>670.25923500177089</v>
      </c>
      <c r="AM191" s="62">
        <f t="shared" si="113"/>
        <v>963.59256833510426</v>
      </c>
      <c r="AN191" s="62">
        <f ca="1">AVERAGE(OFFSET($AM$3,0,0,'Données projet'!$E$10+1,1))-AVERAGE(OFFSET($H$3,0,0,'Données projet'!$E$10+1,1))</f>
        <v>360.56293184044779</v>
      </c>
      <c r="AO191" s="62">
        <f t="shared" si="144"/>
        <v>219.32252911220542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20.258192258059502</v>
      </c>
      <c r="AV191" s="23">
        <f>EXP(-LN(2)/25)*AV190+(1-EXP(-LN(2)/25))/(LN(2)/25)*Calculateur!AQ191*Calculateur!AS191*VLOOKUP('Données projet'!$B$10,Paramètres!$A$1:$I$89,3,0)*0.475*44/12</f>
        <v>0.49116816483376008</v>
      </c>
      <c r="AW191" s="23">
        <f>EXP(-LN(2)/2)*AW190+(1-EXP(-LN(2)/2))/(LN(2)/2)*AQ191*AT191*VLOOKUP('Données projet'!$B$10,Paramètres!$A$1:$I$89,3,0)*0.475*44/12</f>
        <v>1.7374287350733281E-11</v>
      </c>
      <c r="AX191" s="23">
        <f t="shared" si="166"/>
        <v>20.749360422910634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1.1368683772161603E-13</v>
      </c>
      <c r="BE191" s="14">
        <f>BD191*VLOOKUP('Données projet'!$B$11,Paramètres!$A$1:$I$89,3,0)*VLOOKUP('Données projet'!$B$11,Paramètres!$A$1:$I$89,5,0)</f>
        <v>8.3355189417488869E-14</v>
      </c>
      <c r="BF191" s="14">
        <f t="shared" si="167"/>
        <v>1.2790518435140618E-12</v>
      </c>
      <c r="BG191" s="22">
        <f t="shared" si="168"/>
        <v>2.3728589156891171E-12</v>
      </c>
      <c r="BH191" s="62">
        <f t="shared" si="116"/>
        <v>293.3333333333357</v>
      </c>
      <c r="BI191" s="62">
        <f ca="1">AVERAGE(OFFSET($BH$3,0,0,'Données projet'!$E$11+1,1))-AVERAGE(OFFSET($H$3,0,0,'Données projet'!$E$11+1,1))</f>
        <v>182.06733089745194</v>
      </c>
      <c r="BJ191" s="62">
        <f t="shared" si="146"/>
        <v>320.36755413886021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2.6145165394689256</v>
      </c>
      <c r="BQ191" s="23">
        <f>EXP(-LN(2)/25)*BQ190+(1-EXP(-LN(2)/25))/(LN(2)/25)*Calculateur!BL191*Calculateur!BN191*VLOOKUP('Données projet'!$B$11,Paramètres!$A$1:$I$89,3,0)*0.475*44/12</f>
        <v>0.15904929414225571</v>
      </c>
      <c r="BR191" s="23">
        <f>EXP(-LN(2)/2)*BR190+(1-EXP(-LN(2)/2))/(LN(2)/2)*BL191*BO191*VLOOKUP('Données projet'!$B$11,Paramètres!$A$1:$I$89,3,0)*0.475*44/12</f>
        <v>1.2248628395514501E-21</v>
      </c>
      <c r="BS191" s="24">
        <f t="shared" si="169"/>
        <v>2.7735658336111815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319.99999999999972</v>
      </c>
      <c r="BZ191" s="14">
        <f>BY191*VLOOKUP('Données projet'!$B$12,Paramètres!$A$1:$I$89,3,0)*VLOOKUP('Données projet'!$B$12,Paramètres!$A$1:$I$89,5,0)</f>
        <v>279.55199999999979</v>
      </c>
      <c r="CA191" s="14">
        <f t="shared" si="170"/>
        <v>66.872324781216591</v>
      </c>
      <c r="CB191" s="22">
        <f t="shared" si="171"/>
        <v>603.35569899395182</v>
      </c>
      <c r="CC191" s="62">
        <f t="shared" si="119"/>
        <v>896.68903232728508</v>
      </c>
      <c r="CD191" s="62">
        <f ca="1">AVERAGE(OFFSET($CC$3,0,0,'Données projet'!$E$12+1,1))-AVERAGE(OFFSET($H$3,0,0,'Données projet'!$E$12+1,1))</f>
        <v>248.60758320902863</v>
      </c>
      <c r="CE191" s="62">
        <f t="shared" si="148"/>
        <v>222.23585883330111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6.3740338882982099</v>
      </c>
      <c r="CL191" s="23">
        <f>EXP(-LN(2)/25)*CL190+(1-EXP(-LN(2)/25))/(LN(2)/25)*Calculateur!CG191*Calculateur!CI191*VLOOKUP('Données projet'!$B$12,Paramètres!$A$1:$I$89,3,0)*0.475*44/12</f>
        <v>0.36043038108625924</v>
      </c>
      <c r="CM191" s="23">
        <f>EXP(-LN(2)/2)*CM190+(1-EXP(-LN(2)/2))/(LN(2)/2)*CG191*CJ191*VLOOKUP('Données projet'!$B$12,Paramètres!$A$1:$I$89,3,0)*0.475*44/12</f>
        <v>1.042395611169849E-16</v>
      </c>
      <c r="CN191" s="24">
        <f t="shared" si="172"/>
        <v>6.7344642693844694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193.99999999999994</v>
      </c>
      <c r="CU191" s="18">
        <f>CT191*VLOOKUP('Données projet'!$B$13,Paramètres!$A$1:$I$89,3,0)*VLOOKUP('Données projet'!$B$13,Paramètres!$A$1:$I$89,5,0)</f>
        <v>105.92399999999998</v>
      </c>
      <c r="CV191" s="14">
        <f t="shared" si="173"/>
        <v>28.36854701055546</v>
      </c>
      <c r="CW191" s="22">
        <f t="shared" si="174"/>
        <v>233.89285271005073</v>
      </c>
      <c r="CX191" s="62">
        <f t="shared" si="122"/>
        <v>527.22618604338402</v>
      </c>
      <c r="CY191" s="62">
        <f ca="1">AVERAGE(OFFSET($CX$3,0,0,'Données projet'!$E$13+1,1))-AVERAGE(OFFSET($H$3,0,0,'Données projet'!$E$13+1,1))</f>
        <v>135.44138026609272</v>
      </c>
      <c r="CZ191" s="62">
        <f t="shared" si="150"/>
        <v>254.77247578425659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2.8915153216658518</v>
      </c>
      <c r="DG191" s="23">
        <f>EXP(-LN(2)/25)*DG190+(1-EXP(-LN(2)/25))/(LN(2)/25)*Calculateur!DB191*Calculateur!DD191*VLOOKUP('Données projet'!$B$13,Paramètres!$A$1:$I$89,3,0)*0.475*44/12</f>
        <v>0.56621600563305896</v>
      </c>
      <c r="DH191" s="23">
        <f>EXP(-LN(2)/2)*DH190+(1-EXP(-LN(2)/2))/(LN(2)/2)*DB191*DE191*VLOOKUP('Données projet'!$B$13,Paramètres!$A$1:$I$89,3,0)*0.475*44/12</f>
        <v>1.4070611738388732E-22</v>
      </c>
      <c r="DI191" s="24">
        <f t="shared" si="175"/>
        <v>3.4577313272989105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273.00000000000023</v>
      </c>
      <c r="DP191" s="18">
        <f>DO191*VLOOKUP('Données projet'!$B$14,Paramètres!$A$1:$I$89,3,0)*VLOOKUP('Données projet'!$B$14,Paramètres!$A$1:$I$89,5,0)</f>
        <v>264.04560000000021</v>
      </c>
      <c r="DQ191" s="14">
        <f t="shared" si="176"/>
        <v>63.583959929973794</v>
      </c>
      <c r="DR191" s="22">
        <f t="shared" si="177"/>
        <v>570.6214835447048</v>
      </c>
      <c r="DS191" s="62">
        <f t="shared" si="125"/>
        <v>863.95481687803817</v>
      </c>
      <c r="DT191" s="62">
        <f ca="1">AVERAGE(OFFSET($DS$3,0,0,'Données projet'!$E$14+1,1))-AVERAGE(OFFSET($H$3,0,0,'Données projet'!$E$14+1,1))</f>
        <v>271.09447278906288</v>
      </c>
      <c r="DU191" s="62">
        <f t="shared" si="152"/>
        <v>325.1094067861851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3.2082658938706299</v>
      </c>
      <c r="EB191" s="23">
        <f>EXP(-LN(2)/25)*EB190+(1-EXP(-LN(2)/25))/(LN(2)/25)*Calculateur!DW191*Calculateur!DY191*VLOOKUP('Données projet'!$B$14,Paramètres!$A$1:$I$89,3,0)*0.475*44/12</f>
        <v>0.21153765386246756</v>
      </c>
      <c r="EC191" s="23">
        <f>EXP(-LN(2)/2)*EC190+(1-EXP(-LN(2)/2))/(LN(2)/2)*DW191*DZ191*VLOOKUP('Données projet'!$B$14,Paramètres!$A$1:$I$89,3,0)*0.475*44/12</f>
        <v>3.3034347130766097E-19</v>
      </c>
      <c r="ED191" s="24">
        <f t="shared" si="178"/>
        <v>3.4198035477330975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273.00000000000023</v>
      </c>
      <c r="EK191" s="18">
        <f>EJ191*VLOOKUP('Données projet'!$B$15,Paramètres!$A$1:$I$89,3,0)*VLOOKUP('Données projet'!$B$15,Paramètres!$A$1:$I$89,5,0)</f>
        <v>293.85720000000026</v>
      </c>
      <c r="EL191" s="14">
        <f t="shared" si="179"/>
        <v>69.887150190339895</v>
      </c>
      <c r="EM191" s="22">
        <f t="shared" si="180"/>
        <v>633.52140991484237</v>
      </c>
      <c r="EN191" s="62">
        <f t="shared" si="128"/>
        <v>926.85474324817574</v>
      </c>
      <c r="EO191" s="62">
        <f ca="1">AVERAGE(OFFSET($EN$3,0,0,'Données projet'!$E$15+1,1))-AVERAGE(OFFSET($H$3,0,0,'Données projet'!$E$15+1,1))</f>
        <v>306.50593475734655</v>
      </c>
      <c r="EP191" s="62">
        <f t="shared" si="154"/>
        <v>366.48643801375079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3.5704894625334433</v>
      </c>
      <c r="EW191" s="23">
        <f>EXP(-LN(2)/25)*EW190+(1-EXP(-LN(2)/25))/(LN(2)/25)*Calculateur!ER191*Calculateur!ET191*VLOOKUP('Données projet'!$B$15,Paramètres!$A$1:$I$89,3,0)*0.475*44/12</f>
        <v>0.23542093736306838</v>
      </c>
      <c r="EX191" s="23">
        <f>EXP(-LN(2)/2)*EX190+(1-EXP(-LN(2)/2))/(LN(2)/2)*ER191*EU191*VLOOKUP('Données projet'!$B$15,Paramètres!$A$1:$I$89,3,0)*0.475*44/12</f>
        <v>3.6764031484239668E-19</v>
      </c>
      <c r="EY191" s="24">
        <f t="shared" si="181"/>
        <v>3.8059103998965118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138.5747999999997</v>
      </c>
      <c r="D192" s="12">
        <f t="shared" si="140"/>
        <v>35.970318012093358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1347.3658232512446</v>
      </c>
      <c r="H192" s="70">
        <f t="shared" si="110"/>
        <v>597.33274720439533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306.99999999999994</v>
      </c>
      <c r="O192" s="14">
        <f>N192*VLOOKUP('Données projet'!$B$9,Paramètres!$A$1:$I$89,3,0)*VLOOKUP('Données projet'!$B$9,Paramètres!$A$1:$I$89,5,0)</f>
        <v>277.77359999999993</v>
      </c>
      <c r="P192" s="14">
        <f t="shared" si="141"/>
        <v>66.496288176842356</v>
      </c>
      <c r="Q192" s="22">
        <f t="shared" si="162"/>
        <v>599.60338857466706</v>
      </c>
      <c r="R192" s="62">
        <f t="shared" si="109"/>
        <v>892.93672190800044</v>
      </c>
      <c r="S192" s="62">
        <f ca="1">AVERAGE(OFFSET($R$3,0,0,'Données projet'!$E$9+1,1))-AVERAGE(OFFSET($H$3,0,0,'Données projet'!$E$9+1,1))</f>
        <v>312.57314929661908</v>
      </c>
      <c r="T192" s="62">
        <f t="shared" si="142"/>
        <v>190.92100876773804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17.722070844939356</v>
      </c>
      <c r="AA192" s="23">
        <f>EXP(-LN(2)/25)*AA191+(1-EXP(-LN(2)/25))/(LN(2)/25)*Calculateur!V192*Calculateur!X192*VLOOKUP('Données projet'!$B$9,Paramètres!$A$1:$I$89,3,0)*0.475*44/12</f>
        <v>0.42628852986375759</v>
      </c>
      <c r="AB192" s="23">
        <f>EXP(-LN(2)/2)*AB191+(1-EXP(-LN(2)/2))/(LN(2)/2)*V192*Y192*VLOOKUP('Données projet'!$B$9,Paramètres!$A$1:$I$89,3,0)*0.475*44/12</f>
        <v>1.0962425098942386E-11</v>
      </c>
      <c r="AC192" s="24">
        <f t="shared" si="163"/>
        <v>18.148359374814078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306.99999999999994</v>
      </c>
      <c r="AJ192" s="14">
        <f>AI192*VLOOKUP('Données projet'!$B$10,Paramètres!$A$1:$I$89,3,0)*VLOOKUP('Données projet'!$B$10,Paramètres!$A$1:$I$89,5,0)</f>
        <v>311.298</v>
      </c>
      <c r="AK192" s="14">
        <f t="shared" si="164"/>
        <v>73.539838278528748</v>
      </c>
      <c r="AL192" s="22">
        <f t="shared" si="165"/>
        <v>670.25923500177089</v>
      </c>
      <c r="AM192" s="62">
        <f t="shared" si="113"/>
        <v>963.59256833510426</v>
      </c>
      <c r="AN192" s="62">
        <f ca="1">AVERAGE(OFFSET($AM$3,0,0,'Données projet'!$E$10+1,1))-AVERAGE(OFFSET($H$3,0,0,'Données projet'!$E$10+1,1))</f>
        <v>360.56293184044779</v>
      </c>
      <c r="AO192" s="62">
        <f t="shared" si="144"/>
        <v>219.32252911220542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19.860941464156152</v>
      </c>
      <c r="AV192" s="23">
        <f>EXP(-LN(2)/25)*AV191+(1-EXP(-LN(2)/25))/(LN(2)/25)*Calculateur!AQ192*Calculateur!AS192*VLOOKUP('Données projet'!$B$10,Paramètres!$A$1:$I$89,3,0)*0.475*44/12</f>
        <v>0.47773714553696972</v>
      </c>
      <c r="AW192" s="23">
        <f>EXP(-LN(2)/2)*AW191+(1-EXP(-LN(2)/2))/(LN(2)/2)*AQ192*AT192*VLOOKUP('Données projet'!$B$10,Paramètres!$A$1:$I$89,3,0)*0.475*44/12</f>
        <v>1.2285476403987159E-11</v>
      </c>
      <c r="AX192" s="23">
        <f t="shared" si="166"/>
        <v>20.338678609705408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1.1368683772161603E-13</v>
      </c>
      <c r="BE192" s="14">
        <f>BD192*VLOOKUP('Données projet'!$B$11,Paramètres!$A$1:$I$89,3,0)*VLOOKUP('Données projet'!$B$11,Paramètres!$A$1:$I$89,5,0)</f>
        <v>8.3355189417488869E-14</v>
      </c>
      <c r="BF192" s="14">
        <f t="shared" si="167"/>
        <v>1.2790518435140618E-12</v>
      </c>
      <c r="BG192" s="22">
        <f t="shared" si="168"/>
        <v>2.3728589156891171E-12</v>
      </c>
      <c r="BH192" s="62">
        <f t="shared" si="116"/>
        <v>293.3333333333357</v>
      </c>
      <c r="BI192" s="62">
        <f ca="1">AVERAGE(OFFSET($BH$3,0,0,'Données projet'!$E$11+1,1))-AVERAGE(OFFSET($H$3,0,0,'Données projet'!$E$11+1,1))</f>
        <v>182.06733089745194</v>
      </c>
      <c r="BJ192" s="62">
        <f t="shared" si="146"/>
        <v>320.36755413886021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2.5632474648275658</v>
      </c>
      <c r="BQ192" s="23">
        <f>EXP(-LN(2)/25)*BQ191+(1-EXP(-LN(2)/25))/(LN(2)/25)*Calculateur!BL192*Calculateur!BN192*VLOOKUP('Données projet'!$B$11,Paramètres!$A$1:$I$89,3,0)*0.475*44/12</f>
        <v>0.15470008282989686</v>
      </c>
      <c r="BR192" s="23">
        <f>EXP(-LN(2)/2)*BR191+(1-EXP(-LN(2)/2))/(LN(2)/2)*BL192*BO192*VLOOKUP('Données projet'!$B$11,Paramètres!$A$1:$I$89,3,0)*0.475*44/12</f>
        <v>8.661088198702405E-22</v>
      </c>
      <c r="BS192" s="24">
        <f t="shared" si="169"/>
        <v>2.7179475476574626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319.99999999999972</v>
      </c>
      <c r="BZ192" s="14">
        <f>BY192*VLOOKUP('Données projet'!$B$12,Paramètres!$A$1:$I$89,3,0)*VLOOKUP('Données projet'!$B$12,Paramètres!$A$1:$I$89,5,0)</f>
        <v>279.55199999999979</v>
      </c>
      <c r="CA192" s="14">
        <f t="shared" si="170"/>
        <v>66.872324781216591</v>
      </c>
      <c r="CB192" s="22">
        <f t="shared" si="171"/>
        <v>603.35569899395182</v>
      </c>
      <c r="CC192" s="62">
        <f t="shared" si="119"/>
        <v>896.68903232728508</v>
      </c>
      <c r="CD192" s="62">
        <f ca="1">AVERAGE(OFFSET($CC$3,0,0,'Données projet'!$E$12+1,1))-AVERAGE(OFFSET($H$3,0,0,'Données projet'!$E$12+1,1))</f>
        <v>248.60758320902863</v>
      </c>
      <c r="CE192" s="62">
        <f t="shared" si="148"/>
        <v>222.23585883330111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6.2490429715254674</v>
      </c>
      <c r="CL192" s="23">
        <f>EXP(-LN(2)/25)*CL191+(1-EXP(-LN(2)/25))/(LN(2)/25)*Calculateur!CG192*Calculateur!CI192*VLOOKUP('Données projet'!$B$12,Paramètres!$A$1:$I$89,3,0)*0.475*44/12</f>
        <v>0.35057439336124552</v>
      </c>
      <c r="CM192" s="23">
        <f>EXP(-LN(2)/2)*CM191+(1-EXP(-LN(2)/2))/(LN(2)/2)*CG192*CJ192*VLOOKUP('Données projet'!$B$12,Paramètres!$A$1:$I$89,3,0)*0.475*44/12</f>
        <v>7.3708500533729587E-17</v>
      </c>
      <c r="CN192" s="24">
        <f t="shared" si="172"/>
        <v>6.5996173648867131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193.99999999999994</v>
      </c>
      <c r="CU192" s="18">
        <f>CT192*VLOOKUP('Données projet'!$B$13,Paramètres!$A$1:$I$89,3,0)*VLOOKUP('Données projet'!$B$13,Paramètres!$A$1:$I$89,5,0)</f>
        <v>105.92399999999998</v>
      </c>
      <c r="CV192" s="14">
        <f t="shared" si="173"/>
        <v>28.36854701055546</v>
      </c>
      <c r="CW192" s="22">
        <f t="shared" si="174"/>
        <v>233.89285271005073</v>
      </c>
      <c r="CX192" s="62">
        <f t="shared" si="122"/>
        <v>527.22618604338402</v>
      </c>
      <c r="CY192" s="62">
        <f ca="1">AVERAGE(OFFSET($CX$3,0,0,'Données projet'!$E$13+1,1))-AVERAGE(OFFSET($H$3,0,0,'Données projet'!$E$13+1,1))</f>
        <v>135.44138026609272</v>
      </c>
      <c r="CZ192" s="62">
        <f t="shared" si="150"/>
        <v>254.77247578425659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2.8348144698581845</v>
      </c>
      <c r="DG192" s="23">
        <f>EXP(-LN(2)/25)*DG191+(1-EXP(-LN(2)/25))/(LN(2)/25)*Calculateur!DB192*Calculateur!DD192*VLOOKUP('Données projet'!$B$13,Paramètres!$A$1:$I$89,3,0)*0.475*44/12</f>
        <v>0.55073279918301732</v>
      </c>
      <c r="DH192" s="23">
        <f>EXP(-LN(2)/2)*DH191+(1-EXP(-LN(2)/2))/(LN(2)/2)*DB192*DE192*VLOOKUP('Données projet'!$B$13,Paramètres!$A$1:$I$89,3,0)*0.475*44/12</f>
        <v>9.9494249756577085E-23</v>
      </c>
      <c r="DI192" s="24">
        <f t="shared" si="175"/>
        <v>3.3855472690412016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273.00000000000023</v>
      </c>
      <c r="DP192" s="18">
        <f>DO192*VLOOKUP('Données projet'!$B$14,Paramètres!$A$1:$I$89,3,0)*VLOOKUP('Données projet'!$B$14,Paramètres!$A$1:$I$89,5,0)</f>
        <v>264.04560000000021</v>
      </c>
      <c r="DQ192" s="14">
        <f t="shared" si="176"/>
        <v>63.583959929973794</v>
      </c>
      <c r="DR192" s="22">
        <f t="shared" si="177"/>
        <v>570.6214835447048</v>
      </c>
      <c r="DS192" s="62">
        <f t="shared" si="125"/>
        <v>863.95481687803817</v>
      </c>
      <c r="DT192" s="62">
        <f ca="1">AVERAGE(OFFSET($DS$3,0,0,'Données projet'!$E$14+1,1))-AVERAGE(OFFSET($H$3,0,0,'Données projet'!$E$14+1,1))</f>
        <v>271.09447278906288</v>
      </c>
      <c r="DU192" s="62">
        <f t="shared" si="152"/>
        <v>325.1094067861851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3.1453537565407994</v>
      </c>
      <c r="EB192" s="23">
        <f>EXP(-LN(2)/25)*EB191+(1-EXP(-LN(2)/25))/(LN(2)/25)*Calculateur!DW192*Calculateur!DY192*VLOOKUP('Données projet'!$B$14,Paramètres!$A$1:$I$89,3,0)*0.475*44/12</f>
        <v>0.20575314559331664</v>
      </c>
      <c r="EC192" s="23">
        <f>EXP(-LN(2)/2)*EC191+(1-EXP(-LN(2)/2))/(LN(2)/2)*DW192*DZ192*VLOOKUP('Données projet'!$B$14,Paramètres!$A$1:$I$89,3,0)*0.475*44/12</f>
        <v>2.3358810868235076E-19</v>
      </c>
      <c r="ED192" s="24">
        <f t="shared" si="178"/>
        <v>3.351106902134116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273.00000000000023</v>
      </c>
      <c r="EK192" s="18">
        <f>EJ192*VLOOKUP('Données projet'!$B$15,Paramètres!$A$1:$I$89,3,0)*VLOOKUP('Données projet'!$B$15,Paramètres!$A$1:$I$89,5,0)</f>
        <v>293.85720000000026</v>
      </c>
      <c r="EL192" s="14">
        <f t="shared" si="179"/>
        <v>69.887150190339895</v>
      </c>
      <c r="EM192" s="22">
        <f t="shared" si="180"/>
        <v>633.52140991484237</v>
      </c>
      <c r="EN192" s="62">
        <f t="shared" si="128"/>
        <v>926.85474324817574</v>
      </c>
      <c r="EO192" s="62">
        <f ca="1">AVERAGE(OFFSET($EN$3,0,0,'Données projet'!$E$15+1,1))-AVERAGE(OFFSET($H$3,0,0,'Données projet'!$E$15+1,1))</f>
        <v>306.50593475734655</v>
      </c>
      <c r="EP192" s="62">
        <f t="shared" si="154"/>
        <v>366.48643801375079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3.5004743419566964</v>
      </c>
      <c r="EW192" s="23">
        <f>EXP(-LN(2)/25)*EW191+(1-EXP(-LN(2)/25))/(LN(2)/25)*Calculateur!ER192*Calculateur!ET192*VLOOKUP('Données projet'!$B$15,Paramètres!$A$1:$I$89,3,0)*0.475*44/12</f>
        <v>0.22898333945062624</v>
      </c>
      <c r="EX192" s="23">
        <f>EXP(-LN(2)/2)*EX191+(1-EXP(-LN(2)/2))/(LN(2)/2)*ER192*EU192*VLOOKUP('Données projet'!$B$15,Paramètres!$A$1:$I$89,3,0)*0.475*44/12</f>
        <v>2.5996095966261603E-19</v>
      </c>
      <c r="EY192" s="24">
        <f t="shared" si="181"/>
        <v>3.7294576814073226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139.30799999999971</v>
      </c>
      <c r="D193" s="12">
        <f t="shared" si="140"/>
        <v>36.138432324006331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1354.3233372379414</v>
      </c>
      <c r="H193" s="70">
        <f t="shared" si="110"/>
        <v>598.90253629764379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306.99999999999994</v>
      </c>
      <c r="O193" s="14">
        <f>N193*VLOOKUP('Données projet'!$B$9,Paramètres!$A$1:$I$89,3,0)*VLOOKUP('Données projet'!$B$9,Paramètres!$A$1:$I$89,5,0)</f>
        <v>277.77359999999993</v>
      </c>
      <c r="P193" s="14">
        <f t="shared" si="141"/>
        <v>66.496288176842356</v>
      </c>
      <c r="Q193" s="22">
        <f t="shared" si="162"/>
        <v>599.60338857466706</v>
      </c>
      <c r="R193" s="62">
        <f t="shared" si="109"/>
        <v>892.93672190800044</v>
      </c>
      <c r="S193" s="62">
        <f ca="1">AVERAGE(OFFSET($R$3,0,0,'Données projet'!$E$9+1,1))-AVERAGE(OFFSET($H$3,0,0,'Données projet'!$E$9+1,1))</f>
        <v>312.57314929661908</v>
      </c>
      <c r="T193" s="62">
        <f t="shared" si="142"/>
        <v>190.92100876773804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17.374551845065973</v>
      </c>
      <c r="AA193" s="23">
        <f>EXP(-LN(2)/25)*AA192+(1-EXP(-LN(2)/25))/(LN(2)/25)*Calculateur!V193*Calculateur!X193*VLOOKUP('Données projet'!$B$9,Paramètres!$A$1:$I$89,3,0)*0.475*44/12</f>
        <v>0.41463164759709364</v>
      </c>
      <c r="AB193" s="23">
        <f>EXP(-LN(2)/2)*AB192+(1-EXP(-LN(2)/2))/(LN(2)/2)*V193*Y193*VLOOKUP('Données projet'!$B$9,Paramètres!$A$1:$I$89,3,0)*0.475*44/12</f>
        <v>7.7516051257117703E-12</v>
      </c>
      <c r="AC193" s="24">
        <f t="shared" si="163"/>
        <v>17.789183492670819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306.99999999999994</v>
      </c>
      <c r="AJ193" s="14">
        <f>AI193*VLOOKUP('Données projet'!$B$10,Paramètres!$A$1:$I$89,3,0)*VLOOKUP('Données projet'!$B$10,Paramètres!$A$1:$I$89,5,0)</f>
        <v>311.298</v>
      </c>
      <c r="AK193" s="14">
        <f t="shared" si="164"/>
        <v>73.539838278528748</v>
      </c>
      <c r="AL193" s="22">
        <f t="shared" si="165"/>
        <v>670.25923500177089</v>
      </c>
      <c r="AM193" s="62">
        <f t="shared" si="113"/>
        <v>963.59256833510426</v>
      </c>
      <c r="AN193" s="62">
        <f ca="1">AVERAGE(OFFSET($AM$3,0,0,'Données projet'!$E$10+1,1))-AVERAGE(OFFSET($H$3,0,0,'Données projet'!$E$10+1,1))</f>
        <v>360.56293184044779</v>
      </c>
      <c r="AO193" s="62">
        <f t="shared" si="144"/>
        <v>219.32252911220542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19.471480516022186</v>
      </c>
      <c r="AV193" s="23">
        <f>EXP(-LN(2)/25)*AV192+(1-EXP(-LN(2)/25))/(LN(2)/25)*Calculateur!AQ193*Calculateur!AS193*VLOOKUP('Données projet'!$B$10,Paramètres!$A$1:$I$89,3,0)*0.475*44/12</f>
        <v>0.4646733981691567</v>
      </c>
      <c r="AW193" s="23">
        <f>EXP(-LN(2)/2)*AW192+(1-EXP(-LN(2)/2))/(LN(2)/2)*AQ193*AT193*VLOOKUP('Données projet'!$B$10,Paramètres!$A$1:$I$89,3,0)*0.475*44/12</f>
        <v>8.6871436753666407E-12</v>
      </c>
      <c r="AX193" s="23">
        <f t="shared" si="166"/>
        <v>19.93615391420003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1.1368683772161603E-13</v>
      </c>
      <c r="BE193" s="14">
        <f>BD193*VLOOKUP('Données projet'!$B$11,Paramètres!$A$1:$I$89,3,0)*VLOOKUP('Données projet'!$B$11,Paramètres!$A$1:$I$89,5,0)</f>
        <v>8.3355189417488869E-14</v>
      </c>
      <c r="BF193" s="14">
        <f t="shared" si="167"/>
        <v>1.2790518435140618E-12</v>
      </c>
      <c r="BG193" s="22">
        <f t="shared" si="168"/>
        <v>2.3728589156891171E-12</v>
      </c>
      <c r="BH193" s="62">
        <f t="shared" si="116"/>
        <v>293.3333333333357</v>
      </c>
      <c r="BI193" s="62">
        <f ca="1">AVERAGE(OFFSET($BH$3,0,0,'Données projet'!$E$11+1,1))-AVERAGE(OFFSET($H$3,0,0,'Données projet'!$E$11+1,1))</f>
        <v>182.06733089745194</v>
      </c>
      <c r="BJ193" s="62">
        <f t="shared" si="146"/>
        <v>320.36755413886021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2.5129837454688753</v>
      </c>
      <c r="BQ193" s="23">
        <f>EXP(-LN(2)/25)*BQ192+(1-EXP(-LN(2)/25))/(LN(2)/25)*Calculateur!BL193*Calculateur!BN193*VLOOKUP('Données projet'!$B$11,Paramètres!$A$1:$I$89,3,0)*0.475*44/12</f>
        <v>0.15046980092958956</v>
      </c>
      <c r="BR193" s="23">
        <f>EXP(-LN(2)/2)*BR192+(1-EXP(-LN(2)/2))/(LN(2)/2)*BL193*BO193*VLOOKUP('Données projet'!$B$11,Paramètres!$A$1:$I$89,3,0)*0.475*44/12</f>
        <v>6.1243141977572505E-22</v>
      </c>
      <c r="BS193" s="24">
        <f t="shared" si="169"/>
        <v>2.6634535463984648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319.99999999999972</v>
      </c>
      <c r="BZ193" s="14">
        <f>BY193*VLOOKUP('Données projet'!$B$12,Paramètres!$A$1:$I$89,3,0)*VLOOKUP('Données projet'!$B$12,Paramètres!$A$1:$I$89,5,0)</f>
        <v>279.55199999999979</v>
      </c>
      <c r="CA193" s="14">
        <f t="shared" si="170"/>
        <v>66.872324781216591</v>
      </c>
      <c r="CB193" s="22">
        <f t="shared" si="171"/>
        <v>603.35569899395182</v>
      </c>
      <c r="CC193" s="62">
        <f t="shared" si="119"/>
        <v>896.68903232728508</v>
      </c>
      <c r="CD193" s="62">
        <f ca="1">AVERAGE(OFFSET($CC$3,0,0,'Données projet'!$E$12+1,1))-AVERAGE(OFFSET($H$3,0,0,'Données projet'!$E$12+1,1))</f>
        <v>248.60758320902863</v>
      </c>
      <c r="CE193" s="62">
        <f t="shared" si="148"/>
        <v>222.23585883330111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6.1265030503937075</v>
      </c>
      <c r="CL193" s="23">
        <f>EXP(-LN(2)/25)*CL192+(1-EXP(-LN(2)/25))/(LN(2)/25)*Calculateur!CG193*Calculateur!CI193*VLOOKUP('Données projet'!$B$12,Paramètres!$A$1:$I$89,3,0)*0.475*44/12</f>
        <v>0.34098791813887613</v>
      </c>
      <c r="CM193" s="23">
        <f>EXP(-LN(2)/2)*CM192+(1-EXP(-LN(2)/2))/(LN(2)/2)*CG193*CJ193*VLOOKUP('Données projet'!$B$12,Paramètres!$A$1:$I$89,3,0)*0.475*44/12</f>
        <v>5.2119780558492449E-17</v>
      </c>
      <c r="CN193" s="24">
        <f t="shared" si="172"/>
        <v>6.4674909685325837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193.99999999999994</v>
      </c>
      <c r="CU193" s="18">
        <f>CT193*VLOOKUP('Données projet'!$B$13,Paramètres!$A$1:$I$89,3,0)*VLOOKUP('Données projet'!$B$13,Paramètres!$A$1:$I$89,5,0)</f>
        <v>105.92399999999998</v>
      </c>
      <c r="CV193" s="14">
        <f t="shared" si="173"/>
        <v>28.36854701055546</v>
      </c>
      <c r="CW193" s="22">
        <f t="shared" si="174"/>
        <v>233.89285271005073</v>
      </c>
      <c r="CX193" s="62">
        <f t="shared" si="122"/>
        <v>527.22618604338402</v>
      </c>
      <c r="CY193" s="62">
        <f ca="1">AVERAGE(OFFSET($CX$3,0,0,'Données projet'!$E$13+1,1))-AVERAGE(OFFSET($H$3,0,0,'Données projet'!$E$13+1,1))</f>
        <v>135.44138026609272</v>
      </c>
      <c r="CZ193" s="62">
        <f t="shared" si="150"/>
        <v>254.77247578425659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2.7792254871703612</v>
      </c>
      <c r="DG193" s="23">
        <f>EXP(-LN(2)/25)*DG192+(1-EXP(-LN(2)/25))/(LN(2)/25)*Calculateur!DB193*Calculateur!DD193*VLOOKUP('Données projet'!$B$13,Paramètres!$A$1:$I$89,3,0)*0.475*44/12</f>
        <v>0.5356729818275785</v>
      </c>
      <c r="DH193" s="23">
        <f>EXP(-LN(2)/2)*DH192+(1-EXP(-LN(2)/2))/(LN(2)/2)*DB193*DE193*VLOOKUP('Données projet'!$B$13,Paramètres!$A$1:$I$89,3,0)*0.475*44/12</f>
        <v>7.0353058691943661E-23</v>
      </c>
      <c r="DI193" s="24">
        <f t="shared" si="175"/>
        <v>3.3148984689979395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273.00000000000023</v>
      </c>
      <c r="DP193" s="18">
        <f>DO193*VLOOKUP('Données projet'!$B$14,Paramètres!$A$1:$I$89,3,0)*VLOOKUP('Données projet'!$B$14,Paramètres!$A$1:$I$89,5,0)</f>
        <v>264.04560000000021</v>
      </c>
      <c r="DQ193" s="14">
        <f t="shared" si="176"/>
        <v>63.583959929973794</v>
      </c>
      <c r="DR193" s="22">
        <f t="shared" si="177"/>
        <v>570.6214835447048</v>
      </c>
      <c r="DS193" s="62">
        <f t="shared" si="125"/>
        <v>863.95481687803817</v>
      </c>
      <c r="DT193" s="62">
        <f ca="1">AVERAGE(OFFSET($DS$3,0,0,'Données projet'!$E$14+1,1))-AVERAGE(OFFSET($H$3,0,0,'Données projet'!$E$14+1,1))</f>
        <v>271.09447278906288</v>
      </c>
      <c r="DU193" s="62">
        <f t="shared" si="152"/>
        <v>325.1094067861851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3.083675287851392</v>
      </c>
      <c r="EB193" s="23">
        <f>EXP(-LN(2)/25)*EB192+(1-EXP(-LN(2)/25))/(LN(2)/25)*Calculateur!DW193*Calculateur!DY193*VLOOKUP('Données projet'!$B$14,Paramètres!$A$1:$I$89,3,0)*0.475*44/12</f>
        <v>0.20012681500697974</v>
      </c>
      <c r="EC193" s="23">
        <f>EXP(-LN(2)/2)*EC192+(1-EXP(-LN(2)/2))/(LN(2)/2)*DW193*DZ193*VLOOKUP('Données projet'!$B$14,Paramètres!$A$1:$I$89,3,0)*0.475*44/12</f>
        <v>1.6517173565383048E-19</v>
      </c>
      <c r="ED193" s="24">
        <f t="shared" si="178"/>
        <v>3.2838021028583717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273.00000000000023</v>
      </c>
      <c r="EK193" s="18">
        <f>EJ193*VLOOKUP('Données projet'!$B$15,Paramètres!$A$1:$I$89,3,0)*VLOOKUP('Données projet'!$B$15,Paramètres!$A$1:$I$89,5,0)</f>
        <v>293.85720000000026</v>
      </c>
      <c r="EL193" s="14">
        <f t="shared" si="179"/>
        <v>69.887150190339895</v>
      </c>
      <c r="EM193" s="22">
        <f t="shared" si="180"/>
        <v>633.52140991484237</v>
      </c>
      <c r="EN193" s="62">
        <f t="shared" si="128"/>
        <v>926.85474324817574</v>
      </c>
      <c r="EO193" s="62">
        <f ca="1">AVERAGE(OFFSET($EN$3,0,0,'Données projet'!$E$15+1,1))-AVERAGE(OFFSET($H$3,0,0,'Données projet'!$E$15+1,1))</f>
        <v>306.50593475734655</v>
      </c>
      <c r="EP193" s="62">
        <f t="shared" si="154"/>
        <v>366.48643801375079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3.4318321751894527</v>
      </c>
      <c r="EW193" s="23">
        <f>EXP(-LN(2)/25)*EW192+(1-EXP(-LN(2)/25))/(LN(2)/25)*Calculateur!ER193*Calculateur!ET193*VLOOKUP('Données projet'!$B$15,Paramètres!$A$1:$I$89,3,0)*0.475*44/12</f>
        <v>0.22272177799163839</v>
      </c>
      <c r="EX193" s="23">
        <f>EXP(-LN(2)/2)*EX192+(1-EXP(-LN(2)/2))/(LN(2)/2)*ER193*EU193*VLOOKUP('Données projet'!$B$15,Paramètres!$A$1:$I$89,3,0)*0.475*44/12</f>
        <v>1.8382015742119834E-19</v>
      </c>
      <c r="EY193" s="24">
        <f t="shared" si="181"/>
        <v>3.6545539531810913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140.04119999999972</v>
      </c>
      <c r="D194" s="12">
        <f t="shared" si="140"/>
        <v>36.306443674821708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1361.280056437218</v>
      </c>
      <c r="H194" s="70">
        <f t="shared" si="110"/>
        <v>600.4721460669806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306.99999999999994</v>
      </c>
      <c r="O194" s="14">
        <f>N194*VLOOKUP('Données projet'!$B$9,Paramètres!$A$1:$I$89,3,0)*VLOOKUP('Données projet'!$B$9,Paramètres!$A$1:$I$89,5,0)</f>
        <v>277.77359999999993</v>
      </c>
      <c r="P194" s="14">
        <f t="shared" si="141"/>
        <v>66.496288176842356</v>
      </c>
      <c r="Q194" s="22">
        <f t="shared" si="162"/>
        <v>599.60338857466706</v>
      </c>
      <c r="R194" s="62">
        <f t="shared" si="109"/>
        <v>892.93672190800044</v>
      </c>
      <c r="S194" s="62">
        <f ca="1">AVERAGE(OFFSET($R$3,0,0,'Données projet'!$E$9+1,1))-AVERAGE(OFFSET($H$3,0,0,'Données projet'!$E$9+1,1))</f>
        <v>312.57314929661908</v>
      </c>
      <c r="T194" s="62">
        <f t="shared" si="142"/>
        <v>190.92100876773804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17.033847480814444</v>
      </c>
      <c r="AA194" s="23">
        <f>EXP(-LN(2)/25)*AA193+(1-EXP(-LN(2)/25))/(LN(2)/25)*Calculateur!V194*Calculateur!X194*VLOOKUP('Données projet'!$B$9,Paramètres!$A$1:$I$89,3,0)*0.475*44/12</f>
        <v>0.40329352338902041</v>
      </c>
      <c r="AB194" s="23">
        <f>EXP(-LN(2)/2)*AB193+(1-EXP(-LN(2)/2))/(LN(2)/2)*V194*Y194*VLOOKUP('Données projet'!$B$9,Paramètres!$A$1:$I$89,3,0)*0.475*44/12</f>
        <v>5.481212549471193E-12</v>
      </c>
      <c r="AC194" s="24">
        <f t="shared" si="163"/>
        <v>17.437141004208947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306.99999999999994</v>
      </c>
      <c r="AJ194" s="14">
        <f>AI194*VLOOKUP('Données projet'!$B$10,Paramètres!$A$1:$I$89,3,0)*VLOOKUP('Données projet'!$B$10,Paramètres!$A$1:$I$89,5,0)</f>
        <v>311.298</v>
      </c>
      <c r="AK194" s="14">
        <f t="shared" si="164"/>
        <v>73.539838278528748</v>
      </c>
      <c r="AL194" s="22">
        <f t="shared" si="165"/>
        <v>670.25923500177089</v>
      </c>
      <c r="AM194" s="62">
        <f t="shared" si="113"/>
        <v>963.59256833510426</v>
      </c>
      <c r="AN194" s="62">
        <f ca="1">AVERAGE(OFFSET($AM$3,0,0,'Données projet'!$E$10+1,1))-AVERAGE(OFFSET($H$3,0,0,'Données projet'!$E$10+1,1))</f>
        <v>360.56293184044779</v>
      </c>
      <c r="AO194" s="62">
        <f t="shared" si="144"/>
        <v>219.32252911220542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19.089656659533407</v>
      </c>
      <c r="AV194" s="23">
        <f>EXP(-LN(2)/25)*AV193+(1-EXP(-LN(2)/25))/(LN(2)/25)*Calculateur!AQ194*Calculateur!AS194*VLOOKUP('Données projet'!$B$10,Paramètres!$A$1:$I$89,3,0)*0.475*44/12</f>
        <v>0.45196687966010912</v>
      </c>
      <c r="AW194" s="23">
        <f>EXP(-LN(2)/2)*AW193+(1-EXP(-LN(2)/2))/(LN(2)/2)*AQ194*AT194*VLOOKUP('Données projet'!$B$10,Paramètres!$A$1:$I$89,3,0)*0.475*44/12</f>
        <v>6.1427382019935795E-12</v>
      </c>
      <c r="AX194" s="23">
        <f t="shared" si="166"/>
        <v>19.541623539199659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1.1368683772161603E-13</v>
      </c>
      <c r="BE194" s="14">
        <f>BD194*VLOOKUP('Données projet'!$B$11,Paramètres!$A$1:$I$89,3,0)*VLOOKUP('Données projet'!$B$11,Paramètres!$A$1:$I$89,5,0)</f>
        <v>8.3355189417488869E-14</v>
      </c>
      <c r="BF194" s="14">
        <f t="shared" si="167"/>
        <v>1.2790518435140618E-12</v>
      </c>
      <c r="BG194" s="22">
        <f t="shared" si="168"/>
        <v>2.3728589156891171E-12</v>
      </c>
      <c r="BH194" s="62">
        <f t="shared" si="116"/>
        <v>293.3333333333357</v>
      </c>
      <c r="BI194" s="62">
        <f ca="1">AVERAGE(OFFSET($BH$3,0,0,'Données projet'!$E$11+1,1))-AVERAGE(OFFSET($H$3,0,0,'Données projet'!$E$11+1,1))</f>
        <v>182.06733089745194</v>
      </c>
      <c r="BJ194" s="62">
        <f t="shared" si="146"/>
        <v>320.36755413886021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2.4637056669889672</v>
      </c>
      <c r="BQ194" s="23">
        <f>EXP(-LN(2)/25)*BQ193+(1-EXP(-LN(2)/25))/(LN(2)/25)*Calculateur!BL194*Calculateur!BN194*VLOOKUP('Données projet'!$B$11,Paramètres!$A$1:$I$89,3,0)*0.475*44/12</f>
        <v>0.146355196310307</v>
      </c>
      <c r="BR194" s="23">
        <f>EXP(-LN(2)/2)*BR193+(1-EXP(-LN(2)/2))/(LN(2)/2)*BL194*BO194*VLOOKUP('Données projet'!$B$11,Paramètres!$A$1:$I$89,3,0)*0.475*44/12</f>
        <v>4.3305440993512025E-22</v>
      </c>
      <c r="BS194" s="24">
        <f t="shared" si="169"/>
        <v>2.6100608632992741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319.99999999999972</v>
      </c>
      <c r="BZ194" s="14">
        <f>BY194*VLOOKUP('Données projet'!$B$12,Paramètres!$A$1:$I$89,3,0)*VLOOKUP('Données projet'!$B$12,Paramètres!$A$1:$I$89,5,0)</f>
        <v>279.55199999999979</v>
      </c>
      <c r="CA194" s="14">
        <f t="shared" si="170"/>
        <v>66.872324781216591</v>
      </c>
      <c r="CB194" s="22">
        <f t="shared" si="171"/>
        <v>603.35569899395182</v>
      </c>
      <c r="CC194" s="62">
        <f t="shared" si="119"/>
        <v>896.68903232728508</v>
      </c>
      <c r="CD194" s="62">
        <f ca="1">AVERAGE(OFFSET($CC$3,0,0,'Données projet'!$E$12+1,1))-AVERAGE(OFFSET($H$3,0,0,'Données projet'!$E$12+1,1))</f>
        <v>248.60758320902863</v>
      </c>
      <c r="CE194" s="62">
        <f t="shared" si="148"/>
        <v>222.23585883330111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6.0063660623733695</v>
      </c>
      <c r="CL194" s="23">
        <f>EXP(-LN(2)/25)*CL193+(1-EXP(-LN(2)/25))/(LN(2)/25)*Calculateur!CG194*Calculateur!CI194*VLOOKUP('Données projet'!$B$12,Paramètres!$A$1:$I$89,3,0)*0.475*44/12</f>
        <v>0.33166358558559328</v>
      </c>
      <c r="CM194" s="23">
        <f>EXP(-LN(2)/2)*CM193+(1-EXP(-LN(2)/2))/(LN(2)/2)*CG194*CJ194*VLOOKUP('Données projet'!$B$12,Paramètres!$A$1:$I$89,3,0)*0.475*44/12</f>
        <v>3.6854250266864793E-17</v>
      </c>
      <c r="CN194" s="24">
        <f t="shared" si="172"/>
        <v>6.3380296479589626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193.99999999999994</v>
      </c>
      <c r="CU194" s="18">
        <f>CT194*VLOOKUP('Données projet'!$B$13,Paramètres!$A$1:$I$89,3,0)*VLOOKUP('Données projet'!$B$13,Paramètres!$A$1:$I$89,5,0)</f>
        <v>105.92399999999998</v>
      </c>
      <c r="CV194" s="14">
        <f t="shared" si="173"/>
        <v>28.36854701055546</v>
      </c>
      <c r="CW194" s="22">
        <f t="shared" si="174"/>
        <v>233.89285271005073</v>
      </c>
      <c r="CX194" s="62">
        <f t="shared" si="122"/>
        <v>527.22618604338402</v>
      </c>
      <c r="CY194" s="62">
        <f ca="1">AVERAGE(OFFSET($CX$3,0,0,'Données projet'!$E$13+1,1))-AVERAGE(OFFSET($H$3,0,0,'Données projet'!$E$13+1,1))</f>
        <v>135.44138026609272</v>
      </c>
      <c r="CZ194" s="62">
        <f t="shared" si="150"/>
        <v>254.77247578425659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2.7247265705271144</v>
      </c>
      <c r="DG194" s="23">
        <f>EXP(-LN(2)/25)*DG193+(1-EXP(-LN(2)/25))/(LN(2)/25)*Calculateur!DB194*Calculateur!DD194*VLOOKUP('Données projet'!$B$13,Paramètres!$A$1:$I$89,3,0)*0.475*44/12</f>
        <v>0.52102497596968556</v>
      </c>
      <c r="DH194" s="23">
        <f>EXP(-LN(2)/2)*DH193+(1-EXP(-LN(2)/2))/(LN(2)/2)*DB194*DE194*VLOOKUP('Données projet'!$B$13,Paramètres!$A$1:$I$89,3,0)*0.475*44/12</f>
        <v>4.9747124878288542E-23</v>
      </c>
      <c r="DI194" s="24">
        <f t="shared" si="175"/>
        <v>3.2457515464968001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273.00000000000023</v>
      </c>
      <c r="DP194" s="18">
        <f>DO194*VLOOKUP('Données projet'!$B$14,Paramètres!$A$1:$I$89,3,0)*VLOOKUP('Données projet'!$B$14,Paramètres!$A$1:$I$89,5,0)</f>
        <v>264.04560000000021</v>
      </c>
      <c r="DQ194" s="14">
        <f t="shared" si="176"/>
        <v>63.583959929973794</v>
      </c>
      <c r="DR194" s="22">
        <f t="shared" si="177"/>
        <v>570.6214835447048</v>
      </c>
      <c r="DS194" s="62">
        <f t="shared" si="125"/>
        <v>863.95481687803817</v>
      </c>
      <c r="DT194" s="62">
        <f ca="1">AVERAGE(OFFSET($DS$3,0,0,'Données projet'!$E$14+1,1))-AVERAGE(OFFSET($H$3,0,0,'Données projet'!$E$14+1,1))</f>
        <v>271.09447278906288</v>
      </c>
      <c r="DU194" s="62">
        <f t="shared" si="152"/>
        <v>325.1094067861851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3.0232062963128326</v>
      </c>
      <c r="EB194" s="23">
        <f>EXP(-LN(2)/25)*EB193+(1-EXP(-LN(2)/25))/(LN(2)/25)*Calculateur!DW194*Calculateur!DY194*VLOOKUP('Données projet'!$B$14,Paramètres!$A$1:$I$89,3,0)*0.475*44/12</f>
        <v>0.19465433672640206</v>
      </c>
      <c r="EC194" s="23">
        <f>EXP(-LN(2)/2)*EC193+(1-EXP(-LN(2)/2))/(LN(2)/2)*DW194*DZ194*VLOOKUP('Données projet'!$B$14,Paramètres!$A$1:$I$89,3,0)*0.475*44/12</f>
        <v>1.1679405434117538E-19</v>
      </c>
      <c r="ED194" s="24">
        <f t="shared" si="178"/>
        <v>3.2178606330392348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273.00000000000023</v>
      </c>
      <c r="EK194" s="18">
        <f>EJ194*VLOOKUP('Données projet'!$B$15,Paramètres!$A$1:$I$89,3,0)*VLOOKUP('Données projet'!$B$15,Paramètres!$A$1:$I$89,5,0)</f>
        <v>293.85720000000026</v>
      </c>
      <c r="EL194" s="14">
        <f t="shared" si="179"/>
        <v>69.887150190339895</v>
      </c>
      <c r="EM194" s="22">
        <f t="shared" si="180"/>
        <v>633.52140991484237</v>
      </c>
      <c r="EN194" s="62">
        <f t="shared" si="128"/>
        <v>926.85474324817574</v>
      </c>
      <c r="EO194" s="62">
        <f ca="1">AVERAGE(OFFSET($EN$3,0,0,'Données projet'!$E$15+1,1))-AVERAGE(OFFSET($H$3,0,0,'Données projet'!$E$15+1,1))</f>
        <v>306.50593475734655</v>
      </c>
      <c r="EP194" s="62">
        <f t="shared" si="154"/>
        <v>366.48643801375079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3.3645360394449271</v>
      </c>
      <c r="EW194" s="23">
        <f>EXP(-LN(2)/25)*EW193+(1-EXP(-LN(2)/25))/(LN(2)/25)*Calculateur!ER194*Calculateur!ET194*VLOOKUP('Données projet'!$B$15,Paramètres!$A$1:$I$89,3,0)*0.475*44/12</f>
        <v>0.21663143926002779</v>
      </c>
      <c r="EX194" s="23">
        <f>EXP(-LN(2)/2)*EX193+(1-EXP(-LN(2)/2))/(LN(2)/2)*ER194*EU194*VLOOKUP('Données projet'!$B$15,Paramètres!$A$1:$I$89,3,0)*0.475*44/12</f>
        <v>1.2998047983130801E-19</v>
      </c>
      <c r="EY194" s="24">
        <f t="shared" si="181"/>
        <v>3.581167478704955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140.77439999999973</v>
      </c>
      <c r="D195" s="12">
        <f t="shared" si="140"/>
        <v>36.474352666172038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1368.2359854932556</v>
      </c>
      <c r="H195" s="70">
        <f t="shared" si="110"/>
        <v>602.04157756024915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306.99999999999994</v>
      </c>
      <c r="O195" s="14">
        <f>N195*VLOOKUP('Données projet'!$B$9,Paramètres!$A$1:$I$89,3,0)*VLOOKUP('Données projet'!$B$9,Paramètres!$A$1:$I$89,5,0)</f>
        <v>277.77359999999993</v>
      </c>
      <c r="P195" s="14">
        <f t="shared" si="141"/>
        <v>66.496288176842356</v>
      </c>
      <c r="Q195" s="22">
        <f t="shared" si="162"/>
        <v>599.60338857466706</v>
      </c>
      <c r="R195" s="62">
        <f t="shared" ref="R195:R203" si="191">Q195+(I195+J195)*44/12</f>
        <v>892.93672190800044</v>
      </c>
      <c r="S195" s="62">
        <f ca="1">AVERAGE(OFFSET($R$3,0,0,'Données projet'!$E$9+1,1))-AVERAGE(OFFSET($H$3,0,0,'Données projet'!$E$9+1,1))</f>
        <v>312.57314929661908</v>
      </c>
      <c r="T195" s="62">
        <f t="shared" si="142"/>
        <v>190.92100876773804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16.699824121336746</v>
      </c>
      <c r="AA195" s="23">
        <f>EXP(-LN(2)/25)*AA194+(1-EXP(-LN(2)/25))/(LN(2)/25)*Calculateur!V195*Calculateur!X195*VLOOKUP('Données projet'!$B$9,Paramètres!$A$1:$I$89,3,0)*0.475*44/12</f>
        <v>0.39226544078366299</v>
      </c>
      <c r="AB195" s="23">
        <f>EXP(-LN(2)/2)*AB194+(1-EXP(-LN(2)/2))/(LN(2)/2)*V195*Y195*VLOOKUP('Données projet'!$B$9,Paramètres!$A$1:$I$89,3,0)*0.475*44/12</f>
        <v>3.8758025628558851E-12</v>
      </c>
      <c r="AC195" s="24">
        <f t="shared" si="163"/>
        <v>17.092089562124286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306.99999999999994</v>
      </c>
      <c r="AJ195" s="14">
        <f>AI195*VLOOKUP('Données projet'!$B$10,Paramètres!$A$1:$I$89,3,0)*VLOOKUP('Données projet'!$B$10,Paramètres!$A$1:$I$89,5,0)</f>
        <v>311.298</v>
      </c>
      <c r="AK195" s="14">
        <f t="shared" si="164"/>
        <v>73.539838278528748</v>
      </c>
      <c r="AL195" s="22">
        <f t="shared" si="165"/>
        <v>670.25923500177089</v>
      </c>
      <c r="AM195" s="62">
        <f t="shared" si="113"/>
        <v>963.59256833510426</v>
      </c>
      <c r="AN195" s="62">
        <f ca="1">AVERAGE(OFFSET($AM$3,0,0,'Données projet'!$E$10+1,1))-AVERAGE(OFFSET($H$3,0,0,'Données projet'!$E$10+1,1))</f>
        <v>360.56293184044779</v>
      </c>
      <c r="AO195" s="62">
        <f t="shared" si="144"/>
        <v>219.32252911220542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18.715320135980814</v>
      </c>
      <c r="AV195" s="23">
        <f>EXP(-LN(2)/25)*AV194+(1-EXP(-LN(2)/25))/(LN(2)/25)*Calculateur!AQ195*Calculateur!AS195*VLOOKUP('Données projet'!$B$10,Paramètres!$A$1:$I$89,3,0)*0.475*44/12</f>
        <v>0.43960782156789824</v>
      </c>
      <c r="AW195" s="23">
        <f>EXP(-LN(2)/2)*AW194+(1-EXP(-LN(2)/2))/(LN(2)/2)*AQ195*AT195*VLOOKUP('Données projet'!$B$10,Paramètres!$A$1:$I$89,3,0)*0.475*44/12</f>
        <v>4.3435718376833204E-12</v>
      </c>
      <c r="AX195" s="23">
        <f t="shared" si="166"/>
        <v>19.154927957553056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1.1368683772161603E-13</v>
      </c>
      <c r="BE195" s="14">
        <f>BD195*VLOOKUP('Données projet'!$B$11,Paramètres!$A$1:$I$89,3,0)*VLOOKUP('Données projet'!$B$11,Paramètres!$A$1:$I$89,5,0)</f>
        <v>8.3355189417488869E-14</v>
      </c>
      <c r="BF195" s="14">
        <f t="shared" si="167"/>
        <v>1.2790518435140618E-12</v>
      </c>
      <c r="BG195" s="22">
        <f t="shared" si="168"/>
        <v>2.3728589156891171E-12</v>
      </c>
      <c r="BH195" s="62">
        <f t="shared" si="116"/>
        <v>293.3333333333357</v>
      </c>
      <c r="BI195" s="62">
        <f ca="1">AVERAGE(OFFSET($BH$3,0,0,'Données projet'!$E$11+1,1))-AVERAGE(OFFSET($H$3,0,0,'Données projet'!$E$11+1,1))</f>
        <v>182.06733089745194</v>
      </c>
      <c r="BJ195" s="62">
        <f t="shared" si="146"/>
        <v>320.36755413886021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2.4153939015713899</v>
      </c>
      <c r="BQ195" s="23">
        <f>EXP(-LN(2)/25)*BQ194+(1-EXP(-LN(2)/25))/(LN(2)/25)*Calculateur!BL195*Calculateur!BN195*VLOOKUP('Données projet'!$B$11,Paramètres!$A$1:$I$89,3,0)*0.475*44/12</f>
        <v>0.14235310577071639</v>
      </c>
      <c r="BR195" s="23">
        <f>EXP(-LN(2)/2)*BR194+(1-EXP(-LN(2)/2))/(LN(2)/2)*BL195*BO195*VLOOKUP('Données projet'!$B$11,Paramètres!$A$1:$I$89,3,0)*0.475*44/12</f>
        <v>3.0621570988786252E-22</v>
      </c>
      <c r="BS195" s="24">
        <f t="shared" si="169"/>
        <v>2.5577470073421065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319.99999999999972</v>
      </c>
      <c r="BZ195" s="14">
        <f>BY195*VLOOKUP('Données projet'!$B$12,Paramètres!$A$1:$I$89,3,0)*VLOOKUP('Données projet'!$B$12,Paramètres!$A$1:$I$89,5,0)</f>
        <v>279.55199999999979</v>
      </c>
      <c r="CA195" s="14">
        <f t="shared" si="170"/>
        <v>66.872324781216591</v>
      </c>
      <c r="CB195" s="22">
        <f t="shared" si="171"/>
        <v>603.35569899395182</v>
      </c>
      <c r="CC195" s="62">
        <f t="shared" si="119"/>
        <v>896.68903232728508</v>
      </c>
      <c r="CD195" s="62">
        <f ca="1">AVERAGE(OFFSET($CC$3,0,0,'Données projet'!$E$12+1,1))-AVERAGE(OFFSET($H$3,0,0,'Données projet'!$E$12+1,1))</f>
        <v>248.60758320902863</v>
      </c>
      <c r="CE195" s="62">
        <f t="shared" si="148"/>
        <v>222.23585883330111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5.888584887411783</v>
      </c>
      <c r="CL195" s="23">
        <f>EXP(-LN(2)/25)*CL194+(1-EXP(-LN(2)/25))/(LN(2)/25)*Calculateur!CG195*Calculateur!CI195*VLOOKUP('Données projet'!$B$12,Paramètres!$A$1:$I$89,3,0)*0.475*44/12</f>
        <v>0.32259422739632532</v>
      </c>
      <c r="CM195" s="23">
        <f>EXP(-LN(2)/2)*CM194+(1-EXP(-LN(2)/2))/(LN(2)/2)*CG195*CJ195*VLOOKUP('Données projet'!$B$12,Paramètres!$A$1:$I$89,3,0)*0.475*44/12</f>
        <v>2.6059890279246225E-17</v>
      </c>
      <c r="CN195" s="24">
        <f t="shared" si="172"/>
        <v>6.2111791148081084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193.99999999999994</v>
      </c>
      <c r="CU195" s="18">
        <f>CT195*VLOOKUP('Données projet'!$B$13,Paramètres!$A$1:$I$89,3,0)*VLOOKUP('Données projet'!$B$13,Paramètres!$A$1:$I$89,5,0)</f>
        <v>105.92399999999998</v>
      </c>
      <c r="CV195" s="14">
        <f t="shared" si="173"/>
        <v>28.36854701055546</v>
      </c>
      <c r="CW195" s="22">
        <f t="shared" si="174"/>
        <v>233.89285271005073</v>
      </c>
      <c r="CX195" s="62">
        <f t="shared" si="122"/>
        <v>527.22618604338402</v>
      </c>
      <c r="CY195" s="62">
        <f ca="1">AVERAGE(OFFSET($CX$3,0,0,'Données projet'!$E$13+1,1))-AVERAGE(OFFSET($H$3,0,0,'Données projet'!$E$13+1,1))</f>
        <v>135.44138026609272</v>
      </c>
      <c r="CZ195" s="62">
        <f t="shared" si="150"/>
        <v>254.77247578425659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2.671296344398185</v>
      </c>
      <c r="DG195" s="23">
        <f>EXP(-LN(2)/25)*DG194+(1-EXP(-LN(2)/25))/(LN(2)/25)*Calculateur!DB195*Calculateur!DD195*VLOOKUP('Données projet'!$B$13,Paramètres!$A$1:$I$89,3,0)*0.475*44/12</f>
        <v>0.50677752060228187</v>
      </c>
      <c r="DH195" s="23">
        <f>EXP(-LN(2)/2)*DH194+(1-EXP(-LN(2)/2))/(LN(2)/2)*DB195*DE195*VLOOKUP('Données projet'!$B$13,Paramètres!$A$1:$I$89,3,0)*0.475*44/12</f>
        <v>3.5176529345971831E-23</v>
      </c>
      <c r="DI195" s="24">
        <f t="shared" si="175"/>
        <v>3.1780738650004667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273.00000000000023</v>
      </c>
      <c r="DP195" s="18">
        <f>DO195*VLOOKUP('Données projet'!$B$14,Paramètres!$A$1:$I$89,3,0)*VLOOKUP('Données projet'!$B$14,Paramètres!$A$1:$I$89,5,0)</f>
        <v>264.04560000000021</v>
      </c>
      <c r="DQ195" s="14">
        <f t="shared" si="176"/>
        <v>63.583959929973794</v>
      </c>
      <c r="DR195" s="22">
        <f t="shared" si="177"/>
        <v>570.6214835447048</v>
      </c>
      <c r="DS195" s="62">
        <f t="shared" si="125"/>
        <v>863.95481687803817</v>
      </c>
      <c r="DT195" s="62">
        <f ca="1">AVERAGE(OFFSET($DS$3,0,0,'Données projet'!$E$14+1,1))-AVERAGE(OFFSET($H$3,0,0,'Données projet'!$E$14+1,1))</f>
        <v>271.09447278906288</v>
      </c>
      <c r="DU195" s="62">
        <f t="shared" si="152"/>
        <v>325.1094067861851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2.9639230648159014</v>
      </c>
      <c r="EB195" s="23">
        <f>EXP(-LN(2)/25)*EB194+(1-EXP(-LN(2)/25))/(LN(2)/25)*Calculateur!DW195*Calculateur!DY195*VLOOKUP('Données projet'!$B$14,Paramètres!$A$1:$I$89,3,0)*0.475*44/12</f>
        <v>0.18933150365219192</v>
      </c>
      <c r="EC195" s="23">
        <f>EXP(-LN(2)/2)*EC194+(1-EXP(-LN(2)/2))/(LN(2)/2)*DW195*DZ195*VLOOKUP('Données projet'!$B$14,Paramètres!$A$1:$I$89,3,0)*0.475*44/12</f>
        <v>8.2585867826915241E-20</v>
      </c>
      <c r="ED195" s="24">
        <f t="shared" si="178"/>
        <v>3.1532545684680935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273.00000000000023</v>
      </c>
      <c r="EK195" s="18">
        <f>EJ195*VLOOKUP('Données projet'!$B$15,Paramètres!$A$1:$I$89,3,0)*VLOOKUP('Données projet'!$B$15,Paramètres!$A$1:$I$89,5,0)</f>
        <v>293.85720000000026</v>
      </c>
      <c r="EL195" s="14">
        <f t="shared" si="179"/>
        <v>69.887150190339895</v>
      </c>
      <c r="EM195" s="22">
        <f t="shared" si="180"/>
        <v>633.52140991484237</v>
      </c>
      <c r="EN195" s="62">
        <f t="shared" si="128"/>
        <v>926.85474324817574</v>
      </c>
      <c r="EO195" s="62">
        <f ca="1">AVERAGE(OFFSET($EN$3,0,0,'Données projet'!$E$15+1,1))-AVERAGE(OFFSET($H$3,0,0,'Données projet'!$E$15+1,1))</f>
        <v>306.50593475734655</v>
      </c>
      <c r="EP195" s="62">
        <f t="shared" si="154"/>
        <v>366.48643801375079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3.2985595398757619</v>
      </c>
      <c r="EW195" s="23">
        <f>EXP(-LN(2)/25)*EW194+(1-EXP(-LN(2)/25))/(LN(2)/25)*Calculateur!ER195*Calculateur!ET195*VLOOKUP('Données projet'!$B$15,Paramètres!$A$1:$I$89,3,0)*0.475*44/12</f>
        <v>0.21070764116131005</v>
      </c>
      <c r="EX195" s="23">
        <f>EXP(-LN(2)/2)*EX194+(1-EXP(-LN(2)/2))/(LN(2)/2)*ER195*EU195*VLOOKUP('Données projet'!$B$15,Paramètres!$A$1:$I$89,3,0)*0.475*44/12</f>
        <v>9.191007871059917E-20</v>
      </c>
      <c r="EY195" s="24">
        <f t="shared" si="181"/>
        <v>3.5092671810370719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141.50759999999974</v>
      </c>
      <c r="D196" s="12">
        <f t="shared" si="140"/>
        <v>36.642159893059954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1375.1911289990574</v>
      </c>
      <c r="H196" s="70">
        <f t="shared" ref="H196:H203" si="192">(B196+E196+F196)*44/12+(C196+D196)*0.475*44/12</f>
        <v>603.61083181374556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306.99999999999994</v>
      </c>
      <c r="O196" s="14">
        <f>N196*VLOOKUP('Données projet'!$B$9,Paramètres!$A$1:$I$89,3,0)*VLOOKUP('Données projet'!$B$9,Paramètres!$A$1:$I$89,5,0)</f>
        <v>277.77359999999993</v>
      </c>
      <c r="P196" s="14">
        <f t="shared" si="141"/>
        <v>66.496288176842356</v>
      </c>
      <c r="Q196" s="22">
        <f t="shared" si="162"/>
        <v>599.60338857466706</v>
      </c>
      <c r="R196" s="62">
        <f t="shared" si="191"/>
        <v>892.93672190800044</v>
      </c>
      <c r="S196" s="62">
        <f ca="1">AVERAGE(OFFSET($R$3,0,0,'Données projet'!$E$9+1,1))-AVERAGE(OFFSET($H$3,0,0,'Données projet'!$E$9+1,1))</f>
        <v>312.57314929661908</v>
      </c>
      <c r="T196" s="62">
        <f t="shared" si="142"/>
        <v>190.92100876773804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16.372350756204273</v>
      </c>
      <c r="AA196" s="23">
        <f>EXP(-LN(2)/25)*AA195+(1-EXP(-LN(2)/25))/(LN(2)/25)*Calculateur!V196*Calculateur!X196*VLOOKUP('Données projet'!$B$9,Paramètres!$A$1:$I$89,3,0)*0.475*44/12</f>
        <v>0.38153892167709075</v>
      </c>
      <c r="AB196" s="23">
        <f>EXP(-LN(2)/2)*AB195+(1-EXP(-LN(2)/2))/(LN(2)/2)*V196*Y196*VLOOKUP('Données projet'!$B$9,Paramètres!$A$1:$I$89,3,0)*0.475*44/12</f>
        <v>2.7406062747355965E-12</v>
      </c>
      <c r="AC196" s="24">
        <f t="shared" si="163"/>
        <v>16.753889677884104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306.99999999999994</v>
      </c>
      <c r="AJ196" s="14">
        <f>AI196*VLOOKUP('Données projet'!$B$10,Paramètres!$A$1:$I$89,3,0)*VLOOKUP('Données projet'!$B$10,Paramètres!$A$1:$I$89,5,0)</f>
        <v>311.298</v>
      </c>
      <c r="AK196" s="14">
        <f t="shared" si="164"/>
        <v>73.539838278528748</v>
      </c>
      <c r="AL196" s="22">
        <f t="shared" si="165"/>
        <v>670.25923500177089</v>
      </c>
      <c r="AM196" s="62">
        <f t="shared" ref="AM196:AM203" si="193">AL196+(AD196+AE196)*44/12</f>
        <v>963.59256833510426</v>
      </c>
      <c r="AN196" s="62">
        <f ca="1">AVERAGE(OFFSET($AM$3,0,0,'Données projet'!$E$10+1,1))-AVERAGE(OFFSET($H$3,0,0,'Données projet'!$E$10+1,1))</f>
        <v>360.56293184044779</v>
      </c>
      <c r="AO196" s="62">
        <f t="shared" si="144"/>
        <v>219.32252911220542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18.348324123332354</v>
      </c>
      <c r="AV196" s="23">
        <f>EXP(-LN(2)/25)*AV195+(1-EXP(-LN(2)/25))/(LN(2)/25)*Calculateur!AQ196*Calculateur!AS196*VLOOKUP('Données projet'!$B$10,Paramètres!$A$1:$I$89,3,0)*0.475*44/12</f>
        <v>0.42758672256915348</v>
      </c>
      <c r="AW196" s="23">
        <f>EXP(-LN(2)/2)*AW195+(1-EXP(-LN(2)/2))/(LN(2)/2)*AQ196*AT196*VLOOKUP('Données projet'!$B$10,Paramètres!$A$1:$I$89,3,0)*0.475*44/12</f>
        <v>3.0713691009967897E-12</v>
      </c>
      <c r="AX196" s="23">
        <f t="shared" si="166"/>
        <v>18.77591084590458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1.1368683772161603E-13</v>
      </c>
      <c r="BE196" s="14">
        <f>BD196*VLOOKUP('Données projet'!$B$11,Paramètres!$A$1:$I$89,3,0)*VLOOKUP('Données projet'!$B$11,Paramètres!$A$1:$I$89,5,0)</f>
        <v>8.3355189417488869E-14</v>
      </c>
      <c r="BF196" s="14">
        <f t="shared" si="167"/>
        <v>1.2790518435140618E-12</v>
      </c>
      <c r="BG196" s="22">
        <f t="shared" si="168"/>
        <v>2.3728589156891171E-12</v>
      </c>
      <c r="BH196" s="62">
        <f t="shared" ref="BH196:BH203" si="194">BG196+(AY196+AZ196)*44/12</f>
        <v>293.3333333333357</v>
      </c>
      <c r="BI196" s="62">
        <f ca="1">AVERAGE(OFFSET($BH$3,0,0,'Données projet'!$E$11+1,1))-AVERAGE(OFFSET($H$3,0,0,'Données projet'!$E$11+1,1))</f>
        <v>182.06733089745194</v>
      </c>
      <c r="BJ196" s="62">
        <f t="shared" si="146"/>
        <v>320.36755413886021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2.3680295004063843</v>
      </c>
      <c r="BQ196" s="23">
        <f>EXP(-LN(2)/25)*BQ195+(1-EXP(-LN(2)/25))/(LN(2)/25)*Calculateur!BL196*Calculateur!BN196*VLOOKUP('Données projet'!$B$11,Paramètres!$A$1:$I$89,3,0)*0.475*44/12</f>
        <v>0.13846045260739168</v>
      </c>
      <c r="BR196" s="23">
        <f>EXP(-LN(2)/2)*BR195+(1-EXP(-LN(2)/2))/(LN(2)/2)*BL196*BO196*VLOOKUP('Données projet'!$B$11,Paramètres!$A$1:$I$89,3,0)*0.475*44/12</f>
        <v>2.1652720496756012E-22</v>
      </c>
      <c r="BS196" s="24">
        <f t="shared" si="169"/>
        <v>2.5064899530137761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319.99999999999972</v>
      </c>
      <c r="BZ196" s="14">
        <f>BY196*VLOOKUP('Données projet'!$B$12,Paramètres!$A$1:$I$89,3,0)*VLOOKUP('Données projet'!$B$12,Paramètres!$A$1:$I$89,5,0)</f>
        <v>279.55199999999979</v>
      </c>
      <c r="CA196" s="14">
        <f t="shared" si="170"/>
        <v>66.872324781216591</v>
      </c>
      <c r="CB196" s="22">
        <f t="shared" si="171"/>
        <v>603.35569899395182</v>
      </c>
      <c r="CC196" s="62">
        <f t="shared" ref="CC196:CC203" si="195">CB196+(BT196+BU196)*44/12</f>
        <v>896.68903232728508</v>
      </c>
      <c r="CD196" s="62">
        <f ca="1">AVERAGE(OFFSET($CC$3,0,0,'Données projet'!$E$12+1,1))-AVERAGE(OFFSET($H$3,0,0,'Données projet'!$E$12+1,1))</f>
        <v>248.60758320902863</v>
      </c>
      <c r="CE196" s="62">
        <f t="shared" si="148"/>
        <v>222.23585883330111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5.7731133294517702</v>
      </c>
      <c r="CL196" s="23">
        <f>EXP(-LN(2)/25)*CL195+(1-EXP(-LN(2)/25))/(LN(2)/25)*Calculateur!CG196*Calculateur!CI196*VLOOKUP('Données projet'!$B$12,Paramètres!$A$1:$I$89,3,0)*0.475*44/12</f>
        <v>0.3137728712836797</v>
      </c>
      <c r="CM196" s="23">
        <f>EXP(-LN(2)/2)*CM195+(1-EXP(-LN(2)/2))/(LN(2)/2)*CG196*CJ196*VLOOKUP('Données projet'!$B$12,Paramètres!$A$1:$I$89,3,0)*0.475*44/12</f>
        <v>1.8427125133432397E-17</v>
      </c>
      <c r="CN196" s="24">
        <f t="shared" si="172"/>
        <v>6.0868862007354503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193.99999999999994</v>
      </c>
      <c r="CU196" s="18">
        <f>CT196*VLOOKUP('Données projet'!$B$13,Paramètres!$A$1:$I$89,3,0)*VLOOKUP('Données projet'!$B$13,Paramètres!$A$1:$I$89,5,0)</f>
        <v>105.92399999999998</v>
      </c>
      <c r="CV196" s="14">
        <f t="shared" si="173"/>
        <v>28.36854701055546</v>
      </c>
      <c r="CW196" s="22">
        <f t="shared" si="174"/>
        <v>233.89285271005073</v>
      </c>
      <c r="CX196" s="62">
        <f t="shared" ref="CX196:CX203" si="196">CW196+(CO196+CP196)*44/12</f>
        <v>527.22618604338402</v>
      </c>
      <c r="CY196" s="62">
        <f ca="1">AVERAGE(OFFSET($CX$3,0,0,'Données projet'!$E$13+1,1))-AVERAGE(OFFSET($H$3,0,0,'Données projet'!$E$13+1,1))</f>
        <v>135.44138026609272</v>
      </c>
      <c r="CZ196" s="62">
        <f t="shared" si="150"/>
        <v>254.77247578425659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2.6189138524144235</v>
      </c>
      <c r="DG196" s="23">
        <f>EXP(-LN(2)/25)*DG195+(1-EXP(-LN(2)/25))/(LN(2)/25)*Calculateur!DB196*Calculateur!DD196*VLOOKUP('Données projet'!$B$13,Paramètres!$A$1:$I$89,3,0)*0.475*44/12</f>
        <v>0.4929196626511409</v>
      </c>
      <c r="DH196" s="23">
        <f>EXP(-LN(2)/2)*DH195+(1-EXP(-LN(2)/2))/(LN(2)/2)*DB196*DE196*VLOOKUP('Données projet'!$B$13,Paramètres!$A$1:$I$89,3,0)*0.475*44/12</f>
        <v>2.4873562439144271E-23</v>
      </c>
      <c r="DI196" s="24">
        <f t="shared" si="175"/>
        <v>3.1118335150655643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273.00000000000023</v>
      </c>
      <c r="DP196" s="18">
        <f>DO196*VLOOKUP('Données projet'!$B$14,Paramètres!$A$1:$I$89,3,0)*VLOOKUP('Données projet'!$B$14,Paramètres!$A$1:$I$89,5,0)</f>
        <v>264.04560000000021</v>
      </c>
      <c r="DQ196" s="14">
        <f t="shared" si="176"/>
        <v>63.583959929973794</v>
      </c>
      <c r="DR196" s="22">
        <f t="shared" si="177"/>
        <v>570.6214835447048</v>
      </c>
      <c r="DS196" s="62">
        <f t="shared" ref="DS196:DS203" si="197">DR196+(DJ196+DK196)*44/12</f>
        <v>863.95481687803817</v>
      </c>
      <c r="DT196" s="62">
        <f ca="1">AVERAGE(OFFSET($DS$3,0,0,'Données projet'!$E$14+1,1))-AVERAGE(OFFSET($H$3,0,0,'Données projet'!$E$14+1,1))</f>
        <v>271.09447278906288</v>
      </c>
      <c r="DU196" s="62">
        <f t="shared" si="152"/>
        <v>325.1094067861851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2.9058023413294243</v>
      </c>
      <c r="EB196" s="23">
        <f>EXP(-LN(2)/25)*EB195+(1-EXP(-LN(2)/25))/(LN(2)/25)*Calculateur!DW196*Calculateur!DY196*VLOOKUP('Données projet'!$B$14,Paramètres!$A$1:$I$89,3,0)*0.475*44/12</f>
        <v>0.18415422372831169</v>
      </c>
      <c r="EC196" s="23">
        <f>EXP(-LN(2)/2)*EC195+(1-EXP(-LN(2)/2))/(LN(2)/2)*DW196*DZ196*VLOOKUP('Données projet'!$B$14,Paramètres!$A$1:$I$89,3,0)*0.475*44/12</f>
        <v>5.839702717058769E-20</v>
      </c>
      <c r="ED196" s="24">
        <f t="shared" si="178"/>
        <v>3.0899565650577361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273.00000000000023</v>
      </c>
      <c r="EK196" s="18">
        <f>EJ196*VLOOKUP('Données projet'!$B$15,Paramètres!$A$1:$I$89,3,0)*VLOOKUP('Données projet'!$B$15,Paramètres!$A$1:$I$89,5,0)</f>
        <v>293.85720000000026</v>
      </c>
      <c r="EL196" s="14">
        <f t="shared" si="179"/>
        <v>69.887150190339895</v>
      </c>
      <c r="EM196" s="22">
        <f t="shared" si="180"/>
        <v>633.52140991484237</v>
      </c>
      <c r="EN196" s="62">
        <f t="shared" ref="EN196:EN203" si="198">EM196+(EE196+EF196)*44/12</f>
        <v>926.85474324817574</v>
      </c>
      <c r="EO196" s="62">
        <f ca="1">AVERAGE(OFFSET($EN$3,0,0,'Données projet'!$E$15+1,1))-AVERAGE(OFFSET($H$3,0,0,'Données projet'!$E$15+1,1))</f>
        <v>306.50593475734655</v>
      </c>
      <c r="EP196" s="62">
        <f t="shared" si="154"/>
        <v>366.48643801375079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3.2338767992214565</v>
      </c>
      <c r="EW196" s="23">
        <f>EXP(-LN(2)/25)*EW195+(1-EXP(-LN(2)/25))/(LN(2)/25)*Calculateur!ER196*Calculateur!ET196*VLOOKUP('Données projet'!$B$15,Paramètres!$A$1:$I$89,3,0)*0.475*44/12</f>
        <v>0.20494582963312075</v>
      </c>
      <c r="EX196" s="23">
        <f>EXP(-LN(2)/2)*EX195+(1-EXP(-LN(2)/2))/(LN(2)/2)*ER196*EU196*VLOOKUP('Données projet'!$B$15,Paramètres!$A$1:$I$89,3,0)*0.475*44/12</f>
        <v>6.4990239915654007E-20</v>
      </c>
      <c r="EY196" s="24">
        <f t="shared" si="181"/>
        <v>3.4388226288545773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142.24079999999975</v>
      </c>
      <c r="D197" s="12">
        <f t="shared" ref="D197:D203" si="202">IFERROR(EXP(-1.0587+0.8836*LN(C197)+0.284),0)</f>
        <v>36.80986594396532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1382.1454914972744</v>
      </c>
      <c r="H197" s="70">
        <f t="shared" si="192"/>
        <v>605.17990985240579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306.99999999999994</v>
      </c>
      <c r="O197" s="14">
        <f>N197*VLOOKUP('Données projet'!$B$9,Paramètres!$A$1:$I$89,3,0)*VLOOKUP('Données projet'!$B$9,Paramètres!$A$1:$I$89,5,0)</f>
        <v>277.77359999999993</v>
      </c>
      <c r="P197" s="14">
        <f t="shared" ref="P197:P203" si="203">EXP(-1.0587+0.8836*LN(O197)+0.284)</f>
        <v>66.496288176842356</v>
      </c>
      <c r="Q197" s="22">
        <f t="shared" si="162"/>
        <v>599.60338857466706</v>
      </c>
      <c r="R197" s="62">
        <f t="shared" si="191"/>
        <v>892.93672190800044</v>
      </c>
      <c r="S197" s="62">
        <f ca="1">AVERAGE(OFFSET($R$3,0,0,'Données projet'!$E$9+1,1))-AVERAGE(OFFSET($H$3,0,0,'Données projet'!$E$9+1,1))</f>
        <v>312.57314929661908</v>
      </c>
      <c r="T197" s="62">
        <f t="shared" ref="T197:T203" si="204">$T$3</f>
        <v>190.92100876773804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16.051298944023017</v>
      </c>
      <c r="AA197" s="23">
        <f>EXP(-LN(2)/25)*AA196+(1-EXP(-LN(2)/25))/(LN(2)/25)*Calculateur!V197*Calculateur!X197*VLOOKUP('Données projet'!$B$9,Paramètres!$A$1:$I$89,3,0)*0.475*44/12</f>
        <v>0.37110571979957085</v>
      </c>
      <c r="AB197" s="23">
        <f>EXP(-LN(2)/2)*AB196+(1-EXP(-LN(2)/2))/(LN(2)/2)*V197*Y197*VLOOKUP('Données projet'!$B$9,Paramètres!$A$1:$I$89,3,0)*0.475*44/12</f>
        <v>1.9379012814279426E-12</v>
      </c>
      <c r="AC197" s="24">
        <f t="shared" si="163"/>
        <v>16.422404663824523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306.99999999999994</v>
      </c>
      <c r="AJ197" s="14">
        <f>AI197*VLOOKUP('Données projet'!$B$10,Paramètres!$A$1:$I$89,3,0)*VLOOKUP('Données projet'!$B$10,Paramètres!$A$1:$I$89,5,0)</f>
        <v>311.298</v>
      </c>
      <c r="AK197" s="14">
        <f t="shared" si="164"/>
        <v>73.539838278528748</v>
      </c>
      <c r="AL197" s="22">
        <f t="shared" si="165"/>
        <v>670.25923500177089</v>
      </c>
      <c r="AM197" s="62">
        <f t="shared" si="193"/>
        <v>963.59256833510426</v>
      </c>
      <c r="AN197" s="62">
        <f ca="1">AVERAGE(OFFSET($AM$3,0,0,'Données projet'!$E$10+1,1))-AVERAGE(OFFSET($H$3,0,0,'Données projet'!$E$10+1,1))</f>
        <v>360.56293184044779</v>
      </c>
      <c r="AO197" s="62">
        <f t="shared" ref="AO197:AO203" si="205">$AO$3</f>
        <v>219.32252911220542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17.988524678646467</v>
      </c>
      <c r="AV197" s="23">
        <f>EXP(-LN(2)/25)*AV196+(1-EXP(-LN(2)/25))/(LN(2)/25)*Calculateur!AQ197*Calculateur!AS197*VLOOKUP('Données projet'!$B$10,Paramètres!$A$1:$I$89,3,0)*0.475*44/12</f>
        <v>0.41589434115469148</v>
      </c>
      <c r="AW197" s="23">
        <f>EXP(-LN(2)/2)*AW196+(1-EXP(-LN(2)/2))/(LN(2)/2)*AQ197*AT197*VLOOKUP('Données projet'!$B$10,Paramètres!$A$1:$I$89,3,0)*0.475*44/12</f>
        <v>2.1717859188416602E-12</v>
      </c>
      <c r="AX197" s="23">
        <f t="shared" si="166"/>
        <v>18.404419019803328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1.1368683772161603E-13</v>
      </c>
      <c r="BE197" s="14">
        <f>BD197*VLOOKUP('Données projet'!$B$11,Paramètres!$A$1:$I$89,3,0)*VLOOKUP('Données projet'!$B$11,Paramètres!$A$1:$I$89,5,0)</f>
        <v>8.3355189417488869E-14</v>
      </c>
      <c r="BF197" s="14">
        <f t="shared" si="167"/>
        <v>1.2790518435140618E-12</v>
      </c>
      <c r="BG197" s="22">
        <f t="shared" si="168"/>
        <v>2.3728589156891171E-12</v>
      </c>
      <c r="BH197" s="62">
        <f t="shared" si="194"/>
        <v>293.3333333333357</v>
      </c>
      <c r="BI197" s="62">
        <f ca="1">AVERAGE(OFFSET($BH$3,0,0,'Données projet'!$E$11+1,1))-AVERAGE(OFFSET($H$3,0,0,'Données projet'!$E$11+1,1))</f>
        <v>182.06733089745194</v>
      </c>
      <c r="BJ197" s="62">
        <f t="shared" ref="BJ197:BJ203" si="206">$BJ$3</f>
        <v>320.36755413886021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2.3215938862587921</v>
      </c>
      <c r="BQ197" s="23">
        <f>EXP(-LN(2)/25)*BQ196+(1-EXP(-LN(2)/25))/(LN(2)/25)*Calculateur!BL197*Calculateur!BN197*VLOOKUP('Données projet'!$B$11,Paramètres!$A$1:$I$89,3,0)*0.475*44/12</f>
        <v>0.13467424424952382</v>
      </c>
      <c r="BR197" s="23">
        <f>EXP(-LN(2)/2)*BR196+(1-EXP(-LN(2)/2))/(LN(2)/2)*BL197*BO197*VLOOKUP('Données projet'!$B$11,Paramètres!$A$1:$I$89,3,0)*0.475*44/12</f>
        <v>1.5310785494393126E-22</v>
      </c>
      <c r="BS197" s="24">
        <f t="shared" si="169"/>
        <v>2.4562681305083158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319.99999999999972</v>
      </c>
      <c r="BZ197" s="14">
        <f>BY197*VLOOKUP('Données projet'!$B$12,Paramètres!$A$1:$I$89,3,0)*VLOOKUP('Données projet'!$B$12,Paramètres!$A$1:$I$89,5,0)</f>
        <v>279.55199999999979</v>
      </c>
      <c r="CA197" s="14">
        <f t="shared" si="170"/>
        <v>66.872324781216591</v>
      </c>
      <c r="CB197" s="22">
        <f t="shared" si="171"/>
        <v>603.35569899395182</v>
      </c>
      <c r="CC197" s="62">
        <f t="shared" si="195"/>
        <v>896.68903232728508</v>
      </c>
      <c r="CD197" s="62">
        <f ca="1">AVERAGE(OFFSET($CC$3,0,0,'Données projet'!$E$12+1,1))-AVERAGE(OFFSET($H$3,0,0,'Données projet'!$E$12+1,1))</f>
        <v>248.60758320902863</v>
      </c>
      <c r="CE197" s="62">
        <f t="shared" ref="CE197:CE203" si="207">$CE$3</f>
        <v>222.23585883330111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5.659906098312657</v>
      </c>
      <c r="CL197" s="23">
        <f>EXP(-LN(2)/25)*CL196+(1-EXP(-LN(2)/25))/(LN(2)/25)*Calculateur!CG197*Calculateur!CI197*VLOOKUP('Données projet'!$B$12,Paramètres!$A$1:$I$89,3,0)*0.475*44/12</f>
        <v>0.30519273561782934</v>
      </c>
      <c r="CM197" s="23">
        <f>EXP(-LN(2)/2)*CM196+(1-EXP(-LN(2)/2))/(LN(2)/2)*CG197*CJ197*VLOOKUP('Données projet'!$B$12,Paramètres!$A$1:$I$89,3,0)*0.475*44/12</f>
        <v>1.3029945139623112E-17</v>
      </c>
      <c r="CN197" s="24">
        <f t="shared" si="172"/>
        <v>5.9650988339304867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193.99999999999994</v>
      </c>
      <c r="CU197" s="18">
        <f>CT197*VLOOKUP('Données projet'!$B$13,Paramètres!$A$1:$I$89,3,0)*VLOOKUP('Données projet'!$B$13,Paramètres!$A$1:$I$89,5,0)</f>
        <v>105.92399999999998</v>
      </c>
      <c r="CV197" s="14">
        <f t="shared" si="173"/>
        <v>28.36854701055546</v>
      </c>
      <c r="CW197" s="22">
        <f t="shared" si="174"/>
        <v>233.89285271005073</v>
      </c>
      <c r="CX197" s="62">
        <f t="shared" si="196"/>
        <v>527.22618604338402</v>
      </c>
      <c r="CY197" s="62">
        <f ca="1">AVERAGE(OFFSET($CX$3,0,0,'Données projet'!$E$13+1,1))-AVERAGE(OFFSET($H$3,0,0,'Données projet'!$E$13+1,1))</f>
        <v>135.44138026609272</v>
      </c>
      <c r="CZ197" s="62">
        <f t="shared" ref="CZ197:CZ203" si="208">$CZ$3</f>
        <v>254.77247578425659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2.5675585491482984</v>
      </c>
      <c r="DG197" s="23">
        <f>EXP(-LN(2)/25)*DG196+(1-EXP(-LN(2)/25))/(LN(2)/25)*Calculateur!DB197*Calculateur!DD197*VLOOKUP('Données projet'!$B$13,Paramètres!$A$1:$I$89,3,0)*0.475*44/12</f>
        <v>0.47944074855442698</v>
      </c>
      <c r="DH197" s="23">
        <f>EXP(-LN(2)/2)*DH196+(1-EXP(-LN(2)/2))/(LN(2)/2)*DB197*DE197*VLOOKUP('Données projet'!$B$13,Paramètres!$A$1:$I$89,3,0)*0.475*44/12</f>
        <v>1.7588264672985915E-23</v>
      </c>
      <c r="DI197" s="24">
        <f t="shared" si="175"/>
        <v>3.0469992977027252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273.00000000000023</v>
      </c>
      <c r="DP197" s="18">
        <f>DO197*VLOOKUP('Données projet'!$B$14,Paramètres!$A$1:$I$89,3,0)*VLOOKUP('Données projet'!$B$14,Paramètres!$A$1:$I$89,5,0)</f>
        <v>264.04560000000021</v>
      </c>
      <c r="DQ197" s="14">
        <f t="shared" si="176"/>
        <v>63.583959929973794</v>
      </c>
      <c r="DR197" s="22">
        <f t="shared" si="177"/>
        <v>570.6214835447048</v>
      </c>
      <c r="DS197" s="62">
        <f t="shared" si="197"/>
        <v>863.95481687803817</v>
      </c>
      <c r="DT197" s="62">
        <f ca="1">AVERAGE(OFFSET($DS$3,0,0,'Données projet'!$E$14+1,1))-AVERAGE(OFFSET($H$3,0,0,'Données projet'!$E$14+1,1))</f>
        <v>271.09447278906288</v>
      </c>
      <c r="DU197" s="62">
        <f t="shared" ref="DU197:DU203" si="209">$DU$3</f>
        <v>325.1094067861851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2.8488213297803759</v>
      </c>
      <c r="EB197" s="23">
        <f>EXP(-LN(2)/25)*EB196+(1-EXP(-LN(2)/25))/(LN(2)/25)*Calculateur!DW197*Calculateur!DY197*VLOOKUP('Données projet'!$B$14,Paramètres!$A$1:$I$89,3,0)*0.475*44/12</f>
        <v>0.17911851679621127</v>
      </c>
      <c r="EC197" s="23">
        <f>EXP(-LN(2)/2)*EC196+(1-EXP(-LN(2)/2))/(LN(2)/2)*DW197*DZ197*VLOOKUP('Données projet'!$B$14,Paramètres!$A$1:$I$89,3,0)*0.475*44/12</f>
        <v>4.1292933913457621E-20</v>
      </c>
      <c r="ED197" s="24">
        <f t="shared" si="178"/>
        <v>3.0279398465765874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273.00000000000023</v>
      </c>
      <c r="EK197" s="18">
        <f>EJ197*VLOOKUP('Données projet'!$B$15,Paramètres!$A$1:$I$89,3,0)*VLOOKUP('Données projet'!$B$15,Paramètres!$A$1:$I$89,5,0)</f>
        <v>293.85720000000026</v>
      </c>
      <c r="EL197" s="14">
        <f t="shared" si="179"/>
        <v>69.887150190339895</v>
      </c>
      <c r="EM197" s="22">
        <f t="shared" si="180"/>
        <v>633.52140991484237</v>
      </c>
      <c r="EN197" s="62">
        <f t="shared" si="198"/>
        <v>926.85474324817574</v>
      </c>
      <c r="EO197" s="62">
        <f ca="1">AVERAGE(OFFSET($EN$3,0,0,'Données projet'!$E$15+1,1))-AVERAGE(OFFSET($H$3,0,0,'Données projet'!$E$15+1,1))</f>
        <v>306.50593475734655</v>
      </c>
      <c r="EP197" s="62">
        <f t="shared" ref="EP197:EP203" si="210">$EP$3</f>
        <v>366.48643801375079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3.1704624476588061</v>
      </c>
      <c r="EW197" s="23">
        <f>EXP(-LN(2)/25)*EW196+(1-EXP(-LN(2)/25))/(LN(2)/25)*Calculateur!ER197*Calculateur!ET197*VLOOKUP('Données projet'!$B$15,Paramètres!$A$1:$I$89,3,0)*0.475*44/12</f>
        <v>0.19934157514417028</v>
      </c>
      <c r="EX197" s="23">
        <f>EXP(-LN(2)/2)*EX196+(1-EXP(-LN(2)/2))/(LN(2)/2)*ER197*EU197*VLOOKUP('Données projet'!$B$15,Paramètres!$A$1:$I$89,3,0)*0.475*44/12</f>
        <v>4.5955039355299585E-20</v>
      </c>
      <c r="EY197" s="24">
        <f t="shared" si="181"/>
        <v>3.3698040228029766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142.97399999999976</v>
      </c>
      <c r="D198" s="12">
        <f t="shared" si="202"/>
        <v>36.977471400949966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1389.0990774810155</v>
      </c>
      <c r="H198" s="70">
        <f t="shared" si="192"/>
        <v>606.7488126899874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306.99999999999994</v>
      </c>
      <c r="O198" s="14">
        <f>N198*VLOOKUP('Données projet'!$B$9,Paramètres!$A$1:$I$89,3,0)*VLOOKUP('Données projet'!$B$9,Paramètres!$A$1:$I$89,5,0)</f>
        <v>277.77359999999993</v>
      </c>
      <c r="P198" s="14">
        <f t="shared" si="203"/>
        <v>66.496288176842356</v>
      </c>
      <c r="Q198" s="22">
        <f t="shared" si="162"/>
        <v>599.60338857466706</v>
      </c>
      <c r="R198" s="62">
        <f t="shared" si="191"/>
        <v>892.93672190800044</v>
      </c>
      <c r="S198" s="62">
        <f ca="1">AVERAGE(OFFSET($R$3,0,0,'Données projet'!$E$9+1,1))-AVERAGE(OFFSET($H$3,0,0,'Données projet'!$E$9+1,1))</f>
        <v>312.57314929661908</v>
      </c>
      <c r="T198" s="62">
        <f t="shared" si="204"/>
        <v>190.92100876773804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15.736542762056366</v>
      </c>
      <c r="AA198" s="23">
        <f>EXP(-LN(2)/25)*AA197+(1-EXP(-LN(2)/25))/(LN(2)/25)*Calculateur!V198*Calculateur!X198*VLOOKUP('Données projet'!$B$9,Paramètres!$A$1:$I$89,3,0)*0.475*44/12</f>
        <v>0.36095781437604996</v>
      </c>
      <c r="AB198" s="23">
        <f>EXP(-LN(2)/2)*AB197+(1-EXP(-LN(2)/2))/(LN(2)/2)*V198*Y198*VLOOKUP('Données projet'!$B$9,Paramètres!$A$1:$I$89,3,0)*0.475*44/12</f>
        <v>1.3703031373677982E-12</v>
      </c>
      <c r="AC198" s="24">
        <f t="shared" si="163"/>
        <v>16.097500576433788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306.99999999999994</v>
      </c>
      <c r="AJ198" s="14">
        <f>AI198*VLOOKUP('Données projet'!$B$10,Paramètres!$A$1:$I$89,3,0)*VLOOKUP('Données projet'!$B$10,Paramètres!$A$1:$I$89,5,0)</f>
        <v>311.298</v>
      </c>
      <c r="AK198" s="14">
        <f t="shared" si="164"/>
        <v>73.539838278528748</v>
      </c>
      <c r="AL198" s="22">
        <f t="shared" si="165"/>
        <v>670.25923500177089</v>
      </c>
      <c r="AM198" s="62">
        <f t="shared" si="193"/>
        <v>963.59256833510426</v>
      </c>
      <c r="AN198" s="62">
        <f ca="1">AVERAGE(OFFSET($AM$3,0,0,'Données projet'!$E$10+1,1))-AVERAGE(OFFSET($H$3,0,0,'Données projet'!$E$10+1,1))</f>
        <v>360.56293184044779</v>
      </c>
      <c r="AO198" s="62">
        <f t="shared" si="205"/>
        <v>219.32252911220542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17.635780681614875</v>
      </c>
      <c r="AV198" s="23">
        <f>EXP(-LN(2)/25)*AV197+(1-EXP(-LN(2)/25))/(LN(2)/25)*Calculateur!AQ198*Calculateur!AS198*VLOOKUP('Données projet'!$B$10,Paramètres!$A$1:$I$89,3,0)*0.475*44/12</f>
        <v>0.40452168852488357</v>
      </c>
      <c r="AW198" s="23">
        <f>EXP(-LN(2)/2)*AW197+(1-EXP(-LN(2)/2))/(LN(2)/2)*AQ198*AT198*VLOOKUP('Données projet'!$B$10,Paramètres!$A$1:$I$89,3,0)*0.475*44/12</f>
        <v>1.5356845504983949E-12</v>
      </c>
      <c r="AX198" s="23">
        <f t="shared" si="166"/>
        <v>18.040302370141294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1.1368683772161603E-13</v>
      </c>
      <c r="BE198" s="14">
        <f>BD198*VLOOKUP('Données projet'!$B$11,Paramètres!$A$1:$I$89,3,0)*VLOOKUP('Données projet'!$B$11,Paramètres!$A$1:$I$89,5,0)</f>
        <v>8.3355189417488869E-14</v>
      </c>
      <c r="BF198" s="14">
        <f t="shared" si="167"/>
        <v>1.2790518435140618E-12</v>
      </c>
      <c r="BG198" s="22">
        <f t="shared" si="168"/>
        <v>2.3728589156891171E-12</v>
      </c>
      <c r="BH198" s="62">
        <f t="shared" si="194"/>
        <v>293.3333333333357</v>
      </c>
      <c r="BI198" s="62">
        <f ca="1">AVERAGE(OFFSET($BH$3,0,0,'Données projet'!$E$11+1,1))-AVERAGE(OFFSET($H$3,0,0,'Données projet'!$E$11+1,1))</f>
        <v>182.06733089745194</v>
      </c>
      <c r="BJ198" s="62">
        <f t="shared" si="206"/>
        <v>320.36755413886021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2.2760688461817065</v>
      </c>
      <c r="BQ198" s="23">
        <f>EXP(-LN(2)/25)*BQ197+(1-EXP(-LN(2)/25))/(LN(2)/25)*Calculateur!BL198*Calculateur!BN198*VLOOKUP('Données projet'!$B$11,Paramètres!$A$1:$I$89,3,0)*0.475*44/12</f>
        <v>0.13099156995830988</v>
      </c>
      <c r="BR198" s="23">
        <f>EXP(-LN(2)/2)*BR197+(1-EXP(-LN(2)/2))/(LN(2)/2)*BL198*BO198*VLOOKUP('Données projet'!$B$11,Paramètres!$A$1:$I$89,3,0)*0.475*44/12</f>
        <v>1.0826360248378006E-22</v>
      </c>
      <c r="BS198" s="24">
        <f t="shared" si="169"/>
        <v>2.4070604161400162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319.99999999999972</v>
      </c>
      <c r="BZ198" s="14">
        <f>BY198*VLOOKUP('Données projet'!$B$12,Paramètres!$A$1:$I$89,3,0)*VLOOKUP('Données projet'!$B$12,Paramètres!$A$1:$I$89,5,0)</f>
        <v>279.55199999999979</v>
      </c>
      <c r="CA198" s="14">
        <f t="shared" si="170"/>
        <v>66.872324781216591</v>
      </c>
      <c r="CB198" s="22">
        <f t="shared" si="171"/>
        <v>603.35569899395182</v>
      </c>
      <c r="CC198" s="62">
        <f t="shared" si="195"/>
        <v>896.68903232728508</v>
      </c>
      <c r="CD198" s="62">
        <f ca="1">AVERAGE(OFFSET($CC$3,0,0,'Données projet'!$E$12+1,1))-AVERAGE(OFFSET($H$3,0,0,'Données projet'!$E$12+1,1))</f>
        <v>248.60758320902863</v>
      </c>
      <c r="CE198" s="62">
        <f t="shared" si="207"/>
        <v>222.23585883330111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5.5489187919265888</v>
      </c>
      <c r="CL198" s="23">
        <f>EXP(-LN(2)/25)*CL197+(1-EXP(-LN(2)/25))/(LN(2)/25)*Calculateur!CG198*Calculateur!CI198*VLOOKUP('Données projet'!$B$12,Paramètres!$A$1:$I$89,3,0)*0.475*44/12</f>
        <v>0.29684722421297133</v>
      </c>
      <c r="CM198" s="23">
        <f>EXP(-LN(2)/2)*CM197+(1-EXP(-LN(2)/2))/(LN(2)/2)*CG198*CJ198*VLOOKUP('Données projet'!$B$12,Paramètres!$A$1:$I$89,3,0)*0.475*44/12</f>
        <v>9.2135625667161984E-18</v>
      </c>
      <c r="CN198" s="24">
        <f t="shared" si="172"/>
        <v>5.8457660161395602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193.99999999999994</v>
      </c>
      <c r="CU198" s="18">
        <f>CT198*VLOOKUP('Données projet'!$B$13,Paramètres!$A$1:$I$89,3,0)*VLOOKUP('Données projet'!$B$13,Paramètres!$A$1:$I$89,5,0)</f>
        <v>105.92399999999998</v>
      </c>
      <c r="CV198" s="14">
        <f t="shared" si="173"/>
        <v>28.36854701055546</v>
      </c>
      <c r="CW198" s="22">
        <f t="shared" si="174"/>
        <v>233.89285271005073</v>
      </c>
      <c r="CX198" s="62">
        <f t="shared" si="196"/>
        <v>527.22618604338402</v>
      </c>
      <c r="CY198" s="62">
        <f ca="1">AVERAGE(OFFSET($CX$3,0,0,'Données projet'!$E$13+1,1))-AVERAGE(OFFSET($H$3,0,0,'Données projet'!$E$13+1,1))</f>
        <v>135.44138026609272</v>
      </c>
      <c r="CZ198" s="62">
        <f t="shared" si="208"/>
        <v>254.77247578425659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2.5172102920555801</v>
      </c>
      <c r="DG198" s="23">
        <f>EXP(-LN(2)/25)*DG197+(1-EXP(-LN(2)/25))/(LN(2)/25)*Calculateur!DB198*Calculateur!DD198*VLOOKUP('Données projet'!$B$13,Paramètres!$A$1:$I$89,3,0)*0.475*44/12</f>
        <v>0.46633041607251297</v>
      </c>
      <c r="DH198" s="23">
        <f>EXP(-LN(2)/2)*DH197+(1-EXP(-LN(2)/2))/(LN(2)/2)*DB198*DE198*VLOOKUP('Données projet'!$B$13,Paramètres!$A$1:$I$89,3,0)*0.475*44/12</f>
        <v>1.2436781219572136E-23</v>
      </c>
      <c r="DI198" s="24">
        <f t="shared" si="175"/>
        <v>2.9835407081280931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273.00000000000023</v>
      </c>
      <c r="DP198" s="18">
        <f>DO198*VLOOKUP('Données projet'!$B$14,Paramètres!$A$1:$I$89,3,0)*VLOOKUP('Données projet'!$B$14,Paramètres!$A$1:$I$89,5,0)</f>
        <v>264.04560000000021</v>
      </c>
      <c r="DQ198" s="14">
        <f t="shared" si="176"/>
        <v>63.583959929973794</v>
      </c>
      <c r="DR198" s="22">
        <f t="shared" si="177"/>
        <v>570.6214835447048</v>
      </c>
      <c r="DS198" s="62">
        <f t="shared" si="197"/>
        <v>863.95481687803817</v>
      </c>
      <c r="DT198" s="62">
        <f ca="1">AVERAGE(OFFSET($DS$3,0,0,'Données projet'!$E$14+1,1))-AVERAGE(OFFSET($H$3,0,0,'Données projet'!$E$14+1,1))</f>
        <v>271.09447278906288</v>
      </c>
      <c r="DU198" s="62">
        <f t="shared" si="209"/>
        <v>325.1094067861851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2.7929576811128194</v>
      </c>
      <c r="EB198" s="23">
        <f>EXP(-LN(2)/25)*EB197+(1-EXP(-LN(2)/25))/(LN(2)/25)*Calculateur!DW198*Calculateur!DY198*VLOOKUP('Données projet'!$B$14,Paramètres!$A$1:$I$89,3,0)*0.475*44/12</f>
        <v>0.17422051153498547</v>
      </c>
      <c r="EC198" s="23">
        <f>EXP(-LN(2)/2)*EC197+(1-EXP(-LN(2)/2))/(LN(2)/2)*DW198*DZ198*VLOOKUP('Données projet'!$B$14,Paramètres!$A$1:$I$89,3,0)*0.475*44/12</f>
        <v>2.9198513585293845E-20</v>
      </c>
      <c r="ED198" s="24">
        <f t="shared" si="178"/>
        <v>2.9671781926478049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273.00000000000023</v>
      </c>
      <c r="EK198" s="18">
        <f>EJ198*VLOOKUP('Données projet'!$B$15,Paramètres!$A$1:$I$89,3,0)*VLOOKUP('Données projet'!$B$15,Paramètres!$A$1:$I$89,5,0)</f>
        <v>293.85720000000026</v>
      </c>
      <c r="EL198" s="14">
        <f t="shared" si="179"/>
        <v>69.887150190339895</v>
      </c>
      <c r="EM198" s="22">
        <f t="shared" si="180"/>
        <v>633.52140991484237</v>
      </c>
      <c r="EN198" s="62">
        <f t="shared" si="198"/>
        <v>926.85474324817574</v>
      </c>
      <c r="EO198" s="62">
        <f ca="1">AVERAGE(OFFSET($EN$3,0,0,'Données projet'!$E$15+1,1))-AVERAGE(OFFSET($H$3,0,0,'Données projet'!$E$15+1,1))</f>
        <v>306.50593475734655</v>
      </c>
      <c r="EP198" s="62">
        <f t="shared" si="210"/>
        <v>366.48643801375079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3.1082916128513638</v>
      </c>
      <c r="EW198" s="23">
        <f>EXP(-LN(2)/25)*EW197+(1-EXP(-LN(2)/25))/(LN(2)/25)*Calculateur!ER198*Calculateur!ET198*VLOOKUP('Données projet'!$B$15,Paramètres!$A$1:$I$89,3,0)*0.475*44/12</f>
        <v>0.19389056928893511</v>
      </c>
      <c r="EX198" s="23">
        <f>EXP(-LN(2)/2)*EX197+(1-EXP(-LN(2)/2))/(LN(2)/2)*ER198*EU198*VLOOKUP('Données projet'!$B$15,Paramètres!$A$1:$I$89,3,0)*0.475*44/12</f>
        <v>3.2495119957827004E-20</v>
      </c>
      <c r="EY198" s="24">
        <f t="shared" si="181"/>
        <v>3.302182182140299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143.70719999999977</v>
      </c>
      <c r="D199" s="12">
        <f t="shared" si="202"/>
        <v>37.144976839760147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1396.051891394638</v>
      </c>
      <c r="H199" s="70">
        <f t="shared" si="192"/>
        <v>608.31754132924857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306.99999999999994</v>
      </c>
      <c r="O199" s="14">
        <f>N199*VLOOKUP('Données projet'!$B$9,Paramètres!$A$1:$I$89,3,0)*VLOOKUP('Données projet'!$B$9,Paramètres!$A$1:$I$89,5,0)</f>
        <v>277.77359999999993</v>
      </c>
      <c r="P199" s="14">
        <f t="shared" si="203"/>
        <v>66.496288176842356</v>
      </c>
      <c r="Q199" s="22">
        <f t="shared" si="162"/>
        <v>599.60338857466706</v>
      </c>
      <c r="R199" s="62">
        <f t="shared" si="191"/>
        <v>892.93672190800044</v>
      </c>
      <c r="S199" s="62">
        <f ca="1">AVERAGE(OFFSET($R$3,0,0,'Données projet'!$E$9+1,1))-AVERAGE(OFFSET($H$3,0,0,'Données projet'!$E$9+1,1))</f>
        <v>312.57314929661908</v>
      </c>
      <c r="T199" s="62">
        <f t="shared" si="204"/>
        <v>190.92100876773804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15.427958756835768</v>
      </c>
      <c r="AA199" s="23">
        <f>EXP(-LN(2)/25)*AA198+(1-EXP(-LN(2)/25))/(LN(2)/25)*Calculateur!V199*Calculateur!X199*VLOOKUP('Données projet'!$B$9,Paramètres!$A$1:$I$89,3,0)*0.475*44/12</f>
        <v>0.35108740395999039</v>
      </c>
      <c r="AB199" s="23">
        <f>EXP(-LN(2)/2)*AB198+(1-EXP(-LN(2)/2))/(LN(2)/2)*V199*Y199*VLOOKUP('Données projet'!$B$9,Paramètres!$A$1:$I$89,3,0)*0.475*44/12</f>
        <v>9.6895064071397128E-13</v>
      </c>
      <c r="AC199" s="24">
        <f t="shared" si="163"/>
        <v>15.779046160796726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306.99999999999994</v>
      </c>
      <c r="AJ199" s="14">
        <f>AI199*VLOOKUP('Données projet'!$B$10,Paramètres!$A$1:$I$89,3,0)*VLOOKUP('Données projet'!$B$10,Paramètres!$A$1:$I$89,5,0)</f>
        <v>311.298</v>
      </c>
      <c r="AK199" s="14">
        <f t="shared" si="164"/>
        <v>73.539838278528748</v>
      </c>
      <c r="AL199" s="22">
        <f t="shared" si="165"/>
        <v>670.25923500177089</v>
      </c>
      <c r="AM199" s="62">
        <f t="shared" si="193"/>
        <v>963.59256833510426</v>
      </c>
      <c r="AN199" s="62">
        <f ca="1">AVERAGE(OFFSET($AM$3,0,0,'Données projet'!$E$10+1,1))-AVERAGE(OFFSET($H$3,0,0,'Données projet'!$E$10+1,1))</f>
        <v>360.56293184044779</v>
      </c>
      <c r="AO199" s="62">
        <f t="shared" si="205"/>
        <v>219.32252911220542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17.289953779212482</v>
      </c>
      <c r="AV199" s="23">
        <f>EXP(-LN(2)/25)*AV198+(1-EXP(-LN(2)/25))/(LN(2)/25)*Calculateur!AQ199*Calculateur!AS199*VLOOKUP('Données projet'!$B$10,Paramètres!$A$1:$I$89,3,0)*0.475*44/12</f>
        <v>0.39346002167929955</v>
      </c>
      <c r="AW199" s="23">
        <f>EXP(-LN(2)/2)*AW198+(1-EXP(-LN(2)/2))/(LN(2)/2)*AQ199*AT199*VLOOKUP('Données projet'!$B$10,Paramètres!$A$1:$I$89,3,0)*0.475*44/12</f>
        <v>1.0858929594208301E-12</v>
      </c>
      <c r="AX199" s="23">
        <f t="shared" si="166"/>
        <v>17.683413800892868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1.1368683772161603E-13</v>
      </c>
      <c r="BE199" s="14">
        <f>BD199*VLOOKUP('Données projet'!$B$11,Paramètres!$A$1:$I$89,3,0)*VLOOKUP('Données projet'!$B$11,Paramètres!$A$1:$I$89,5,0)</f>
        <v>8.3355189417488869E-14</v>
      </c>
      <c r="BF199" s="14">
        <f t="shared" si="167"/>
        <v>1.2790518435140618E-12</v>
      </c>
      <c r="BG199" s="22">
        <f t="shared" si="168"/>
        <v>2.3728589156891171E-12</v>
      </c>
      <c r="BH199" s="62">
        <f t="shared" si="194"/>
        <v>293.3333333333357</v>
      </c>
      <c r="BI199" s="62">
        <f ca="1">AVERAGE(OFFSET($BH$3,0,0,'Données projet'!$E$11+1,1))-AVERAGE(OFFSET($H$3,0,0,'Données projet'!$E$11+1,1))</f>
        <v>182.06733089745194</v>
      </c>
      <c r="BJ199" s="62">
        <f t="shared" si="206"/>
        <v>320.36755413886021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2.2314365243729997</v>
      </c>
      <c r="BQ199" s="23">
        <f>EXP(-LN(2)/25)*BQ198+(1-EXP(-LN(2)/25))/(LN(2)/25)*Calculateur!BL199*Calculateur!BN199*VLOOKUP('Données projet'!$B$11,Paramètres!$A$1:$I$89,3,0)*0.475*44/12</f>
        <v>0.1274095985892526</v>
      </c>
      <c r="BR199" s="23">
        <f>EXP(-LN(2)/2)*BR198+(1-EXP(-LN(2)/2))/(LN(2)/2)*BL199*BO199*VLOOKUP('Données projet'!$B$11,Paramètres!$A$1:$I$89,3,0)*0.475*44/12</f>
        <v>7.6553927471965631E-23</v>
      </c>
      <c r="BS199" s="24">
        <f t="shared" si="169"/>
        <v>2.3588461229622522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319.99999999999972</v>
      </c>
      <c r="BZ199" s="14">
        <f>BY199*VLOOKUP('Données projet'!$B$12,Paramètres!$A$1:$I$89,3,0)*VLOOKUP('Données projet'!$B$12,Paramètres!$A$1:$I$89,5,0)</f>
        <v>279.55199999999979</v>
      </c>
      <c r="CA199" s="14">
        <f t="shared" si="170"/>
        <v>66.872324781216591</v>
      </c>
      <c r="CB199" s="22">
        <f t="shared" si="171"/>
        <v>603.35569899395182</v>
      </c>
      <c r="CC199" s="62">
        <f t="shared" si="195"/>
        <v>896.68903232728508</v>
      </c>
      <c r="CD199" s="62">
        <f ca="1">AVERAGE(OFFSET($CC$3,0,0,'Données projet'!$E$12+1,1))-AVERAGE(OFFSET($H$3,0,0,'Données projet'!$E$12+1,1))</f>
        <v>248.60758320902863</v>
      </c>
      <c r="CE199" s="62">
        <f t="shared" si="207"/>
        <v>222.23585883330111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5.4401078789231789</v>
      </c>
      <c r="CL199" s="23">
        <f>EXP(-LN(2)/25)*CL198+(1-EXP(-LN(2)/25))/(LN(2)/25)*Calculateur!CG199*Calculateur!CI199*VLOOKUP('Données projet'!$B$12,Paramètres!$A$1:$I$89,3,0)*0.475*44/12</f>
        <v>0.28872992125635055</v>
      </c>
      <c r="CM199" s="23">
        <f>EXP(-LN(2)/2)*CM198+(1-EXP(-LN(2)/2))/(LN(2)/2)*CG199*CJ199*VLOOKUP('Données projet'!$B$12,Paramètres!$A$1:$I$89,3,0)*0.475*44/12</f>
        <v>6.5149725698115562E-18</v>
      </c>
      <c r="CN199" s="24">
        <f t="shared" si="172"/>
        <v>5.7288378001795293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193.99999999999994</v>
      </c>
      <c r="CU199" s="18">
        <f>CT199*VLOOKUP('Données projet'!$B$13,Paramètres!$A$1:$I$89,3,0)*VLOOKUP('Données projet'!$B$13,Paramètres!$A$1:$I$89,5,0)</f>
        <v>105.92399999999998</v>
      </c>
      <c r="CV199" s="14">
        <f t="shared" si="173"/>
        <v>28.36854701055546</v>
      </c>
      <c r="CW199" s="22">
        <f t="shared" si="174"/>
        <v>233.89285271005073</v>
      </c>
      <c r="CX199" s="62">
        <f t="shared" si="196"/>
        <v>527.22618604338402</v>
      </c>
      <c r="CY199" s="62">
        <f ca="1">AVERAGE(OFFSET($CX$3,0,0,'Données projet'!$E$13+1,1))-AVERAGE(OFFSET($H$3,0,0,'Données projet'!$E$13+1,1))</f>
        <v>135.44138026609272</v>
      </c>
      <c r="CZ199" s="62">
        <f t="shared" si="208"/>
        <v>254.77247578425659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2.4678493335750455</v>
      </c>
      <c r="DG199" s="23">
        <f>EXP(-LN(2)/25)*DG198+(1-EXP(-LN(2)/25))/(LN(2)/25)*Calculateur!DB199*Calculateur!DD199*VLOOKUP('Données projet'!$B$13,Paramètres!$A$1:$I$89,3,0)*0.475*44/12</f>
        <v>0.45357858632175935</v>
      </c>
      <c r="DH199" s="23">
        <f>EXP(-LN(2)/2)*DH198+(1-EXP(-LN(2)/2))/(LN(2)/2)*DB199*DE199*VLOOKUP('Données projet'!$B$13,Paramètres!$A$1:$I$89,3,0)*0.475*44/12</f>
        <v>8.7941323364929577E-24</v>
      </c>
      <c r="DI199" s="24">
        <f t="shared" si="175"/>
        <v>2.9214279198968049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273.00000000000023</v>
      </c>
      <c r="DP199" s="18">
        <f>DO199*VLOOKUP('Données projet'!$B$14,Paramètres!$A$1:$I$89,3,0)*VLOOKUP('Données projet'!$B$14,Paramètres!$A$1:$I$89,5,0)</f>
        <v>264.04560000000021</v>
      </c>
      <c r="DQ199" s="14">
        <f t="shared" si="176"/>
        <v>63.583959929973794</v>
      </c>
      <c r="DR199" s="22">
        <f t="shared" si="177"/>
        <v>570.6214835447048</v>
      </c>
      <c r="DS199" s="62">
        <f t="shared" si="197"/>
        <v>863.95481687803817</v>
      </c>
      <c r="DT199" s="62">
        <f ca="1">AVERAGE(OFFSET($DS$3,0,0,'Données projet'!$E$14+1,1))-AVERAGE(OFFSET($H$3,0,0,'Données projet'!$E$14+1,1))</f>
        <v>271.09447278906288</v>
      </c>
      <c r="DU199" s="62">
        <f t="shared" si="209"/>
        <v>325.1094067861851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2.7381894845221724</v>
      </c>
      <c r="EB199" s="23">
        <f>EXP(-LN(2)/25)*EB198+(1-EXP(-LN(2)/25))/(LN(2)/25)*Calculateur!DW199*Calculateur!DY199*VLOOKUP('Données projet'!$B$14,Paramètres!$A$1:$I$89,3,0)*0.475*44/12</f>
        <v>0.16945644248520278</v>
      </c>
      <c r="EC199" s="23">
        <f>EXP(-LN(2)/2)*EC198+(1-EXP(-LN(2)/2))/(LN(2)/2)*DW199*DZ199*VLOOKUP('Données projet'!$B$14,Paramètres!$A$1:$I$89,3,0)*0.475*44/12</f>
        <v>2.064646695672881E-20</v>
      </c>
      <c r="ED199" s="24">
        <f t="shared" si="178"/>
        <v>2.9076459270073753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273.00000000000023</v>
      </c>
      <c r="EK199" s="18">
        <f>EJ199*VLOOKUP('Données projet'!$B$15,Paramètres!$A$1:$I$89,3,0)*VLOOKUP('Données projet'!$B$15,Paramètres!$A$1:$I$89,5,0)</f>
        <v>293.85720000000026</v>
      </c>
      <c r="EL199" s="14">
        <f t="shared" si="179"/>
        <v>69.887150190339895</v>
      </c>
      <c r="EM199" s="22">
        <f t="shared" si="180"/>
        <v>633.52140991484237</v>
      </c>
      <c r="EN199" s="62">
        <f t="shared" si="198"/>
        <v>926.85474324817574</v>
      </c>
      <c r="EO199" s="62">
        <f ca="1">AVERAGE(OFFSET($EN$3,0,0,'Données projet'!$E$15+1,1))-AVERAGE(OFFSET($H$3,0,0,'Données projet'!$E$15+1,1))</f>
        <v>306.50593475734655</v>
      </c>
      <c r="EP199" s="62">
        <f t="shared" si="210"/>
        <v>366.48643801375079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3.0473399101940308</v>
      </c>
      <c r="EW199" s="23">
        <f>EXP(-LN(2)/25)*EW198+(1-EXP(-LN(2)/25))/(LN(2)/25)*Calculateur!ER199*Calculateur!ET199*VLOOKUP('Données projet'!$B$15,Paramètres!$A$1:$I$89,3,0)*0.475*44/12</f>
        <v>0.18858862147546729</v>
      </c>
      <c r="EX199" s="23">
        <f>EXP(-LN(2)/2)*EX198+(1-EXP(-LN(2)/2))/(LN(2)/2)*ER199*EU199*VLOOKUP('Données projet'!$B$15,Paramètres!$A$1:$I$89,3,0)*0.475*44/12</f>
        <v>2.2977519677649793E-20</v>
      </c>
      <c r="EY199" s="24">
        <f t="shared" si="181"/>
        <v>3.2359285316694981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144.44039999999978</v>
      </c>
      <c r="D200" s="12">
        <f t="shared" si="202"/>
        <v>37.312382829927017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1403.0039376345223</v>
      </c>
      <c r="H200" s="70">
        <f t="shared" si="192"/>
        <v>609.88609676212241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306.99999999999994</v>
      </c>
      <c r="O200" s="14">
        <f>N200*VLOOKUP('Données projet'!$B$9,Paramètres!$A$1:$I$89,3,0)*VLOOKUP('Données projet'!$B$9,Paramètres!$A$1:$I$89,5,0)</f>
        <v>277.77359999999993</v>
      </c>
      <c r="P200" s="14">
        <f t="shared" si="203"/>
        <v>66.496288176842356</v>
      </c>
      <c r="Q200" s="22">
        <f t="shared" si="162"/>
        <v>599.60338857466706</v>
      </c>
      <c r="R200" s="62">
        <f t="shared" si="191"/>
        <v>892.93672190800044</v>
      </c>
      <c r="S200" s="62">
        <f ca="1">AVERAGE(OFFSET($R$3,0,0,'Données projet'!$E$9+1,1))-AVERAGE(OFFSET($H$3,0,0,'Données projet'!$E$9+1,1))</f>
        <v>312.57314929661908</v>
      </c>
      <c r="T200" s="62">
        <f t="shared" si="204"/>
        <v>190.92100876773804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15.125425895739887</v>
      </c>
      <c r="AA200" s="23">
        <f>EXP(-LN(2)/25)*AA199+(1-EXP(-LN(2)/25))/(LN(2)/25)*Calculateur!V200*Calculateur!X200*VLOOKUP('Données projet'!$B$9,Paramètres!$A$1:$I$89,3,0)*0.475*44/12</f>
        <v>0.34148690043582031</v>
      </c>
      <c r="AB200" s="23">
        <f>EXP(-LN(2)/2)*AB199+(1-EXP(-LN(2)/2))/(LN(2)/2)*V200*Y200*VLOOKUP('Données projet'!$B$9,Paramètres!$A$1:$I$89,3,0)*0.475*44/12</f>
        <v>6.8515156868389912E-13</v>
      </c>
      <c r="AC200" s="24">
        <f t="shared" si="163"/>
        <v>15.466912796176393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306.99999999999994</v>
      </c>
      <c r="AJ200" s="14">
        <f>AI200*VLOOKUP('Données projet'!$B$10,Paramètres!$A$1:$I$89,3,0)*VLOOKUP('Données projet'!$B$10,Paramètres!$A$1:$I$89,5,0)</f>
        <v>311.298</v>
      </c>
      <c r="AK200" s="14">
        <f t="shared" si="164"/>
        <v>73.539838278528748</v>
      </c>
      <c r="AL200" s="22">
        <f t="shared" si="165"/>
        <v>670.25923500177089</v>
      </c>
      <c r="AM200" s="62">
        <f t="shared" si="193"/>
        <v>963.59256833510426</v>
      </c>
      <c r="AN200" s="62">
        <f ca="1">AVERAGE(OFFSET($AM$3,0,0,'Données projet'!$E$10+1,1))-AVERAGE(OFFSET($H$3,0,0,'Données projet'!$E$10+1,1))</f>
        <v>360.56293184044779</v>
      </c>
      <c r="AO200" s="62">
        <f t="shared" si="205"/>
        <v>219.32252911220542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16.950908331432615</v>
      </c>
      <c r="AV200" s="23">
        <f>EXP(-LN(2)/25)*AV199+(1-EXP(-LN(2)/25))/(LN(2)/25)*Calculateur!AQ200*Calculateur!AS200*VLOOKUP('Données projet'!$B$10,Paramètres!$A$1:$I$89,3,0)*0.475*44/12</f>
        <v>0.38270083669531585</v>
      </c>
      <c r="AW200" s="23">
        <f>EXP(-LN(2)/2)*AW199+(1-EXP(-LN(2)/2))/(LN(2)/2)*AQ200*AT200*VLOOKUP('Données projet'!$B$10,Paramètres!$A$1:$I$89,3,0)*0.475*44/12</f>
        <v>7.6784227524919744E-13</v>
      </c>
      <c r="AX200" s="23">
        <f t="shared" si="166"/>
        <v>17.333609168128699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1.1368683772161603E-13</v>
      </c>
      <c r="BE200" s="14">
        <f>BD200*VLOOKUP('Données projet'!$B$11,Paramètres!$A$1:$I$89,3,0)*VLOOKUP('Données projet'!$B$11,Paramètres!$A$1:$I$89,5,0)</f>
        <v>8.3355189417488869E-14</v>
      </c>
      <c r="BF200" s="14">
        <f t="shared" si="167"/>
        <v>1.2790518435140618E-12</v>
      </c>
      <c r="BG200" s="22">
        <f t="shared" si="168"/>
        <v>2.3728589156891171E-12</v>
      </c>
      <c r="BH200" s="62">
        <f t="shared" si="194"/>
        <v>293.3333333333357</v>
      </c>
      <c r="BI200" s="62">
        <f ca="1">AVERAGE(OFFSET($BH$3,0,0,'Données projet'!$E$11+1,1))-AVERAGE(OFFSET($H$3,0,0,'Données projet'!$E$11+1,1))</f>
        <v>182.06733089745194</v>
      </c>
      <c r="BJ200" s="62">
        <f t="shared" si="206"/>
        <v>320.36755413886021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2.1876794151719334</v>
      </c>
      <c r="BQ200" s="23">
        <f>EXP(-LN(2)/25)*BQ199+(1-EXP(-LN(2)/25))/(LN(2)/25)*Calculateur!BL200*Calculateur!BN200*VLOOKUP('Données projet'!$B$11,Paramètres!$A$1:$I$89,3,0)*0.475*44/12</f>
        <v>0.1239255764156499</v>
      </c>
      <c r="BR200" s="23">
        <f>EXP(-LN(2)/2)*BR199+(1-EXP(-LN(2)/2))/(LN(2)/2)*BL200*BO200*VLOOKUP('Données projet'!$B$11,Paramètres!$A$1:$I$89,3,0)*0.475*44/12</f>
        <v>5.4131801241890031E-23</v>
      </c>
      <c r="BS200" s="24">
        <f t="shared" si="169"/>
        <v>2.3116049915875831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319.99999999999972</v>
      </c>
      <c r="BZ200" s="14">
        <f>BY200*VLOOKUP('Données projet'!$B$12,Paramètres!$A$1:$I$89,3,0)*VLOOKUP('Données projet'!$B$12,Paramètres!$A$1:$I$89,5,0)</f>
        <v>279.55199999999979</v>
      </c>
      <c r="CA200" s="14">
        <f t="shared" si="170"/>
        <v>66.872324781216591</v>
      </c>
      <c r="CB200" s="22">
        <f t="shared" si="171"/>
        <v>603.35569899395182</v>
      </c>
      <c r="CC200" s="62">
        <f t="shared" si="195"/>
        <v>896.68903232728508</v>
      </c>
      <c r="CD200" s="62">
        <f ca="1">AVERAGE(OFFSET($CC$3,0,0,'Données projet'!$E$12+1,1))-AVERAGE(OFFSET($H$3,0,0,'Données projet'!$E$12+1,1))</f>
        <v>248.60758320902863</v>
      </c>
      <c r="CE200" s="62">
        <f t="shared" si="207"/>
        <v>222.23585883330111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5.3334306815556625</v>
      </c>
      <c r="CL200" s="23">
        <f>EXP(-LN(2)/25)*CL199+(1-EXP(-LN(2)/25))/(LN(2)/25)*Calculateur!CG200*Calculateur!CI200*VLOOKUP('Données projet'!$B$12,Paramètres!$A$1:$I$89,3,0)*0.475*44/12</f>
        <v>0.28083458637594899</v>
      </c>
      <c r="CM200" s="23">
        <f>EXP(-LN(2)/2)*CM199+(1-EXP(-LN(2)/2))/(LN(2)/2)*CG200*CJ200*VLOOKUP('Données projet'!$B$12,Paramètres!$A$1:$I$89,3,0)*0.475*44/12</f>
        <v>4.6067812833580992E-18</v>
      </c>
      <c r="CN200" s="24">
        <f t="shared" si="172"/>
        <v>5.6142652679316116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193.99999999999994</v>
      </c>
      <c r="CU200" s="18">
        <f>CT200*VLOOKUP('Données projet'!$B$13,Paramètres!$A$1:$I$89,3,0)*VLOOKUP('Données projet'!$B$13,Paramètres!$A$1:$I$89,5,0)</f>
        <v>105.92399999999998</v>
      </c>
      <c r="CV200" s="14">
        <f t="shared" si="173"/>
        <v>28.36854701055546</v>
      </c>
      <c r="CW200" s="22">
        <f t="shared" si="174"/>
        <v>233.89285271005073</v>
      </c>
      <c r="CX200" s="62">
        <f t="shared" si="196"/>
        <v>527.22618604338402</v>
      </c>
      <c r="CY200" s="62">
        <f ca="1">AVERAGE(OFFSET($CX$3,0,0,'Données projet'!$E$13+1,1))-AVERAGE(OFFSET($H$3,0,0,'Données projet'!$E$13+1,1))</f>
        <v>135.44138026609272</v>
      </c>
      <c r="CZ200" s="62">
        <f t="shared" si="208"/>
        <v>254.77247578425659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2.4194563133831024</v>
      </c>
      <c r="DG200" s="23">
        <f>EXP(-LN(2)/25)*DG199+(1-EXP(-LN(2)/25))/(LN(2)/25)*Calculateur!DB200*Calculateur!DD200*VLOOKUP('Données projet'!$B$13,Paramètres!$A$1:$I$89,3,0)*0.475*44/12</f>
        <v>0.44117545602612968</v>
      </c>
      <c r="DH200" s="23">
        <f>EXP(-LN(2)/2)*DH199+(1-EXP(-LN(2)/2))/(LN(2)/2)*DB200*DE200*VLOOKUP('Données projet'!$B$13,Paramètres!$A$1:$I$89,3,0)*0.475*44/12</f>
        <v>6.2183906097860678E-24</v>
      </c>
      <c r="DI200" s="24">
        <f t="shared" si="175"/>
        <v>2.860631769409232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273.00000000000023</v>
      </c>
      <c r="DP200" s="18">
        <f>DO200*VLOOKUP('Données projet'!$B$14,Paramètres!$A$1:$I$89,3,0)*VLOOKUP('Données projet'!$B$14,Paramètres!$A$1:$I$89,5,0)</f>
        <v>264.04560000000021</v>
      </c>
      <c r="DQ200" s="14">
        <f t="shared" si="176"/>
        <v>63.583959929973794</v>
      </c>
      <c r="DR200" s="22">
        <f t="shared" si="177"/>
        <v>570.6214835447048</v>
      </c>
      <c r="DS200" s="62">
        <f t="shared" si="197"/>
        <v>863.95481687803817</v>
      </c>
      <c r="DT200" s="62">
        <f ca="1">AVERAGE(OFFSET($DS$3,0,0,'Données projet'!$E$14+1,1))-AVERAGE(OFFSET($H$3,0,0,'Données projet'!$E$14+1,1))</f>
        <v>271.09447278906288</v>
      </c>
      <c r="DU200" s="62">
        <f t="shared" si="209"/>
        <v>325.1094067861851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2.6844952588613666</v>
      </c>
      <c r="EB200" s="23">
        <f>EXP(-LN(2)/25)*EB199+(1-EXP(-LN(2)/25))/(LN(2)/25)*Calculateur!DW200*Calculateur!DY200*VLOOKUP('Données projet'!$B$14,Paramètres!$A$1:$I$89,3,0)*0.475*44/12</f>
        <v>0.1648226471541179</v>
      </c>
      <c r="EC200" s="23">
        <f>EXP(-LN(2)/2)*EC199+(1-EXP(-LN(2)/2))/(LN(2)/2)*DW200*DZ200*VLOOKUP('Données projet'!$B$14,Paramètres!$A$1:$I$89,3,0)*0.475*44/12</f>
        <v>1.4599256792646923E-20</v>
      </c>
      <c r="ED200" s="24">
        <f t="shared" si="178"/>
        <v>2.8493179060154845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273.00000000000023</v>
      </c>
      <c r="EK200" s="18">
        <f>EJ200*VLOOKUP('Données projet'!$B$15,Paramètres!$A$1:$I$89,3,0)*VLOOKUP('Données projet'!$B$15,Paramètres!$A$1:$I$89,5,0)</f>
        <v>293.85720000000026</v>
      </c>
      <c r="EL200" s="14">
        <f t="shared" si="179"/>
        <v>69.887150190339895</v>
      </c>
      <c r="EM200" s="22">
        <f t="shared" si="180"/>
        <v>633.52140991484237</v>
      </c>
      <c r="EN200" s="62">
        <f t="shared" si="198"/>
        <v>926.85474324817574</v>
      </c>
      <c r="EO200" s="62">
        <f ca="1">AVERAGE(OFFSET($EN$3,0,0,'Données projet'!$E$15+1,1))-AVERAGE(OFFSET($H$3,0,0,'Données projet'!$E$15+1,1))</f>
        <v>306.50593475734655</v>
      </c>
      <c r="EP200" s="62">
        <f t="shared" si="210"/>
        <v>366.48643801375079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2.9875834332489402</v>
      </c>
      <c r="EW200" s="23">
        <f>EXP(-LN(2)/25)*EW199+(1-EXP(-LN(2)/25))/(LN(2)/25)*Calculateur!ER200*Calculateur!ET200*VLOOKUP('Données projet'!$B$15,Paramètres!$A$1:$I$89,3,0)*0.475*44/12</f>
        <v>0.18343165570377606</v>
      </c>
      <c r="EX200" s="23">
        <f>EXP(-LN(2)/2)*EX199+(1-EXP(-LN(2)/2))/(LN(2)/2)*ER200*EU200*VLOOKUP('Données projet'!$B$15,Paramètres!$A$1:$I$89,3,0)*0.475*44/12</f>
        <v>1.6247559978913502E-20</v>
      </c>
      <c r="EY200" s="24">
        <f t="shared" si="181"/>
        <v>3.171015088952716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145.17359999999979</v>
      </c>
      <c r="D201" s="12">
        <f t="shared" si="202"/>
        <v>37.479689934865021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1409.9552205498337</v>
      </c>
      <c r="H201" s="70">
        <f t="shared" si="192"/>
        <v>611.45447996988946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306.99999999999994</v>
      </c>
      <c r="O201" s="14">
        <f>N201*VLOOKUP('Données projet'!$B$9,Paramètres!$A$1:$I$89,3,0)*VLOOKUP('Données projet'!$B$9,Paramètres!$A$1:$I$89,5,0)</f>
        <v>277.77359999999993</v>
      </c>
      <c r="P201" s="14">
        <f t="shared" si="203"/>
        <v>66.496288176842356</v>
      </c>
      <c r="Q201" s="22">
        <f t="shared" si="162"/>
        <v>599.60338857466706</v>
      </c>
      <c r="R201" s="62">
        <f t="shared" si="191"/>
        <v>892.93672190800044</v>
      </c>
      <c r="S201" s="62">
        <f ca="1">AVERAGE(OFFSET($R$3,0,0,'Données projet'!$E$9+1,1))-AVERAGE(OFFSET($H$3,0,0,'Données projet'!$E$9+1,1))</f>
        <v>312.57314929661908</v>
      </c>
      <c r="T201" s="62">
        <f t="shared" si="204"/>
        <v>190.92100876773804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14.828825519523273</v>
      </c>
      <c r="AA201" s="23">
        <f>EXP(-LN(2)/25)*AA200+(1-EXP(-LN(2)/25))/(LN(2)/25)*Calculateur!V201*Calculateur!X201*VLOOKUP('Données projet'!$B$9,Paramètres!$A$1:$I$89,3,0)*0.475*44/12</f>
        <v>0.33214892318538719</v>
      </c>
      <c r="AB201" s="23">
        <f>EXP(-LN(2)/2)*AB200+(1-EXP(-LN(2)/2))/(LN(2)/2)*V201*Y201*VLOOKUP('Données projet'!$B$9,Paramètres!$A$1:$I$89,3,0)*0.475*44/12</f>
        <v>4.8447532035698564E-13</v>
      </c>
      <c r="AC201" s="24">
        <f t="shared" si="163"/>
        <v>15.160974442709145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306.99999999999994</v>
      </c>
      <c r="AJ201" s="14">
        <f>AI201*VLOOKUP('Données projet'!$B$10,Paramètres!$A$1:$I$89,3,0)*VLOOKUP('Données projet'!$B$10,Paramètres!$A$1:$I$89,5,0)</f>
        <v>311.298</v>
      </c>
      <c r="AK201" s="14">
        <f t="shared" si="164"/>
        <v>73.539838278528748</v>
      </c>
      <c r="AL201" s="22">
        <f t="shared" si="165"/>
        <v>670.25923500177089</v>
      </c>
      <c r="AM201" s="62">
        <f t="shared" si="193"/>
        <v>963.59256833510426</v>
      </c>
      <c r="AN201" s="62">
        <f ca="1">AVERAGE(OFFSET($AM$3,0,0,'Données projet'!$E$10+1,1))-AVERAGE(OFFSET($H$3,0,0,'Données projet'!$E$10+1,1))</f>
        <v>360.56293184044779</v>
      </c>
      <c r="AO201" s="62">
        <f t="shared" si="205"/>
        <v>219.32252911220542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16.618511358086408</v>
      </c>
      <c r="AV201" s="23">
        <f>EXP(-LN(2)/25)*AV200+(1-EXP(-LN(2)/25))/(LN(2)/25)*Calculateur!AQ201*Calculateur!AS201*VLOOKUP('Données projet'!$B$10,Paramètres!$A$1:$I$89,3,0)*0.475*44/12</f>
        <v>0.37223586219052013</v>
      </c>
      <c r="AW201" s="23">
        <f>EXP(-LN(2)/2)*AW200+(1-EXP(-LN(2)/2))/(LN(2)/2)*AQ201*AT201*VLOOKUP('Données projet'!$B$10,Paramètres!$A$1:$I$89,3,0)*0.475*44/12</f>
        <v>5.4294647971041504E-13</v>
      </c>
      <c r="AX201" s="23">
        <f t="shared" si="166"/>
        <v>16.990747220277473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1.1368683772161603E-13</v>
      </c>
      <c r="BE201" s="14">
        <f>BD201*VLOOKUP('Données projet'!$B$11,Paramètres!$A$1:$I$89,3,0)*VLOOKUP('Données projet'!$B$11,Paramètres!$A$1:$I$89,5,0)</f>
        <v>8.3355189417488869E-14</v>
      </c>
      <c r="BF201" s="14">
        <f t="shared" si="167"/>
        <v>1.2790518435140618E-12</v>
      </c>
      <c r="BG201" s="22">
        <f t="shared" si="168"/>
        <v>2.3728589156891171E-12</v>
      </c>
      <c r="BH201" s="62">
        <f t="shared" si="194"/>
        <v>293.3333333333357</v>
      </c>
      <c r="BI201" s="62">
        <f ca="1">AVERAGE(OFFSET($BH$3,0,0,'Données projet'!$E$11+1,1))-AVERAGE(OFFSET($H$3,0,0,'Données projet'!$E$11+1,1))</f>
        <v>182.06733089745194</v>
      </c>
      <c r="BJ201" s="62">
        <f t="shared" si="206"/>
        <v>320.36755413886021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2.1447803561930985</v>
      </c>
      <c r="BQ201" s="23">
        <f>EXP(-LN(2)/25)*BQ200+(1-EXP(-LN(2)/25))/(LN(2)/25)*Calculateur!BL201*Calculateur!BN201*VLOOKUP('Données projet'!$B$11,Paramètres!$A$1:$I$89,3,0)*0.475*44/12</f>
        <v>0.12053682501160112</v>
      </c>
      <c r="BR201" s="23">
        <f>EXP(-LN(2)/2)*BR200+(1-EXP(-LN(2)/2))/(LN(2)/2)*BL201*BO201*VLOOKUP('Données projet'!$B$11,Paramètres!$A$1:$I$89,3,0)*0.475*44/12</f>
        <v>3.8276963735982816E-23</v>
      </c>
      <c r="BS201" s="24">
        <f t="shared" si="169"/>
        <v>2.2653171812046997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319.99999999999972</v>
      </c>
      <c r="BZ201" s="14">
        <f>BY201*VLOOKUP('Données projet'!$B$12,Paramètres!$A$1:$I$89,3,0)*VLOOKUP('Données projet'!$B$12,Paramètres!$A$1:$I$89,5,0)</f>
        <v>279.55199999999979</v>
      </c>
      <c r="CA201" s="14">
        <f t="shared" si="170"/>
        <v>66.872324781216591</v>
      </c>
      <c r="CB201" s="22">
        <f t="shared" si="171"/>
        <v>603.35569899395182</v>
      </c>
      <c r="CC201" s="62">
        <f t="shared" si="195"/>
        <v>896.68903232728508</v>
      </c>
      <c r="CD201" s="62">
        <f ca="1">AVERAGE(OFFSET($CC$3,0,0,'Données projet'!$E$12+1,1))-AVERAGE(OFFSET($H$3,0,0,'Données projet'!$E$12+1,1))</f>
        <v>248.60758320902863</v>
      </c>
      <c r="CE201" s="62">
        <f t="shared" si="207"/>
        <v>222.23585883330111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5.2288453589618573</v>
      </c>
      <c r="CL201" s="23">
        <f>EXP(-LN(2)/25)*CL200+(1-EXP(-LN(2)/25))/(LN(2)/25)*Calculateur!CG201*Calculateur!CI201*VLOOKUP('Données projet'!$B$12,Paramètres!$A$1:$I$89,3,0)*0.475*44/12</f>
        <v>0.27315514984304962</v>
      </c>
      <c r="CM201" s="23">
        <f>EXP(-LN(2)/2)*CM200+(1-EXP(-LN(2)/2))/(LN(2)/2)*CG201*CJ201*VLOOKUP('Données projet'!$B$12,Paramètres!$A$1:$I$89,3,0)*0.475*44/12</f>
        <v>3.2574862849057781E-18</v>
      </c>
      <c r="CN201" s="24">
        <f t="shared" si="172"/>
        <v>5.5020005088049073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193.99999999999994</v>
      </c>
      <c r="CU201" s="18">
        <f>CT201*VLOOKUP('Données projet'!$B$13,Paramètres!$A$1:$I$89,3,0)*VLOOKUP('Données projet'!$B$13,Paramètres!$A$1:$I$89,5,0)</f>
        <v>105.92399999999998</v>
      </c>
      <c r="CV201" s="14">
        <f t="shared" si="173"/>
        <v>28.36854701055546</v>
      </c>
      <c r="CW201" s="22">
        <f t="shared" si="174"/>
        <v>233.89285271005073</v>
      </c>
      <c r="CX201" s="62">
        <f t="shared" si="196"/>
        <v>527.22618604338402</v>
      </c>
      <c r="CY201" s="62">
        <f ca="1">AVERAGE(OFFSET($CX$3,0,0,'Données projet'!$E$13+1,1))-AVERAGE(OFFSET($H$3,0,0,'Données projet'!$E$13+1,1))</f>
        <v>135.44138026609272</v>
      </c>
      <c r="CZ201" s="62">
        <f t="shared" si="208"/>
        <v>254.77247578425659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2.3720122508002954</v>
      </c>
      <c r="DG201" s="23">
        <f>EXP(-LN(2)/25)*DG200+(1-EXP(-LN(2)/25))/(LN(2)/25)*Calculateur!DB201*Calculateur!DD201*VLOOKUP('Données projet'!$B$13,Paramètres!$A$1:$I$89,3,0)*0.475*44/12</f>
        <v>0.42911148998068627</v>
      </c>
      <c r="DH201" s="23">
        <f>EXP(-LN(2)/2)*DH200+(1-EXP(-LN(2)/2))/(LN(2)/2)*DB201*DE201*VLOOKUP('Données projet'!$B$13,Paramètres!$A$1:$I$89,3,0)*0.475*44/12</f>
        <v>4.3970661682464788E-24</v>
      </c>
      <c r="DI201" s="24">
        <f t="shared" si="175"/>
        <v>2.8011237407809819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273.00000000000023</v>
      </c>
      <c r="DP201" s="18">
        <f>DO201*VLOOKUP('Données projet'!$B$14,Paramètres!$A$1:$I$89,3,0)*VLOOKUP('Données projet'!$B$14,Paramètres!$A$1:$I$89,5,0)</f>
        <v>264.04560000000021</v>
      </c>
      <c r="DQ201" s="14">
        <f t="shared" si="176"/>
        <v>63.583959929973794</v>
      </c>
      <c r="DR201" s="22">
        <f t="shared" si="177"/>
        <v>570.6214835447048</v>
      </c>
      <c r="DS201" s="62">
        <f t="shared" si="197"/>
        <v>863.95481687803817</v>
      </c>
      <c r="DT201" s="62">
        <f ca="1">AVERAGE(OFFSET($DS$3,0,0,'Données projet'!$E$14+1,1))-AVERAGE(OFFSET($H$3,0,0,'Données projet'!$E$14+1,1))</f>
        <v>271.09447278906288</v>
      </c>
      <c r="DU201" s="62">
        <f t="shared" si="209"/>
        <v>325.1094067861851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2.6318539442155253</v>
      </c>
      <c r="EB201" s="23">
        <f>EXP(-LN(2)/25)*EB200+(1-EXP(-LN(2)/25))/(LN(2)/25)*Calculateur!DW201*Calculateur!DY201*VLOOKUP('Données projet'!$B$14,Paramètres!$A$1:$I$89,3,0)*0.475*44/12</f>
        <v>0.16031556320004225</v>
      </c>
      <c r="EC201" s="23">
        <f>EXP(-LN(2)/2)*EC200+(1-EXP(-LN(2)/2))/(LN(2)/2)*DW201*DZ201*VLOOKUP('Données projet'!$B$14,Paramètres!$A$1:$I$89,3,0)*0.475*44/12</f>
        <v>1.0323233478364405E-20</v>
      </c>
      <c r="ED201" s="24">
        <f t="shared" si="178"/>
        <v>2.7921695074155677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273.00000000000023</v>
      </c>
      <c r="EK201" s="18">
        <f>EJ201*VLOOKUP('Données projet'!$B$15,Paramètres!$A$1:$I$89,3,0)*VLOOKUP('Données projet'!$B$15,Paramètres!$A$1:$I$89,5,0)</f>
        <v>293.85720000000026</v>
      </c>
      <c r="EL201" s="14">
        <f t="shared" si="179"/>
        <v>69.887150190339895</v>
      </c>
      <c r="EM201" s="22">
        <f t="shared" si="180"/>
        <v>633.52140991484237</v>
      </c>
      <c r="EN201" s="62">
        <f t="shared" si="198"/>
        <v>926.85474324817574</v>
      </c>
      <c r="EO201" s="62">
        <f ca="1">AVERAGE(OFFSET($EN$3,0,0,'Données projet'!$E$15+1,1))-AVERAGE(OFFSET($H$3,0,0,'Données projet'!$E$15+1,1))</f>
        <v>306.50593475734655</v>
      </c>
      <c r="EP201" s="62">
        <f t="shared" si="210"/>
        <v>366.48643801375079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2.928998744368891</v>
      </c>
      <c r="EW201" s="23">
        <f>EXP(-LN(2)/25)*EW200+(1-EXP(-LN(2)/25))/(LN(2)/25)*Calculateur!ER201*Calculateur!ET201*VLOOKUP('Données projet'!$B$15,Paramètres!$A$1:$I$89,3,0)*0.475*44/12</f>
        <v>0.17841570743230478</v>
      </c>
      <c r="EX201" s="23">
        <f>EXP(-LN(2)/2)*EX200+(1-EXP(-LN(2)/2))/(LN(2)/2)*ER201*EU201*VLOOKUP('Données projet'!$B$15,Paramètres!$A$1:$I$89,3,0)*0.475*44/12</f>
        <v>1.1488759838824896E-20</v>
      </c>
      <c r="EY201" s="24">
        <f t="shared" si="181"/>
        <v>3.1074144518011959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145.90679999999981</v>
      </c>
      <c r="D202" s="12">
        <f t="shared" si="202"/>
        <v>37.646898711967857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1416.9057444432592</v>
      </c>
      <c r="H202" s="70">
        <f t="shared" si="192"/>
        <v>613.0226919233437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306.99999999999994</v>
      </c>
      <c r="O202" s="14">
        <f>N202*VLOOKUP('Données projet'!$B$9,Paramètres!$A$1:$I$89,3,0)*VLOOKUP('Données projet'!$B$9,Paramètres!$A$1:$I$89,5,0)</f>
        <v>277.77359999999993</v>
      </c>
      <c r="P202" s="14">
        <f t="shared" si="203"/>
        <v>66.496288176842356</v>
      </c>
      <c r="Q202" s="22">
        <f t="shared" si="162"/>
        <v>599.60338857466706</v>
      </c>
      <c r="R202" s="62">
        <f t="shared" si="191"/>
        <v>892.93672190800044</v>
      </c>
      <c r="S202" s="62">
        <f ca="1">AVERAGE(OFFSET($R$3,0,0,'Données projet'!$E$9+1,1))-AVERAGE(OFFSET($H$3,0,0,'Données projet'!$E$9+1,1))</f>
        <v>312.57314929661908</v>
      </c>
      <c r="T202" s="62">
        <f t="shared" si="204"/>
        <v>190.92100876773804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14.5380412957759</v>
      </c>
      <c r="AA202" s="23">
        <f>EXP(-LN(2)/25)*AA201+(1-EXP(-LN(2)/25))/(LN(2)/25)*Calculateur!V202*Calculateur!X202*VLOOKUP('Données projet'!$B$9,Paramètres!$A$1:$I$89,3,0)*0.475*44/12</f>
        <v>0.32306629341393006</v>
      </c>
      <c r="AB202" s="23">
        <f>EXP(-LN(2)/2)*AB201+(1-EXP(-LN(2)/2))/(LN(2)/2)*V202*Y202*VLOOKUP('Données projet'!$B$9,Paramètres!$A$1:$I$89,3,0)*0.475*44/12</f>
        <v>3.4257578434194956E-13</v>
      </c>
      <c r="AC202" s="24">
        <f t="shared" si="163"/>
        <v>14.861107589190173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306.99999999999994</v>
      </c>
      <c r="AJ202" s="14">
        <f>AI202*VLOOKUP('Données projet'!$B$10,Paramètres!$A$1:$I$89,3,0)*VLOOKUP('Données projet'!$B$10,Paramètres!$A$1:$I$89,5,0)</f>
        <v>311.298</v>
      </c>
      <c r="AK202" s="14">
        <f t="shared" si="164"/>
        <v>73.539838278528748</v>
      </c>
      <c r="AL202" s="22">
        <f t="shared" si="165"/>
        <v>670.25923500177089</v>
      </c>
      <c r="AM202" s="62">
        <f t="shared" si="193"/>
        <v>963.59256833510426</v>
      </c>
      <c r="AN202" s="62">
        <f ca="1">AVERAGE(OFFSET($AM$3,0,0,'Données projet'!$E$10+1,1))-AVERAGE(OFFSET($H$3,0,0,'Données projet'!$E$10+1,1))</f>
        <v>360.56293184044779</v>
      </c>
      <c r="AO202" s="62">
        <f t="shared" si="205"/>
        <v>219.32252911220542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16.292632486645388</v>
      </c>
      <c r="AV202" s="23">
        <f>EXP(-LN(2)/25)*AV201+(1-EXP(-LN(2)/25))/(LN(2)/25)*Calculateur!AQ202*Calculateur!AS202*VLOOKUP('Données projet'!$B$10,Paramètres!$A$1:$I$89,3,0)*0.475*44/12</f>
        <v>0.36205705296388713</v>
      </c>
      <c r="AW202" s="23">
        <f>EXP(-LN(2)/2)*AW201+(1-EXP(-LN(2)/2))/(LN(2)/2)*AQ202*AT202*VLOOKUP('Données projet'!$B$10,Paramètres!$A$1:$I$89,3,0)*0.475*44/12</f>
        <v>3.8392113762459872E-13</v>
      </c>
      <c r="AX202" s="23">
        <f t="shared" si="166"/>
        <v>16.654689539609659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1.1368683772161603E-13</v>
      </c>
      <c r="BE202" s="14">
        <f>BD202*VLOOKUP('Données projet'!$B$11,Paramètres!$A$1:$I$89,3,0)*VLOOKUP('Données projet'!$B$11,Paramètres!$A$1:$I$89,5,0)</f>
        <v>8.3355189417488869E-14</v>
      </c>
      <c r="BF202" s="14">
        <f t="shared" si="167"/>
        <v>1.2790518435140618E-12</v>
      </c>
      <c r="BG202" s="22">
        <f t="shared" si="168"/>
        <v>2.3728589156891171E-12</v>
      </c>
      <c r="BH202" s="62">
        <f t="shared" si="194"/>
        <v>293.3333333333357</v>
      </c>
      <c r="BI202" s="62">
        <f ca="1">AVERAGE(OFFSET($BH$3,0,0,'Données projet'!$E$11+1,1))-AVERAGE(OFFSET($H$3,0,0,'Données projet'!$E$11+1,1))</f>
        <v>182.06733089745194</v>
      </c>
      <c r="BJ202" s="62">
        <f t="shared" si="206"/>
        <v>320.36755413886021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2.1027225215949965</v>
      </c>
      <c r="BQ202" s="23">
        <f>EXP(-LN(2)/25)*BQ201+(1-EXP(-LN(2)/25))/(LN(2)/25)*Calculateur!BL202*Calculateur!BN202*VLOOKUP('Données projet'!$B$11,Paramètres!$A$1:$I$89,3,0)*0.475*44/12</f>
        <v>0.11724073919290276</v>
      </c>
      <c r="BR202" s="23">
        <f>EXP(-LN(2)/2)*BR201+(1-EXP(-LN(2)/2))/(LN(2)/2)*BL202*BO202*VLOOKUP('Données projet'!$B$11,Paramètres!$A$1:$I$89,3,0)*0.475*44/12</f>
        <v>2.7065900620945016E-23</v>
      </c>
      <c r="BS202" s="24">
        <f t="shared" si="169"/>
        <v>2.2199632607878992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319.99999999999972</v>
      </c>
      <c r="BZ202" s="14">
        <f>BY202*VLOOKUP('Données projet'!$B$12,Paramètres!$A$1:$I$89,3,0)*VLOOKUP('Données projet'!$B$12,Paramètres!$A$1:$I$89,5,0)</f>
        <v>279.55199999999979</v>
      </c>
      <c r="CA202" s="14">
        <f t="shared" si="170"/>
        <v>66.872324781216591</v>
      </c>
      <c r="CB202" s="22">
        <f t="shared" si="171"/>
        <v>603.35569899395182</v>
      </c>
      <c r="CC202" s="62">
        <f t="shared" si="195"/>
        <v>896.68903232728508</v>
      </c>
      <c r="CD202" s="62">
        <f ca="1">AVERAGE(OFFSET($CC$3,0,0,'Données projet'!$E$12+1,1))-AVERAGE(OFFSET($H$3,0,0,'Données projet'!$E$12+1,1))</f>
        <v>248.60758320902863</v>
      </c>
      <c r="CE202" s="62">
        <f t="shared" si="207"/>
        <v>222.23585883330111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5.126310890753369</v>
      </c>
      <c r="CL202" s="23">
        <f>EXP(-LN(2)/25)*CL201+(1-EXP(-LN(2)/25))/(LN(2)/25)*Calculateur!CG202*Calculateur!CI202*VLOOKUP('Données projet'!$B$12,Paramètres!$A$1:$I$89,3,0)*0.475*44/12</f>
        <v>0.26568570790598639</v>
      </c>
      <c r="CM202" s="23">
        <f>EXP(-LN(2)/2)*CM201+(1-EXP(-LN(2)/2))/(LN(2)/2)*CG202*CJ202*VLOOKUP('Données projet'!$B$12,Paramètres!$A$1:$I$89,3,0)*0.475*44/12</f>
        <v>2.3033906416790496E-18</v>
      </c>
      <c r="CN202" s="24">
        <f t="shared" si="172"/>
        <v>5.3919965986593557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193.99999999999994</v>
      </c>
      <c r="CU202" s="18">
        <f>CT202*VLOOKUP('Données projet'!$B$13,Paramètres!$A$1:$I$89,3,0)*VLOOKUP('Données projet'!$B$13,Paramètres!$A$1:$I$89,5,0)</f>
        <v>105.92399999999998</v>
      </c>
      <c r="CV202" s="14">
        <f t="shared" si="173"/>
        <v>28.36854701055546</v>
      </c>
      <c r="CW202" s="22">
        <f t="shared" si="174"/>
        <v>233.89285271005073</v>
      </c>
      <c r="CX202" s="62">
        <f t="shared" si="196"/>
        <v>527.22618604338402</v>
      </c>
      <c r="CY202" s="62">
        <f ca="1">AVERAGE(OFFSET($CX$3,0,0,'Données projet'!$E$13+1,1))-AVERAGE(OFFSET($H$3,0,0,'Données projet'!$E$13+1,1))</f>
        <v>135.44138026609272</v>
      </c>
      <c r="CZ202" s="62">
        <f t="shared" si="208"/>
        <v>254.77247578425659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2.3254985373467165</v>
      </c>
      <c r="DG202" s="23">
        <f>EXP(-LN(2)/25)*DG201+(1-EXP(-LN(2)/25))/(LN(2)/25)*Calculateur!DB202*Calculateur!DD202*VLOOKUP('Données projet'!$B$13,Paramètres!$A$1:$I$89,3,0)*0.475*44/12</f>
        <v>0.41737741372117187</v>
      </c>
      <c r="DH202" s="23">
        <f>EXP(-LN(2)/2)*DH201+(1-EXP(-LN(2)/2))/(LN(2)/2)*DB202*DE202*VLOOKUP('Données projet'!$B$13,Paramètres!$A$1:$I$89,3,0)*0.475*44/12</f>
        <v>3.1091953048930339E-24</v>
      </c>
      <c r="DI202" s="24">
        <f t="shared" si="175"/>
        <v>2.7428759510678882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273.00000000000023</v>
      </c>
      <c r="DP202" s="18">
        <f>DO202*VLOOKUP('Données projet'!$B$14,Paramètres!$A$1:$I$89,3,0)*VLOOKUP('Données projet'!$B$14,Paramètres!$A$1:$I$89,5,0)</f>
        <v>264.04560000000021</v>
      </c>
      <c r="DQ202" s="14">
        <f t="shared" si="176"/>
        <v>63.583959929973794</v>
      </c>
      <c r="DR202" s="22">
        <f t="shared" si="177"/>
        <v>570.6214835447048</v>
      </c>
      <c r="DS202" s="62">
        <f t="shared" si="197"/>
        <v>863.95481687803817</v>
      </c>
      <c r="DT202" s="62">
        <f ca="1">AVERAGE(OFFSET($DS$3,0,0,'Données projet'!$E$14+1,1))-AVERAGE(OFFSET($H$3,0,0,'Données projet'!$E$14+1,1))</f>
        <v>271.09447278906288</v>
      </c>
      <c r="DU202" s="62">
        <f t="shared" si="209"/>
        <v>325.1094067861851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2.5802448936418574</v>
      </c>
      <c r="EB202" s="23">
        <f>EXP(-LN(2)/25)*EB201+(1-EXP(-LN(2)/25))/(LN(2)/25)*Calculateur!DW202*Calculateur!DY202*VLOOKUP('Données projet'!$B$14,Paramètres!$A$1:$I$89,3,0)*0.475*44/12</f>
        <v>0.15593172569370803</v>
      </c>
      <c r="EC202" s="23">
        <f>EXP(-LN(2)/2)*EC201+(1-EXP(-LN(2)/2))/(LN(2)/2)*DW202*DZ202*VLOOKUP('Données projet'!$B$14,Paramètres!$A$1:$I$89,3,0)*0.475*44/12</f>
        <v>7.2996283963234613E-21</v>
      </c>
      <c r="ED202" s="24">
        <f t="shared" si="178"/>
        <v>2.7361766193355654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273.00000000000023</v>
      </c>
      <c r="EK202" s="18">
        <f>EJ202*VLOOKUP('Données projet'!$B$15,Paramètres!$A$1:$I$89,3,0)*VLOOKUP('Données projet'!$B$15,Paramètres!$A$1:$I$89,5,0)</f>
        <v>293.85720000000026</v>
      </c>
      <c r="EL202" s="14">
        <f t="shared" si="179"/>
        <v>69.887150190339895</v>
      </c>
      <c r="EM202" s="22">
        <f t="shared" si="180"/>
        <v>633.52140991484237</v>
      </c>
      <c r="EN202" s="62">
        <f t="shared" si="198"/>
        <v>926.85474324817574</v>
      </c>
      <c r="EO202" s="62">
        <f ca="1">AVERAGE(OFFSET($EN$3,0,0,'Données projet'!$E$15+1,1))-AVERAGE(OFFSET($H$3,0,0,'Données projet'!$E$15+1,1))</f>
        <v>306.50593475734655</v>
      </c>
      <c r="EP202" s="62">
        <f t="shared" si="210"/>
        <v>366.48643801375079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2.8715628655046475</v>
      </c>
      <c r="EW202" s="23">
        <f>EXP(-LN(2)/25)*EW201+(1-EXP(-LN(2)/25))/(LN(2)/25)*Calculateur!ER202*Calculateur!ET202*VLOOKUP('Données projet'!$B$15,Paramètres!$A$1:$I$89,3,0)*0.475*44/12</f>
        <v>0.17353692053009412</v>
      </c>
      <c r="EX202" s="23">
        <f>EXP(-LN(2)/2)*EX201+(1-EXP(-LN(2)/2))/(LN(2)/2)*ER202*EU202*VLOOKUP('Données projet'!$B$15,Paramètres!$A$1:$I$89,3,0)*0.475*44/12</f>
        <v>8.1237799894567509E-21</v>
      </c>
      <c r="EY202" s="24">
        <f t="shared" si="181"/>
        <v>3.0450997860347417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35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146.63999999999982</v>
      </c>
      <c r="D203" s="12">
        <f t="shared" si="202"/>
        <v>37.81400971270299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1423.8555135717409</v>
      </c>
      <c r="H203" s="70">
        <f t="shared" si="192"/>
        <v>614.59073358295734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306.99999999999994</v>
      </c>
      <c r="O203" s="14">
        <f>N203*VLOOKUP('Données projet'!$B$9,Paramètres!$A$1:$I$89,3,0)*VLOOKUP('Données projet'!$B$9,Paramètres!$A$1:$I$89,5,0)</f>
        <v>277.77359999999993</v>
      </c>
      <c r="P203" s="14">
        <f t="shared" si="203"/>
        <v>66.496288176842356</v>
      </c>
      <c r="Q203" s="22">
        <f t="shared" si="162"/>
        <v>599.60338857466706</v>
      </c>
      <c r="R203" s="62">
        <f t="shared" si="191"/>
        <v>892.93672190800044</v>
      </c>
      <c r="S203" s="62">
        <f ca="1">AVERAGE(OFFSET($R$3,0,0,'Données projet'!$E$9+1,1))-AVERAGE(OFFSET($H$3,0,0,'Données projet'!$E$9+1,1))</f>
        <v>312.57314929661908</v>
      </c>
      <c r="T203" s="62">
        <f t="shared" si="204"/>
        <v>190.92100876773804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14.252959173295348</v>
      </c>
      <c r="AA203" s="23">
        <f>EXP(-LN(2)/25)*AA202+(1-EXP(-LN(2)/25))/(LN(2)/25)*Calculateur!V203*Calculateur!X203*VLOOKUP('Données projet'!$B$9,Paramètres!$A$1:$I$89,3,0)*0.475*44/12</f>
        <v>0.31423202863120814</v>
      </c>
      <c r="AB203" s="23">
        <f>EXP(-LN(2)/2)*AB202+(1-EXP(-LN(2)/2))/(LN(2)/2)*V203*Y203*VLOOKUP('Données projet'!$B$9,Paramètres!$A$1:$I$89,3,0)*0.475*44/12</f>
        <v>2.4223766017849282E-13</v>
      </c>
      <c r="AC203" s="24">
        <f t="shared" si="163"/>
        <v>14.567191201926798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306.99999999999994</v>
      </c>
      <c r="AJ203" s="14">
        <f>AI203*VLOOKUP('Données projet'!$B$10,Paramètres!$A$1:$I$89,3,0)*VLOOKUP('Données projet'!$B$10,Paramètres!$A$1:$I$89,5,0)</f>
        <v>311.298</v>
      </c>
      <c r="AK203" s="14">
        <f t="shared" si="164"/>
        <v>73.539838278528748</v>
      </c>
      <c r="AL203" s="22">
        <f t="shared" si="165"/>
        <v>670.25923500177089</v>
      </c>
      <c r="AM203" s="62">
        <f t="shared" si="193"/>
        <v>963.59256833510426</v>
      </c>
      <c r="AN203" s="62">
        <f ca="1">AVERAGE(OFFSET($AM$3,0,0,'Données projet'!$E$10+1,1))-AVERAGE(OFFSET($H$3,0,0,'Données projet'!$E$10+1,1))</f>
        <v>360.56293184044779</v>
      </c>
      <c r="AO203" s="62">
        <f t="shared" si="205"/>
        <v>219.32252911220542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15.973143901106839</v>
      </c>
      <c r="AV203" s="23">
        <f>EXP(-LN(2)/25)*AV202+(1-EXP(-LN(2)/25))/(LN(2)/25)*Calculateur!AQ203*Calculateur!AS203*VLOOKUP('Données projet'!$B$10,Paramètres!$A$1:$I$89,3,0)*0.475*44/12</f>
        <v>0.3521565838108367</v>
      </c>
      <c r="AW203" s="23">
        <f>EXP(-LN(2)/2)*AW202+(1-EXP(-LN(2)/2))/(LN(2)/2)*AQ203*AT203*VLOOKUP('Données projet'!$B$10,Paramètres!$A$1:$I$89,3,0)*0.475*44/12</f>
        <v>2.7147323985520752E-13</v>
      </c>
      <c r="AX203" s="23">
        <f t="shared" si="166"/>
        <v>16.325300484917946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1.1368683772161603E-13</v>
      </c>
      <c r="BE203" s="14">
        <f>BD203*VLOOKUP('Données projet'!$B$11,Paramètres!$A$1:$I$89,3,0)*VLOOKUP('Données projet'!$B$11,Paramètres!$A$1:$I$89,5,0)</f>
        <v>8.3355189417488869E-14</v>
      </c>
      <c r="BF203" s="14">
        <f t="shared" si="167"/>
        <v>1.2790518435140618E-12</v>
      </c>
      <c r="BG203" s="22">
        <f t="shared" si="168"/>
        <v>2.3728589156891171E-12</v>
      </c>
      <c r="BH203" s="62">
        <f t="shared" si="194"/>
        <v>293.3333333333357</v>
      </c>
      <c r="BI203" s="62">
        <f ca="1">AVERAGE(OFFSET($BH$3,0,0,'Données projet'!$E$11+1,1))-AVERAGE(OFFSET($H$3,0,0,'Données projet'!$E$11+1,1))</f>
        <v>182.06733089745194</v>
      </c>
      <c r="BJ203" s="62">
        <f t="shared" si="206"/>
        <v>320.36755413886021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2.0614894154806169</v>
      </c>
      <c r="BQ203" s="23">
        <f>EXP(-LN(2)/25)*BQ202+(1-EXP(-LN(2)/25))/(LN(2)/25)*Calculateur!BL203*Calculateur!BN203*VLOOKUP('Données projet'!$B$11,Paramètres!$A$1:$I$89,3,0)*0.475*44/12</f>
        <v>0.11403478501425032</v>
      </c>
      <c r="BR203" s="23">
        <f>EXP(-LN(2)/2)*BR202+(1-EXP(-LN(2)/2))/(LN(2)/2)*BL203*BO203*VLOOKUP('Données projet'!$B$11,Paramètres!$A$1:$I$89,3,0)*0.475*44/12</f>
        <v>1.9138481867991408E-23</v>
      </c>
      <c r="BS203" s="24">
        <f t="shared" si="169"/>
        <v>2.1755242004948672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319.99999999999972</v>
      </c>
      <c r="BZ203" s="14">
        <f>BY203*VLOOKUP('Données projet'!$B$12,Paramètres!$A$1:$I$89,3,0)*VLOOKUP('Données projet'!$B$12,Paramètres!$A$1:$I$89,5,0)</f>
        <v>279.55199999999979</v>
      </c>
      <c r="CA203" s="14">
        <f t="shared" si="170"/>
        <v>66.872324781216591</v>
      </c>
      <c r="CB203" s="22">
        <f t="shared" si="171"/>
        <v>603.35569899395182</v>
      </c>
      <c r="CC203" s="62">
        <f t="shared" si="195"/>
        <v>896.68903232728508</v>
      </c>
      <c r="CD203" s="62">
        <f ca="1">AVERAGE(OFFSET($CC$3,0,0,'Données projet'!$E$12+1,1))-AVERAGE(OFFSET($H$3,0,0,'Données projet'!$E$12+1,1))</f>
        <v>248.60758320902863</v>
      </c>
      <c r="CE203" s="62">
        <f t="shared" si="207"/>
        <v>222.23585883330111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5.0257870609265991</v>
      </c>
      <c r="CL203" s="23">
        <f>EXP(-LN(2)/25)*CL202+(1-EXP(-LN(2)/25))/(LN(2)/25)*Calculateur!CG203*Calculateur!CI203*VLOOKUP('Données projet'!$B$12,Paramètres!$A$1:$I$89,3,0)*0.475*44/12</f>
        <v>0.25842051825149304</v>
      </c>
      <c r="CM203" s="23">
        <f>EXP(-LN(2)/2)*CM202+(1-EXP(-LN(2)/2))/(LN(2)/2)*CG203*CJ203*VLOOKUP('Données projet'!$B$12,Paramètres!$A$1:$I$89,3,0)*0.475*44/12</f>
        <v>1.628743142452889E-18</v>
      </c>
      <c r="CN203" s="24">
        <f t="shared" si="172"/>
        <v>5.2842075791780925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193.99999999999994</v>
      </c>
      <c r="CU203" s="18">
        <f>CT203*VLOOKUP('Données projet'!$B$13,Paramètres!$A$1:$I$89,3,0)*VLOOKUP('Données projet'!$B$13,Paramètres!$A$1:$I$89,5,0)</f>
        <v>105.92399999999998</v>
      </c>
      <c r="CV203" s="14">
        <f t="shared" si="173"/>
        <v>28.36854701055546</v>
      </c>
      <c r="CW203" s="22">
        <f t="shared" si="174"/>
        <v>233.89285271005073</v>
      </c>
      <c r="CX203" s="62">
        <f t="shared" si="196"/>
        <v>527.22618604338402</v>
      </c>
      <c r="CY203" s="62">
        <f ca="1">AVERAGE(OFFSET($CX$3,0,0,'Données projet'!$E$13+1,1))-AVERAGE(OFFSET($H$3,0,0,'Données projet'!$E$13+1,1))</f>
        <v>135.44138026609272</v>
      </c>
      <c r="CZ203" s="62">
        <f t="shared" si="208"/>
        <v>254.77247578425659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2.2798969294433986</v>
      </c>
      <c r="DG203" s="23">
        <f>EXP(-LN(2)/25)*DG202+(1-EXP(-LN(2)/25))/(LN(2)/25)*Calculateur!DB203*Calculateur!DD203*VLOOKUP('Données projet'!$B$13,Paramètres!$A$1:$I$89,3,0)*0.475*44/12</f>
        <v>0.40596420639404218</v>
      </c>
      <c r="DH203" s="23">
        <f>EXP(-LN(2)/2)*DH202+(1-EXP(-LN(2)/2))/(LN(2)/2)*DB203*DE203*VLOOKUP('Données projet'!$B$13,Paramètres!$A$1:$I$89,3,0)*0.475*44/12</f>
        <v>2.1985330841232394E-24</v>
      </c>
      <c r="DI203" s="24">
        <f t="shared" si="175"/>
        <v>2.6858611358374409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273.00000000000023</v>
      </c>
      <c r="DP203" s="18">
        <f>DO203*VLOOKUP('Données projet'!$B$14,Paramètres!$A$1:$I$89,3,0)*VLOOKUP('Données projet'!$B$14,Paramètres!$A$1:$I$89,5,0)</f>
        <v>264.04560000000021</v>
      </c>
      <c r="DQ203" s="14">
        <f t="shared" si="176"/>
        <v>63.583959929973794</v>
      </c>
      <c r="DR203" s="22">
        <f t="shared" si="177"/>
        <v>570.6214835447048</v>
      </c>
      <c r="DS203" s="62">
        <f t="shared" si="197"/>
        <v>863.95481687803817</v>
      </c>
      <c r="DT203" s="62">
        <f ca="1">AVERAGE(OFFSET($DS$3,0,0,'Données projet'!$E$14+1,1))-AVERAGE(OFFSET($H$3,0,0,'Données projet'!$E$14+1,1))</f>
        <v>271.09447278906288</v>
      </c>
      <c r="DU203" s="62">
        <f t="shared" si="209"/>
        <v>325.1094067861851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2.5296478650715266</v>
      </c>
      <c r="EB203" s="23">
        <f>EXP(-LN(2)/25)*EB202+(1-EXP(-LN(2)/25))/(LN(2)/25)*Calculateur!DW203*Calculateur!DY203*VLOOKUP('Données projet'!$B$14,Paramètres!$A$1:$I$89,3,0)*0.475*44/12</f>
        <v>0.15166776445452052</v>
      </c>
      <c r="EC203" s="23">
        <f>EXP(-LN(2)/2)*EC202+(1-EXP(-LN(2)/2))/(LN(2)/2)*DW203*DZ203*VLOOKUP('Données projet'!$B$14,Paramètres!$A$1:$I$89,3,0)*0.475*44/12</f>
        <v>5.1616167391822026E-21</v>
      </c>
      <c r="ED203" s="24">
        <f t="shared" si="178"/>
        <v>2.681315629526047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273.00000000000023</v>
      </c>
      <c r="EK203" s="18">
        <f>EJ203*VLOOKUP('Données projet'!$B$15,Paramètres!$A$1:$I$89,3,0)*VLOOKUP('Données projet'!$B$15,Paramètres!$A$1:$I$89,5,0)</f>
        <v>293.85720000000026</v>
      </c>
      <c r="EL203" s="14">
        <f t="shared" si="179"/>
        <v>69.887150190339895</v>
      </c>
      <c r="EM203" s="22">
        <f t="shared" si="180"/>
        <v>633.52140991484237</v>
      </c>
      <c r="EN203" s="62">
        <f t="shared" si="198"/>
        <v>926.85474324817574</v>
      </c>
      <c r="EO203" s="62">
        <f ca="1">AVERAGE(OFFSET($EN$3,0,0,'Données projet'!$E$15+1,1))-AVERAGE(OFFSET($H$3,0,0,'Données projet'!$E$15+1,1))</f>
        <v>306.50593475734655</v>
      </c>
      <c r="EP203" s="62">
        <f t="shared" si="210"/>
        <v>366.48643801375079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2.815253269192505</v>
      </c>
      <c r="EW203" s="23">
        <f>EXP(-LN(2)/25)*EW202+(1-EXP(-LN(2)/25))/(LN(2)/25)*Calculateur!ER203*Calculateur!ET203*VLOOKUP('Données projet'!$B$15,Paramètres!$A$1:$I$89,3,0)*0.475*44/12</f>
        <v>0.16879154431228865</v>
      </c>
      <c r="EX203" s="23">
        <f>EXP(-LN(2)/2)*EX202+(1-EXP(-LN(2)/2))/(LN(2)/2)*ER203*EU203*VLOOKUP('Données projet'!$B$15,Paramètres!$A$1:$I$89,3,0)*0.475*44/12</f>
        <v>5.7443799194124481E-21</v>
      </c>
      <c r="EY203" s="24">
        <f t="shared" si="181"/>
        <v>2.9840448135047937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3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3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1.2392705892426346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1.2392705892426346</v>
      </c>
      <c r="BA205" s="88">
        <f>EXP(LN('Données projet'!B88)/'Données projet'!A88)</f>
        <v>1.3447504440329676</v>
      </c>
      <c r="BV205" s="88">
        <f>EXP(LN('Données projet'!B114)/'Données projet'!A114)</f>
        <v>1.2557008269631629</v>
      </c>
      <c r="CQ205" s="88">
        <f>EXP(LN('Données projet'!B140)/'Données projet'!A140)</f>
        <v>1.4860662319460807</v>
      </c>
      <c r="DL205" s="88">
        <f>EXP(LN('Données projet'!B166)/'Données projet'!A166)</f>
        <v>1.2688471048731957</v>
      </c>
      <c r="EG205" s="88">
        <f>EXP(LN('Données projet'!B192)/'Données projet'!A192)</f>
        <v>1.2688471048731957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5" bestFit="1" customWidth="1"/>
    <col min="2" max="2" width="27.6640625" style="5" bestFit="1" customWidth="1"/>
    <col min="3" max="3" width="11.88671875" style="5" bestFit="1" customWidth="1"/>
    <col min="4" max="4" width="40" style="5" bestFit="1" customWidth="1"/>
    <col min="5" max="5" width="11.88671875" style="5" bestFit="1" customWidth="1"/>
    <col min="6" max="6" width="13.6640625" style="5" bestFit="1" customWidth="1"/>
    <col min="7" max="7" width="11.44140625" style="5" bestFit="1" customWidth="1"/>
    <col min="8" max="8" width="39" style="5" bestFit="1" customWidth="1"/>
    <col min="9" max="9" width="16.6640625" style="5" customWidth="1"/>
    <col min="10" max="14" width="11.44140625" style="5"/>
    <col min="15" max="15" width="23.44140625" style="5" bestFit="1" customWidth="1"/>
    <col min="16" max="16384" width="11.44140625" style="5"/>
  </cols>
  <sheetData>
    <row r="1" spans="1:16" ht="43.8" thickBot="1" x14ac:dyDescent="0.3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3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3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3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3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3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3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">
      <c r="A93" s="131" t="s">
        <v>208</v>
      </c>
    </row>
    <row r="94" spans="1:14" x14ac:dyDescent="0.3">
      <c r="A94" s="131" t="s">
        <v>209</v>
      </c>
    </row>
    <row r="95" spans="1:14" x14ac:dyDescent="0.3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E4" zoomScale="80" zoomScaleNormal="80" workbookViewId="0">
      <selection activeCell="N13" sqref="N13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5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4" thickBot="1" x14ac:dyDescent="0.55000000000000004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3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2.599999999999994" thickBot="1" x14ac:dyDescent="0.3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">
      <c r="A6" s="154" t="str">
        <f>IF('Données projet'!$B$9="","",'Données projet'!$B$9)</f>
        <v>Chêne sessile</v>
      </c>
      <c r="B6" s="155">
        <f>'Données projet'!D9</f>
        <v>0.39599999999999996</v>
      </c>
      <c r="C6" s="156">
        <f ca="1">IF(OR('Données projet'!B9="",'Données projet'!C9="",'Données projet'!C9=0%),0,Calculateur!S3)</f>
        <v>312.57314929661908</v>
      </c>
      <c r="D6" s="156">
        <f>IF(OR('Données projet'!B9="",'Données projet'!C9="",'Données projet'!C9=0%),0,Calculateur!T3)</f>
        <v>190.92100876773804</v>
      </c>
      <c r="E6" s="156">
        <f ca="1">MIN(C6,D6)</f>
        <v>190.92100876773804</v>
      </c>
      <c r="F6" s="156">
        <f ca="1">E6*B6</f>
        <v>75.604719472024257</v>
      </c>
      <c r="G6" s="156">
        <f ca="1">F6*(100%-'Données projet'!$C$24)*(100%-'Données projet'!$C$25)*(100%-'Données projet'!$C$26)*(100%-'Données projet'!$C$27)</f>
        <v>68.044247524821827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6.137999999999999</v>
      </c>
      <c r="K6" s="160">
        <f>J6*(100%-'Données projet'!$C$24)*(100%-'Données projet'!$C$25)*(100%-'Données projet'!$C$26)*(100%-'Données projet'!$C$27)</f>
        <v>5.5241999999999996</v>
      </c>
      <c r="L6" s="161">
        <f ca="1">G6+I6+K6</f>
        <v>73.568447524821821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">
      <c r="A7" s="162" t="str">
        <f>IF('Données projet'!$B$10="","",'Données projet'!$B$10)</f>
        <v>Chêne pubescent</v>
      </c>
      <c r="B7" s="163">
        <f>'Données projet'!D10</f>
        <v>0.39599999999999996</v>
      </c>
      <c r="C7" s="156">
        <f ca="1">IF(OR('Données projet'!B10="",'Données projet'!C10="",'Données projet'!C10=0%),0,Calculateur!AN3)</f>
        <v>360.56293184044779</v>
      </c>
      <c r="D7" s="156">
        <f>IF(OR('Données projet'!B10="",'Données projet'!C10="",'Données projet'!C10=0%),0,Calculateur!AO3)</f>
        <v>219.32252911220542</v>
      </c>
      <c r="E7" s="156">
        <f t="shared" ref="E7:E15" ca="1" si="0">MIN(C7,D7)</f>
        <v>219.32252911220542</v>
      </c>
      <c r="F7" s="156">
        <f t="shared" ref="F7:F15" ca="1" si="1">E7*B7</f>
        <v>86.85172152843333</v>
      </c>
      <c r="G7" s="156">
        <f ca="1">F7*(100%-'Données projet'!$C$24)*(100%-'Données projet'!$C$25)*(100%-'Données projet'!$C$26)*(100%-'Données projet'!$C$27)</f>
        <v>78.166549375589994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6.137999999999999</v>
      </c>
      <c r="K7" s="160">
        <f>J7*(100%-'Données projet'!$C$24)*(100%-'Données projet'!$C$25)*(100%-'Données projet'!$C$26)*(100%-'Données projet'!$C$27)</f>
        <v>5.5241999999999996</v>
      </c>
      <c r="L7" s="161">
        <f t="shared" ref="L7:L15" ca="1" si="2">G7+I7+K7</f>
        <v>83.690749375589988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">
      <c r="A8" s="162" t="str">
        <f>IF('Données projet'!$B$11="","",'Données projet'!$B$11)</f>
        <v>Châtaignier</v>
      </c>
      <c r="B8" s="163">
        <f>'Données projet'!D11</f>
        <v>1.1549999999999998</v>
      </c>
      <c r="C8" s="156">
        <f ca="1">IF(OR('Données projet'!B11="",'Données projet'!C11="",'Données projet'!C11=0%),0,Calculateur!BI3)</f>
        <v>182.06733089745194</v>
      </c>
      <c r="D8" s="156">
        <f>IF(OR('Données projet'!B11="",'Données projet'!C11="",'Données projet'!C11=0%),0,Calculateur!BJ3)</f>
        <v>320.36755413886021</v>
      </c>
      <c r="E8" s="156">
        <f t="shared" ca="1" si="0"/>
        <v>182.06733089745194</v>
      </c>
      <c r="F8" s="156">
        <f t="shared" ca="1" si="1"/>
        <v>210.28776718655695</v>
      </c>
      <c r="G8" s="156">
        <f ca="1">F8*(100%-'Données projet'!$C$24)*(100%-'Données projet'!$C$25)*(100%-'Données projet'!$C$26)*(100%-'Données projet'!$C$27)</f>
        <v>189.25899046790127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20.195174999999995</v>
      </c>
      <c r="K8" s="160">
        <f>J8*(100%-'Données projet'!$C$24)*(100%-'Données projet'!$C$25)*(100%-'Données projet'!$C$26)*(100%-'Données projet'!$C$27)</f>
        <v>18.175657499999996</v>
      </c>
      <c r="L8" s="161">
        <f t="shared" ca="1" si="2"/>
        <v>207.43464796790127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">
      <c r="A9" s="162" t="str">
        <f>IF('Données projet'!$B$12="","",'Données projet'!$B$12)</f>
        <v>Chêne rouge d'Amérique</v>
      </c>
      <c r="B9" s="163">
        <f>'Données projet'!D12</f>
        <v>0.92400000000000004</v>
      </c>
      <c r="C9" s="156">
        <f ca="1">IF(OR('Données projet'!B12="",'Données projet'!C12="",'Données projet'!C12=0%),0,Calculateur!CD3)</f>
        <v>248.60758320902863</v>
      </c>
      <c r="D9" s="156">
        <f>IF(OR('Données projet'!B12="",'Données projet'!C12="",'Données projet'!C12=0%),0,Calculateur!CE3)</f>
        <v>222.23585883330111</v>
      </c>
      <c r="E9" s="156">
        <f t="shared" ca="1" si="0"/>
        <v>222.23585883330111</v>
      </c>
      <c r="F9" s="156">
        <f t="shared" ca="1" si="1"/>
        <v>205.34593356197024</v>
      </c>
      <c r="G9" s="156">
        <f ca="1">F9*(100%-'Données projet'!$C$24)*(100%-'Données projet'!$C$25)*(100%-'Données projet'!$C$26)*(100%-'Données projet'!$C$27)</f>
        <v>184.81134020577323</v>
      </c>
      <c r="H9" s="164">
        <f>IF(OR('Données projet'!B12="",'Données projet'!C12="",'Données projet'!C12=0%),0,AVERAGE(Calculateur!$CN$3:$CN$33)*B9)</f>
        <v>2.1056856890603592</v>
      </c>
      <c r="I9" s="158">
        <f>H9*(100%-'Données projet'!$C$24)*(100%-'Données projet'!$C$25)*(100%-'Données projet'!$C$26)*(100%-'Données projet'!$C$27)</f>
        <v>1.8951171201543233</v>
      </c>
      <c r="J9" s="159">
        <f>IF(OR('Données projet'!B12="",'Données projet'!C12="",'Données projet'!C12=0%),0,SUM(Calculateur!$CG$3:$CG$33)*VLOOKUP('Données projet'!$B$12,Paramètres!$A$1:$I$89,9,0)*B9)</f>
        <v>23.1</v>
      </c>
      <c r="K9" s="160">
        <f>J9*(100%-'Données projet'!$C$24)*(100%-'Données projet'!$C$25)*(100%-'Données projet'!$C$26)*(100%-'Données projet'!$C$27)</f>
        <v>20.790000000000003</v>
      </c>
      <c r="L9" s="161">
        <f t="shared" ca="1" si="2"/>
        <v>207.49645732592754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">
      <c r="A10" s="162" t="str">
        <f>IF('Données projet'!$B$13="","",'Données projet'!$B$13)</f>
        <v>Mélèze hybride</v>
      </c>
      <c r="B10" s="163">
        <f>'Données projet'!D13</f>
        <v>0.23100000000000001</v>
      </c>
      <c r="C10" s="156">
        <f ca="1">IF(OR('Données projet'!B13="",'Données projet'!C13="",'Données projet'!C13=0%),0,Calculateur!CY3)</f>
        <v>135.44138026609272</v>
      </c>
      <c r="D10" s="156">
        <f>IF(OR('Données projet'!B13="",'Données projet'!C13="",'Données projet'!C13=0%),0,Calculateur!CZ3)</f>
        <v>254.77247578425659</v>
      </c>
      <c r="E10" s="156">
        <f t="shared" ca="1" si="0"/>
        <v>135.44138026609272</v>
      </c>
      <c r="F10" s="156">
        <f t="shared" ca="1" si="1"/>
        <v>31.28695884146742</v>
      </c>
      <c r="G10" s="156">
        <f ca="1">F10*(100%-'Données projet'!$C$24)*(100%-'Données projet'!$C$25)*(100%-'Données projet'!$C$26)*(100%-'Données projet'!$C$27)</f>
        <v>28.15826295732068</v>
      </c>
      <c r="H10" s="164">
        <f>IF(OR('Données projet'!B13="",'Données projet'!C13="",'Données projet'!C13=0%),0,AVERAGE(Calculateur!$DI$3:$DI$33)*B10)</f>
        <v>6.3294161349113072</v>
      </c>
      <c r="I10" s="158">
        <f>H10*(100%-'Données projet'!$C$24)*(100%-'Données projet'!$C$25)*(100%-'Données projet'!$C$26)*(100%-'Données projet'!$C$27)</f>
        <v>5.6964745214201766</v>
      </c>
      <c r="J10" s="159">
        <f>IF(OR('Données projet'!B13="",'Données projet'!C13="",'Données projet'!C13=0%),0,SUM(Calculateur!$DB$3:$DB$33)*VLOOKUP('Données projet'!$B$13,Paramètres!$A$1:$I$89,9,0)*B10)</f>
        <v>28.70637</v>
      </c>
      <c r="K10" s="160">
        <f>J10*(100%-'Données projet'!$C$24)*(100%-'Données projet'!$C$25)*(100%-'Données projet'!$C$26)*(100%-'Données projet'!$C$27)</f>
        <v>25.835733000000001</v>
      </c>
      <c r="L10" s="161">
        <f t="shared" ca="1" si="2"/>
        <v>59.690470478740863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">
      <c r="A11" s="162" t="str">
        <f>IF('Données projet'!$B$14="","",'Données projet'!$B$14)</f>
        <v>Alisier torminal</v>
      </c>
      <c r="B11" s="163">
        <f>'Données projet'!D14</f>
        <v>9.8999999999999991E-2</v>
      </c>
      <c r="C11" s="156">
        <f ca="1">IF(OR('Données projet'!B14="",'Données projet'!C14="",'Données projet'!C14=0%),0,Calculateur!DT3)</f>
        <v>271.09447278906288</v>
      </c>
      <c r="D11" s="156">
        <f>IF(OR('Données projet'!B14="",'Données projet'!C14="",'Données projet'!C14=0%),0,Calculateur!DU3)</f>
        <v>325.1094067861851</v>
      </c>
      <c r="E11" s="156">
        <f t="shared" ca="1" si="0"/>
        <v>271.09447278906288</v>
      </c>
      <c r="F11" s="156">
        <f t="shared" ca="1" si="1"/>
        <v>26.838352806117221</v>
      </c>
      <c r="G11" s="156">
        <f ca="1">F11*(100%-'Données projet'!$C$24)*(100%-'Données projet'!$C$25)*(100%-'Données projet'!$C$26)*(100%-'Données projet'!$C$27)</f>
        <v>24.154517525505501</v>
      </c>
      <c r="H11" s="164">
        <f>IF(OR('Données projet'!B14="",'Données projet'!C14="",'Données projet'!C14=0%),0,AVERAGE(Calculateur!$ED$3:$ED$33)*B11)</f>
        <v>3.0303365244634641E-2</v>
      </c>
      <c r="I11" s="158">
        <f>H11*(100%-'Données projet'!$C$24)*(100%-'Données projet'!$C$25)*(100%-'Données projet'!$C$26)*(100%-'Données projet'!$C$27)</f>
        <v>2.7273028720171177E-2</v>
      </c>
      <c r="J11" s="159">
        <f>IF(OR('Données projet'!B14="",'Données projet'!C14="",'Données projet'!C14=0%),0,SUM(Calculateur!$DW$3:$DW$33)*VLOOKUP('Données projet'!$B$14,Paramètres!$A$1:$I$89,9,0)*B11)</f>
        <v>1.6335</v>
      </c>
      <c r="K11" s="160">
        <f>J11*(100%-'Données projet'!$C$24)*(100%-'Données projet'!$C$25)*(100%-'Données projet'!$C$26)*(100%-'Données projet'!$C$27)</f>
        <v>1.4701500000000001</v>
      </c>
      <c r="L11" s="161">
        <f t="shared" ca="1" si="2"/>
        <v>25.651940554225671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">
      <c r="A12" s="162" t="str">
        <f>IF('Données projet'!$B$15="","",'Données projet'!$B$15)</f>
        <v>Cormier</v>
      </c>
      <c r="B12" s="163">
        <f>'Données projet'!D15</f>
        <v>9.8999999999999991E-2</v>
      </c>
      <c r="C12" s="156">
        <f ca="1">IF(OR('Données projet'!B15="",'Données projet'!C15="",'Données projet'!C15=0%),0,Calculateur!EO3)</f>
        <v>306.50593475734655</v>
      </c>
      <c r="D12" s="156">
        <f>IF(OR('Données projet'!B15="",'Données projet'!C15="",'Données projet'!C15=0%),0,Calculateur!EP3)</f>
        <v>366.48643801375079</v>
      </c>
      <c r="E12" s="156">
        <f t="shared" ca="1" si="0"/>
        <v>306.50593475734655</v>
      </c>
      <c r="F12" s="156">
        <f t="shared" ca="1" si="1"/>
        <v>30.344087540977306</v>
      </c>
      <c r="G12" s="156">
        <f ca="1">F12*(100%-'Données projet'!$C$24)*(100%-'Données projet'!$C$25)*(100%-'Données projet'!$C$26)*(100%-'Données projet'!$C$27)</f>
        <v>27.309678786879577</v>
      </c>
      <c r="H12" s="164">
        <f>IF(OR('Données projet'!B15="",'Données projet'!C15="",'Données projet'!C15=0%),0,AVERAGE(Calculateur!$EY$3:$EY$33)*B12)</f>
        <v>3.3724712933545002E-2</v>
      </c>
      <c r="I12" s="158">
        <f>H12*(100%-'Données projet'!$C$24)*(100%-'Données projet'!$C$25)*(100%-'Données projet'!$C$26)*(100%-'Données projet'!$C$27)</f>
        <v>3.0352241640190503E-2</v>
      </c>
      <c r="J12" s="159">
        <f>IF(OR('Données projet'!B15="",'Données projet'!C15="",'Données projet'!C15=0%),0,SUM(Calculateur!$ER$3:$ER$33)*VLOOKUP('Données projet'!$B$15,Paramètres!$A$1:$I$89,9,0)*B12)</f>
        <v>1.6335</v>
      </c>
      <c r="K12" s="160">
        <f>J12*(100%-'Données projet'!$C$24)*(100%-'Données projet'!$C$25)*(100%-'Données projet'!$C$26)*(100%-'Données projet'!$C$27)</f>
        <v>1.4701500000000001</v>
      </c>
      <c r="L12" s="161">
        <f t="shared" ca="1" si="2"/>
        <v>28.810181028519768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35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35">
      <c r="A16" s="226"/>
      <c r="B16" s="233"/>
      <c r="C16" s="234"/>
      <c r="D16" s="25"/>
      <c r="E16" s="25"/>
      <c r="F16" s="174">
        <f t="shared" ref="F16:L16" ca="1" si="3">SUM(F6:F15)</f>
        <v>666.55954093754656</v>
      </c>
      <c r="G16" s="175">
        <f t="shared" ca="1" si="3"/>
        <v>599.90358684379203</v>
      </c>
      <c r="H16" s="176">
        <f t="shared" si="3"/>
        <v>8.4991299021498463</v>
      </c>
      <c r="I16" s="176">
        <f t="shared" si="3"/>
        <v>7.649216911934861</v>
      </c>
      <c r="J16" s="177">
        <f t="shared" si="3"/>
        <v>87.544544999999999</v>
      </c>
      <c r="K16" s="177">
        <f t="shared" si="3"/>
        <v>78.790090500000005</v>
      </c>
      <c r="L16" s="178">
        <f t="shared" ca="1" si="3"/>
        <v>686.34289425572695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3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3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3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35">
      <c r="A39" s="179" t="str">
        <f>A7</f>
        <v>Chêne pubescent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3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35">
      <c r="A57" s="179" t="str">
        <f>A8</f>
        <v>Châtaignier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3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35">
      <c r="A76" s="179" t="str">
        <f>A9</f>
        <v>Chêne rouge d'Amérique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3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35">
      <c r="A94" s="179" t="str">
        <f>A10</f>
        <v>Mélèze hybride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3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35">
      <c r="A112" s="179" t="str">
        <f>A11</f>
        <v>Alisier torminal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3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35">
      <c r="A130" s="179" t="str">
        <f>A12</f>
        <v>Cormier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3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35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3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35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3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35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M9" zoomScale="70" zoomScaleNormal="70" workbookViewId="0">
      <selection activeCell="G71" sqref="G7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3" customWidth="1"/>
    <col min="7" max="7" width="17.5546875" style="3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4" thickBot="1" x14ac:dyDescent="0.55000000000000004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3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55000000000000004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1755.5677329575385</v>
      </c>
      <c r="U10" s="190">
        <f>'Données projet'!D9</f>
        <v>0.39599999999999996</v>
      </c>
      <c r="V10" s="189">
        <f>U10*T10</f>
        <v>695.20482225118519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pubescent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1660.2999890953404</v>
      </c>
      <c r="U11" s="190">
        <f>'Données projet'!D10</f>
        <v>0.39599999999999996</v>
      </c>
      <c r="V11" s="189">
        <f t="shared" ref="V11" si="0">U11*T11</f>
        <v>657.47879568175472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Châtaignier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1659.9463402014032</v>
      </c>
      <c r="U12" s="190">
        <f>'Données projet'!D11</f>
        <v>1.1549999999999998</v>
      </c>
      <c r="V12" s="189">
        <f t="shared" ref="V12:V19" si="1">U12*T12</f>
        <v>1917.2380229326204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Chêne rouge d'Amérique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1181.4003668009918</v>
      </c>
      <c r="U13" s="190">
        <f>'Données projet'!D12</f>
        <v>0.92400000000000004</v>
      </c>
      <c r="V13" s="189">
        <f t="shared" si="1"/>
        <v>1091.6139389241166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Mélèze hybride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1746.0649872452145</v>
      </c>
      <c r="U14" s="190">
        <f>'Données projet'!D13</f>
        <v>0.23100000000000001</v>
      </c>
      <c r="V14" s="189">
        <f t="shared" si="1"/>
        <v>403.34101205364459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Alisier torminal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249.77284458845901</v>
      </c>
      <c r="U15" s="190">
        <f>'Données projet'!D14</f>
        <v>9.8999999999999991E-2</v>
      </c>
      <c r="V15" s="189">
        <f t="shared" si="1"/>
        <v>24.727511614257441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>
        <v>40</v>
      </c>
      <c r="O16" s="25"/>
      <c r="P16" s="25"/>
      <c r="Q16" s="265"/>
      <c r="R16" s="25"/>
      <c r="S16" s="185" t="str">
        <f>B200</f>
        <v>Cormier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249.77284458845901</v>
      </c>
      <c r="U16" s="190">
        <f>'Données projet'!D15</f>
        <v>9.8999999999999991E-2</v>
      </c>
      <c r="V16" s="189">
        <f t="shared" si="1"/>
        <v>24.727511614257441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40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>
        <v>20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800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1</v>
      </c>
      <c r="I20" s="204">
        <f>4012*(1+12.8%)</f>
        <v>4525.5360000000001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f>500*(1+12.8%)</f>
        <v>564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4</v>
      </c>
      <c r="I22" s="204">
        <f>500*(1+12.8%)</f>
        <v>564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">
      <c r="A23" s="192">
        <f>'Données projet'!A36</f>
        <v>20</v>
      </c>
      <c r="B23" s="193">
        <f>'Données projet'!D36</f>
        <v>6</v>
      </c>
      <c r="C23" s="206">
        <f>13*(1+12.8%)</f>
        <v>14.664000000000001</v>
      </c>
      <c r="D23" s="194">
        <f>B23*C23</f>
        <v>87.984000000000009</v>
      </c>
      <c r="E23" s="206">
        <f>75+(D23*12%)</f>
        <v>85.558080000000004</v>
      </c>
      <c r="F23" s="261"/>
      <c r="H23" s="203">
        <v>5</v>
      </c>
      <c r="I23" s="204">
        <f>500*(1+12.8%)</f>
        <v>564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-14235.443546403416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">
      <c r="A24" s="192">
        <f>'Données projet'!A37</f>
        <v>25</v>
      </c>
      <c r="B24" s="193">
        <f>'Données projet'!D37</f>
        <v>28</v>
      </c>
      <c r="C24" s="206">
        <f>13*(1+12.8%)</f>
        <v>14.664000000000001</v>
      </c>
      <c r="D24" s="194">
        <f t="shared" ref="D24:D42" si="2">B24*C24</f>
        <v>410.59200000000004</v>
      </c>
      <c r="E24" s="206">
        <f t="shared" ref="E24:E42" si="3">75+(D24*12%)</f>
        <v>124.27104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453.89177087076257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">
      <c r="A25" s="192">
        <f>'Données projet'!A38</f>
        <v>30</v>
      </c>
      <c r="B25" s="193">
        <f>'Données projet'!D38</f>
        <v>28</v>
      </c>
      <c r="C25" s="206">
        <f>25*(1+12.8%)</f>
        <v>28.200000000000003</v>
      </c>
      <c r="D25" s="194">
        <f t="shared" si="2"/>
        <v>789.60000000000014</v>
      </c>
      <c r="E25" s="206">
        <f t="shared" si="3"/>
        <v>169.75200000000001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/>
      <c r="Q25" s="265"/>
      <c r="R25" s="25"/>
      <c r="S25" s="198" t="s">
        <v>266</v>
      </c>
      <c r="T25" s="336">
        <f ca="1">T23-T24</f>
        <v>-14689.335317274179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">
      <c r="A26" s="192">
        <f>'Données projet'!A39</f>
        <v>35</v>
      </c>
      <c r="B26" s="193">
        <f>'Données projet'!D39</f>
        <v>28</v>
      </c>
      <c r="C26" s="206">
        <f>25*(1+12.8%)</f>
        <v>28.200000000000003</v>
      </c>
      <c r="D26" s="194">
        <f t="shared" si="2"/>
        <v>789.60000000000014</v>
      </c>
      <c r="E26" s="206">
        <f t="shared" si="3"/>
        <v>169.75200000000001</v>
      </c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">
      <c r="A27" s="192">
        <f>'Données projet'!A40</f>
        <v>40</v>
      </c>
      <c r="B27" s="193">
        <f>'Données projet'!D40</f>
        <v>28</v>
      </c>
      <c r="C27" s="206">
        <f>40*(1+12.8%)</f>
        <v>45.120000000000005</v>
      </c>
      <c r="D27" s="194">
        <f t="shared" si="2"/>
        <v>1263.3600000000001</v>
      </c>
      <c r="E27" s="206">
        <f t="shared" si="3"/>
        <v>226.60320000000002</v>
      </c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">
      <c r="A28" s="192">
        <f>'Données projet'!A41</f>
        <v>45</v>
      </c>
      <c r="B28" s="193">
        <f>'Données projet'!D41</f>
        <v>28</v>
      </c>
      <c r="C28" s="206">
        <f>45*(1+12.8%)</f>
        <v>50.760000000000005</v>
      </c>
      <c r="D28" s="194">
        <f t="shared" si="2"/>
        <v>1421.2800000000002</v>
      </c>
      <c r="E28" s="206">
        <f t="shared" si="3"/>
        <v>245.55360000000002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">
      <c r="A29" s="192">
        <f>'Données projet'!A42</f>
        <v>50</v>
      </c>
      <c r="B29" s="193">
        <f>'Données projet'!D42</f>
        <v>28</v>
      </c>
      <c r="C29" s="206">
        <f>45*(1+12.8%)</f>
        <v>50.760000000000005</v>
      </c>
      <c r="D29" s="194">
        <f t="shared" si="2"/>
        <v>1421.2800000000002</v>
      </c>
      <c r="E29" s="206">
        <f t="shared" si="3"/>
        <v>245.55360000000002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">
      <c r="A30" s="192">
        <f>'Données projet'!A43</f>
        <v>55</v>
      </c>
      <c r="B30" s="193">
        <f>'Données projet'!D43</f>
        <v>28</v>
      </c>
      <c r="C30" s="206">
        <f>55*(1+12.8%)</f>
        <v>62.040000000000006</v>
      </c>
      <c r="D30" s="194">
        <f>B30*C30</f>
        <v>1737.1200000000001</v>
      </c>
      <c r="E30" s="206">
        <f t="shared" si="3"/>
        <v>283.45439999999996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">
      <c r="A31" s="192">
        <f>'Données projet'!A44</f>
        <v>60</v>
      </c>
      <c r="B31" s="193">
        <f>'Données projet'!D44</f>
        <v>28</v>
      </c>
      <c r="C31" s="206">
        <f>55*(1+12.8%)</f>
        <v>62.040000000000006</v>
      </c>
      <c r="D31" s="194">
        <f>B31*C31</f>
        <v>1737.1200000000001</v>
      </c>
      <c r="E31" s="206">
        <f t="shared" si="3"/>
        <v>283.45439999999996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">
      <c r="A32" s="192">
        <f>'Données projet'!A45</f>
        <v>65</v>
      </c>
      <c r="B32" s="193">
        <f>'Données projet'!D45</f>
        <v>28</v>
      </c>
      <c r="C32" s="206">
        <f>55*(1+12.8%)</f>
        <v>62.040000000000006</v>
      </c>
      <c r="D32" s="194">
        <f t="shared" si="2"/>
        <v>1737.1200000000001</v>
      </c>
      <c r="E32" s="206">
        <f t="shared" si="3"/>
        <v>283.45439999999996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">
      <c r="A33" s="192">
        <f>'Données projet'!A46</f>
        <v>70</v>
      </c>
      <c r="B33" s="193">
        <f>'Données projet'!D46</f>
        <v>28</v>
      </c>
      <c r="C33" s="206">
        <f>80*(1+12.8%)</f>
        <v>90.240000000000009</v>
      </c>
      <c r="D33" s="194">
        <f t="shared" si="2"/>
        <v>2526.7200000000003</v>
      </c>
      <c r="E33" s="206">
        <f t="shared" si="3"/>
        <v>378.20640000000003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4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">
      <c r="A34" s="192">
        <f>'Données projet'!A47</f>
        <v>75</v>
      </c>
      <c r="B34" s="193">
        <f>'Données projet'!D47</f>
        <v>28</v>
      </c>
      <c r="C34" s="206">
        <f>80*(1+12.8%)</f>
        <v>90.240000000000009</v>
      </c>
      <c r="D34" s="194">
        <f t="shared" si="2"/>
        <v>2526.7200000000003</v>
      </c>
      <c r="E34" s="206">
        <f t="shared" si="3"/>
        <v>378.20640000000003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4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">
      <c r="A35" s="192">
        <f>'Données projet'!A48</f>
        <v>80</v>
      </c>
      <c r="B35" s="193">
        <f>'Données projet'!D48</f>
        <v>28</v>
      </c>
      <c r="C35" s="206">
        <f>80*(1+12.8%)</f>
        <v>90.240000000000009</v>
      </c>
      <c r="D35" s="194">
        <f t="shared" si="2"/>
        <v>2526.7200000000003</v>
      </c>
      <c r="E35" s="206">
        <f t="shared" si="3"/>
        <v>378.20640000000003</v>
      </c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4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">
      <c r="A36" s="192">
        <f>'Données projet'!A49</f>
        <v>85</v>
      </c>
      <c r="B36" s="193">
        <f>'Données projet'!D49</f>
        <v>28</v>
      </c>
      <c r="C36" s="206">
        <f>122*(1+12.8%)</f>
        <v>137.61600000000001</v>
      </c>
      <c r="D36" s="194">
        <f>B36*C36</f>
        <v>3853.2480000000005</v>
      </c>
      <c r="E36" s="206">
        <f t="shared" si="3"/>
        <v>537.38976000000002</v>
      </c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4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">
      <c r="A37" s="192">
        <f>'Données projet'!A50</f>
        <v>90</v>
      </c>
      <c r="B37" s="193">
        <f>'Données projet'!D50</f>
        <v>28</v>
      </c>
      <c r="C37" s="206">
        <f>138*(1+12.8%)</f>
        <v>155.66400000000002</v>
      </c>
      <c r="D37" s="194">
        <f>B37*C37</f>
        <v>4358.5920000000006</v>
      </c>
      <c r="E37" s="206">
        <f t="shared" si="3"/>
        <v>598.03104000000008</v>
      </c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4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">
      <c r="A38" s="192">
        <f>'Données projet'!A51</f>
        <v>95</v>
      </c>
      <c r="B38" s="193">
        <f>'Données projet'!D51</f>
        <v>28</v>
      </c>
      <c r="C38" s="206">
        <f t="shared" ref="C38:C42" si="5">138*(1+12.8%)</f>
        <v>155.66400000000002</v>
      </c>
      <c r="D38" s="194">
        <f t="shared" si="2"/>
        <v>4358.5920000000006</v>
      </c>
      <c r="E38" s="206">
        <f t="shared" si="3"/>
        <v>598.03104000000008</v>
      </c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4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">
      <c r="A39" s="192">
        <f>'Données projet'!A52</f>
        <v>100</v>
      </c>
      <c r="B39" s="193">
        <f>'Données projet'!D52</f>
        <v>27</v>
      </c>
      <c r="C39" s="206">
        <f t="shared" si="5"/>
        <v>155.66400000000002</v>
      </c>
      <c r="D39" s="194">
        <f t="shared" si="2"/>
        <v>4202.9280000000008</v>
      </c>
      <c r="E39" s="206">
        <f t="shared" si="3"/>
        <v>579.35136000000011</v>
      </c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4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">
      <c r="A40" s="192">
        <f>'Données projet'!A53</f>
        <v>105</v>
      </c>
      <c r="B40" s="193">
        <f>'Données projet'!D53</f>
        <v>26</v>
      </c>
      <c r="C40" s="206">
        <f t="shared" si="5"/>
        <v>155.66400000000002</v>
      </c>
      <c r="D40" s="194">
        <f t="shared" si="2"/>
        <v>4047.2640000000006</v>
      </c>
      <c r="E40" s="206">
        <f t="shared" si="3"/>
        <v>560.67168000000004</v>
      </c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4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">
      <c r="A41" s="192">
        <f>'Données projet'!A54</f>
        <v>110</v>
      </c>
      <c r="B41" s="193">
        <f>'Données projet'!D54</f>
        <v>25</v>
      </c>
      <c r="C41" s="206">
        <f t="shared" si="5"/>
        <v>155.66400000000002</v>
      </c>
      <c r="D41" s="194">
        <f t="shared" si="2"/>
        <v>3891.6000000000004</v>
      </c>
      <c r="E41" s="206">
        <f t="shared" si="3"/>
        <v>541.99199999999996</v>
      </c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4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">
      <c r="A42" s="192">
        <f>'Données projet'!A55</f>
        <v>115</v>
      </c>
      <c r="B42" s="193">
        <f>'Données projet'!D55</f>
        <v>24</v>
      </c>
      <c r="C42" s="206">
        <f t="shared" si="5"/>
        <v>155.66400000000002</v>
      </c>
      <c r="D42" s="194">
        <f t="shared" si="2"/>
        <v>3735.9360000000006</v>
      </c>
      <c r="E42" s="206">
        <f t="shared" si="3"/>
        <v>523.31232</v>
      </c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4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4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4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">
      <c r="A45" s="49" t="s">
        <v>166</v>
      </c>
      <c r="B45" s="186" t="str">
        <f>IF('Données projet'!$B$10="","",'Données projet'!$B$10)</f>
        <v>Chêne pubescent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4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4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4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4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4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4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4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4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4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">
      <c r="A54" s="192">
        <f>'Données projet'!A62</f>
        <v>20</v>
      </c>
      <c r="B54" s="193">
        <f>'Données projet'!D62</f>
        <v>6</v>
      </c>
      <c r="C54" s="206">
        <f>13*(1+12.8%)</f>
        <v>14.664000000000001</v>
      </c>
      <c r="D54" s="191">
        <f>B54*C54</f>
        <v>87.984000000000009</v>
      </c>
      <c r="E54" s="206">
        <f>75+(D54*12%)</f>
        <v>85.558080000000004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4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">
      <c r="A55" s="192">
        <f>'Données projet'!A63</f>
        <v>25</v>
      </c>
      <c r="B55" s="193">
        <f>'Données projet'!D63</f>
        <v>28</v>
      </c>
      <c r="C55" s="206">
        <f>13*(1+12.8%)</f>
        <v>14.664000000000001</v>
      </c>
      <c r="D55" s="191">
        <f t="shared" ref="D55:D73" si="6">B55*C55</f>
        <v>410.59200000000004</v>
      </c>
      <c r="E55" s="206">
        <f t="shared" ref="E55:E73" si="7">75+(D55*12%)</f>
        <v>124.27104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4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">
      <c r="A56" s="192">
        <f>'Données projet'!A64</f>
        <v>30</v>
      </c>
      <c r="B56" s="193">
        <f>'Données projet'!D64</f>
        <v>28</v>
      </c>
      <c r="C56" s="206">
        <f>25*(1+12.8%)</f>
        <v>28.200000000000003</v>
      </c>
      <c r="D56" s="191">
        <f t="shared" si="6"/>
        <v>789.60000000000014</v>
      </c>
      <c r="E56" s="206">
        <f t="shared" si="7"/>
        <v>169.75200000000001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4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">
      <c r="A57" s="192">
        <f>'Données projet'!A65</f>
        <v>35</v>
      </c>
      <c r="B57" s="193">
        <f>'Données projet'!D65</f>
        <v>28</v>
      </c>
      <c r="C57" s="206">
        <f>25*(1+12.8%)</f>
        <v>28.200000000000003</v>
      </c>
      <c r="D57" s="191">
        <f t="shared" si="6"/>
        <v>789.60000000000014</v>
      </c>
      <c r="E57" s="206">
        <f t="shared" si="7"/>
        <v>169.75200000000001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4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">
      <c r="A58" s="192">
        <f>'Données projet'!A66</f>
        <v>40</v>
      </c>
      <c r="B58" s="193">
        <f>'Données projet'!D66</f>
        <v>28</v>
      </c>
      <c r="C58" s="206">
        <f>40*(1+12.8%)</f>
        <v>45.120000000000005</v>
      </c>
      <c r="D58" s="191">
        <f t="shared" si="6"/>
        <v>1263.3600000000001</v>
      </c>
      <c r="E58" s="206">
        <f t="shared" si="7"/>
        <v>226.60320000000002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4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">
      <c r="A59" s="192">
        <f>'Données projet'!A67</f>
        <v>45</v>
      </c>
      <c r="B59" s="193">
        <f>'Données projet'!D67</f>
        <v>28</v>
      </c>
      <c r="C59" s="206">
        <f>45*(1+12.8%)</f>
        <v>50.760000000000005</v>
      </c>
      <c r="D59" s="191">
        <f t="shared" si="6"/>
        <v>1421.2800000000002</v>
      </c>
      <c r="E59" s="206">
        <f t="shared" si="7"/>
        <v>245.55360000000002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4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">
      <c r="A60" s="192">
        <f>'Données projet'!A68</f>
        <v>50</v>
      </c>
      <c r="B60" s="193">
        <f>'Données projet'!D68</f>
        <v>28</v>
      </c>
      <c r="C60" s="206">
        <f>45*(1+12.8%)</f>
        <v>50.760000000000005</v>
      </c>
      <c r="D60" s="191">
        <f t="shared" si="6"/>
        <v>1421.2800000000002</v>
      </c>
      <c r="E60" s="206">
        <f t="shared" si="7"/>
        <v>245.55360000000002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4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">
      <c r="A61" s="192">
        <f>'Données projet'!A69</f>
        <v>55</v>
      </c>
      <c r="B61" s="193">
        <f>'Données projet'!D69</f>
        <v>28</v>
      </c>
      <c r="C61" s="206">
        <f>55*(1+12.8%)</f>
        <v>62.040000000000006</v>
      </c>
      <c r="D61" s="191">
        <f t="shared" si="6"/>
        <v>1737.1200000000001</v>
      </c>
      <c r="E61" s="206">
        <f t="shared" si="7"/>
        <v>283.45439999999996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4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">
      <c r="A62" s="192">
        <f>'Données projet'!A70</f>
        <v>60</v>
      </c>
      <c r="B62" s="193">
        <f>'Données projet'!D70</f>
        <v>28</v>
      </c>
      <c r="C62" s="206">
        <f>55*(1+12.8%)</f>
        <v>62.040000000000006</v>
      </c>
      <c r="D62" s="191">
        <f t="shared" si="6"/>
        <v>1737.1200000000001</v>
      </c>
      <c r="E62" s="206">
        <f t="shared" si="7"/>
        <v>283.45439999999996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4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">
      <c r="A63" s="192">
        <f>'Données projet'!A71</f>
        <v>65</v>
      </c>
      <c r="B63" s="193">
        <f>'Données projet'!D71</f>
        <v>28</v>
      </c>
      <c r="C63" s="206">
        <f>55*(1+12.8%)</f>
        <v>62.040000000000006</v>
      </c>
      <c r="D63" s="191">
        <f t="shared" si="6"/>
        <v>1737.1200000000001</v>
      </c>
      <c r="E63" s="206">
        <f t="shared" si="7"/>
        <v>283.45439999999996</v>
      </c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4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">
      <c r="A64" s="192">
        <f>'Données projet'!A72</f>
        <v>70</v>
      </c>
      <c r="B64" s="193">
        <f>'Données projet'!D72</f>
        <v>28</v>
      </c>
      <c r="C64" s="206">
        <f>80*(1+12.8%)</f>
        <v>90.240000000000009</v>
      </c>
      <c r="D64" s="191">
        <f t="shared" si="6"/>
        <v>2526.7200000000003</v>
      </c>
      <c r="E64" s="206">
        <f t="shared" si="7"/>
        <v>378.20640000000003</v>
      </c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4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">
      <c r="A65" s="192">
        <f>'Données projet'!A73</f>
        <v>75</v>
      </c>
      <c r="B65" s="193">
        <f>'Données projet'!D73</f>
        <v>28</v>
      </c>
      <c r="C65" s="206">
        <f>80*(1+12.8%)</f>
        <v>90.240000000000009</v>
      </c>
      <c r="D65" s="191">
        <f t="shared" si="6"/>
        <v>2526.7200000000003</v>
      </c>
      <c r="E65" s="206">
        <f t="shared" si="7"/>
        <v>378.20640000000003</v>
      </c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8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">
      <c r="A66" s="192">
        <f>'Données projet'!A74</f>
        <v>80</v>
      </c>
      <c r="B66" s="193">
        <f>'Données projet'!D74</f>
        <v>28</v>
      </c>
      <c r="C66" s="206">
        <f>80*(1+12.8%)</f>
        <v>90.240000000000009</v>
      </c>
      <c r="D66" s="191">
        <f t="shared" si="6"/>
        <v>2526.7200000000003</v>
      </c>
      <c r="E66" s="206">
        <f t="shared" si="7"/>
        <v>378.20640000000003</v>
      </c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8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">
      <c r="A67" s="192">
        <f>'Données projet'!A75</f>
        <v>85</v>
      </c>
      <c r="B67" s="193">
        <f>'Données projet'!D75</f>
        <v>28</v>
      </c>
      <c r="C67" s="206">
        <f>122*(1+12.8%)</f>
        <v>137.61600000000001</v>
      </c>
      <c r="D67" s="191">
        <f t="shared" si="6"/>
        <v>3853.2480000000005</v>
      </c>
      <c r="E67" s="206">
        <f t="shared" si="7"/>
        <v>537.38976000000002</v>
      </c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8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">
      <c r="A68" s="192">
        <f>'Données projet'!A76</f>
        <v>90</v>
      </c>
      <c r="B68" s="193">
        <f>'Données projet'!D76</f>
        <v>28</v>
      </c>
      <c r="C68" s="206">
        <f>138*(1+12.8%)</f>
        <v>155.66400000000002</v>
      </c>
      <c r="D68" s="191">
        <f t="shared" si="6"/>
        <v>4358.5920000000006</v>
      </c>
      <c r="E68" s="206">
        <f t="shared" si="7"/>
        <v>598.03104000000008</v>
      </c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8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">
      <c r="A69" s="192">
        <f>'Données projet'!A77</f>
        <v>95</v>
      </c>
      <c r="B69" s="193">
        <f>'Données projet'!D77</f>
        <v>28</v>
      </c>
      <c r="C69" s="206">
        <f t="shared" ref="C69:C73" si="9">138*(1+12.8%)</f>
        <v>155.66400000000002</v>
      </c>
      <c r="D69" s="191">
        <f t="shared" si="6"/>
        <v>4358.5920000000006</v>
      </c>
      <c r="E69" s="206">
        <f t="shared" si="7"/>
        <v>598.03104000000008</v>
      </c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8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">
      <c r="A70" s="192">
        <f>'Données projet'!A78</f>
        <v>100</v>
      </c>
      <c r="B70" s="193">
        <f>'Données projet'!D78</f>
        <v>27</v>
      </c>
      <c r="C70" s="206">
        <f t="shared" si="9"/>
        <v>155.66400000000002</v>
      </c>
      <c r="D70" s="191">
        <f t="shared" si="6"/>
        <v>4202.9280000000008</v>
      </c>
      <c r="E70" s="206">
        <f t="shared" si="7"/>
        <v>579.35136000000011</v>
      </c>
      <c r="F70" s="263"/>
      <c r="G70" s="223"/>
      <c r="H70" s="203"/>
      <c r="I70" s="204"/>
      <c r="J70" s="201"/>
      <c r="K70" s="183"/>
      <c r="L70" s="5"/>
      <c r="M70" s="5"/>
      <c r="N70" s="5"/>
      <c r="O70" s="207" t="str">
        <f>IF(O69+1&lt;=MIN('Données projet'!$E$9:$E$18),O69+1,"STOP")</f>
        <v>STOP</v>
      </c>
      <c r="P70" s="197" t="e">
        <f t="shared" si="8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">
      <c r="A71" s="192">
        <f>'Données projet'!A79</f>
        <v>105</v>
      </c>
      <c r="B71" s="193">
        <f>'Données projet'!D79</f>
        <v>26</v>
      </c>
      <c r="C71" s="206">
        <f t="shared" si="9"/>
        <v>155.66400000000002</v>
      </c>
      <c r="D71" s="191">
        <f t="shared" si="6"/>
        <v>4047.2640000000006</v>
      </c>
      <c r="E71" s="206">
        <f t="shared" si="7"/>
        <v>560.67168000000004</v>
      </c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8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">
      <c r="A72" s="192">
        <f>'Données projet'!A80</f>
        <v>110</v>
      </c>
      <c r="B72" s="193">
        <f>'Données projet'!D80</f>
        <v>25</v>
      </c>
      <c r="C72" s="206">
        <f t="shared" si="9"/>
        <v>155.66400000000002</v>
      </c>
      <c r="D72" s="191">
        <f t="shared" si="6"/>
        <v>3891.6000000000004</v>
      </c>
      <c r="E72" s="206">
        <f t="shared" si="7"/>
        <v>541.99199999999996</v>
      </c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8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">
      <c r="A73" s="192">
        <f>'Données projet'!A81</f>
        <v>115</v>
      </c>
      <c r="B73" s="193">
        <f>'Données projet'!D81</f>
        <v>24</v>
      </c>
      <c r="C73" s="206">
        <f t="shared" si="9"/>
        <v>155.66400000000002</v>
      </c>
      <c r="D73" s="191">
        <f t="shared" si="6"/>
        <v>3735.9360000000006</v>
      </c>
      <c r="E73" s="206">
        <f t="shared" si="7"/>
        <v>523.31232</v>
      </c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8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8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8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">
      <c r="A76" s="49" t="s">
        <v>167</v>
      </c>
      <c r="B76" s="186" t="str">
        <f>IF('Données projet'!B11="","",'Données projet'!B11)</f>
        <v>Châtaignier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8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8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8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8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8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8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8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8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8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">
      <c r="A85" s="192">
        <f>'Données projet'!A88</f>
        <v>18</v>
      </c>
      <c r="B85" s="193">
        <f>'Données projet'!D88</f>
        <v>20.68</v>
      </c>
      <c r="C85" s="204">
        <f>7.6*(1+12.8%)</f>
        <v>8.5728000000000009</v>
      </c>
      <c r="D85" s="191">
        <f>B85*C85</f>
        <v>177.285504</v>
      </c>
      <c r="E85" s="206">
        <f>75+(D85*12%)</f>
        <v>96.274260479999995</v>
      </c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8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">
      <c r="A86" s="192">
        <f>'Données projet'!A89</f>
        <v>25</v>
      </c>
      <c r="B86" s="193">
        <f>'Données projet'!D89</f>
        <v>49.26</v>
      </c>
      <c r="C86" s="204">
        <f>13.2*(1+12.8%)</f>
        <v>14.889600000000002</v>
      </c>
      <c r="D86" s="191">
        <f t="shared" ref="D86:D104" si="10">B86*C86</f>
        <v>733.46169600000007</v>
      </c>
      <c r="E86" s="206">
        <f t="shared" ref="E86:E88" si="11">75+(D86*12%)</f>
        <v>163.01540352000001</v>
      </c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8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">
      <c r="A87" s="192">
        <f>'Données projet'!A90</f>
        <v>32</v>
      </c>
      <c r="B87" s="193">
        <f>'Données projet'!D90</f>
        <v>73.7</v>
      </c>
      <c r="C87" s="204">
        <f>18.8*(1+12.8%)</f>
        <v>21.206400000000002</v>
      </c>
      <c r="D87" s="191">
        <f t="shared" si="10"/>
        <v>1562.9116800000002</v>
      </c>
      <c r="E87" s="206">
        <f t="shared" si="11"/>
        <v>262.54940160000001</v>
      </c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8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">
      <c r="A88" s="192">
        <f>'Données projet'!A91</f>
        <v>40</v>
      </c>
      <c r="B88" s="193">
        <f>'Données projet'!D91</f>
        <v>218.36</v>
      </c>
      <c r="C88" s="204">
        <f>30.28*(1+12.8%)</f>
        <v>34.155840000000005</v>
      </c>
      <c r="D88" s="191">
        <f t="shared" si="10"/>
        <v>7458.2692224000011</v>
      </c>
      <c r="E88" s="206">
        <f t="shared" si="11"/>
        <v>969.9923066880001</v>
      </c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8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">
      <c r="A89" s="192">
        <f>'Données projet'!A92</f>
        <v>0</v>
      </c>
      <c r="B89" s="193">
        <f>'Données projet'!D92</f>
        <v>0</v>
      </c>
      <c r="C89" s="204"/>
      <c r="D89" s="191">
        <f t="shared" si="10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8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">
      <c r="A90" s="192">
        <f>'Données projet'!A93</f>
        <v>0</v>
      </c>
      <c r="B90" s="193">
        <f>'Données projet'!D93</f>
        <v>0</v>
      </c>
      <c r="C90" s="204"/>
      <c r="D90" s="191">
        <f t="shared" si="10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8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">
      <c r="A91" s="192">
        <f>'Données projet'!A94</f>
        <v>0</v>
      </c>
      <c r="B91" s="193">
        <f>'Données projet'!D94</f>
        <v>0</v>
      </c>
      <c r="C91" s="204"/>
      <c r="D91" s="191">
        <f t="shared" si="10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8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">
      <c r="A92" s="192">
        <f>'Données projet'!A95</f>
        <v>0</v>
      </c>
      <c r="B92" s="193">
        <f>'Données projet'!D95</f>
        <v>0</v>
      </c>
      <c r="C92" s="204"/>
      <c r="D92" s="191">
        <f t="shared" si="10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8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">
      <c r="A93" s="192">
        <f>'Données projet'!A96</f>
        <v>0</v>
      </c>
      <c r="B93" s="193">
        <f>'Données projet'!D96</f>
        <v>0</v>
      </c>
      <c r="C93" s="204"/>
      <c r="D93" s="191">
        <f t="shared" si="10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8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">
      <c r="A94" s="192">
        <f>'Données projet'!A97</f>
        <v>0</v>
      </c>
      <c r="B94" s="193">
        <f>'Données projet'!D97</f>
        <v>0</v>
      </c>
      <c r="C94" s="204"/>
      <c r="D94" s="191">
        <f t="shared" si="10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8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">
      <c r="A95" s="192">
        <f>'Données projet'!A98</f>
        <v>0</v>
      </c>
      <c r="B95" s="193">
        <f>'Données projet'!D98</f>
        <v>0</v>
      </c>
      <c r="C95" s="204"/>
      <c r="D95" s="191">
        <f t="shared" si="10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8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">
      <c r="A96" s="192">
        <f>'Données projet'!A99</f>
        <v>0</v>
      </c>
      <c r="B96" s="193">
        <f>'Données projet'!D99</f>
        <v>0</v>
      </c>
      <c r="C96" s="204"/>
      <c r="D96" s="191">
        <f t="shared" si="10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8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">
      <c r="A97" s="192">
        <f>'Données projet'!A100</f>
        <v>0</v>
      </c>
      <c r="B97" s="193">
        <f>'Données projet'!D100</f>
        <v>0</v>
      </c>
      <c r="C97" s="204"/>
      <c r="D97" s="191">
        <f t="shared" si="10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12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">
      <c r="A98" s="192">
        <f>'Données projet'!A101</f>
        <v>0</v>
      </c>
      <c r="B98" s="193">
        <f>'Données projet'!D101</f>
        <v>0</v>
      </c>
      <c r="C98" s="204"/>
      <c r="D98" s="191">
        <f t="shared" si="10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12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">
      <c r="A99" s="192">
        <f>'Données projet'!A102</f>
        <v>0</v>
      </c>
      <c r="B99" s="193">
        <f>'Données projet'!D102</f>
        <v>0</v>
      </c>
      <c r="C99" s="204"/>
      <c r="D99" s="191">
        <f t="shared" si="10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12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">
      <c r="A100" s="192">
        <f>'Données projet'!A103</f>
        <v>0</v>
      </c>
      <c r="B100" s="193">
        <f>'Données projet'!D103</f>
        <v>0</v>
      </c>
      <c r="C100" s="204"/>
      <c r="D100" s="191">
        <f t="shared" si="10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12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">
      <c r="A101" s="192">
        <f>'Données projet'!A104</f>
        <v>0</v>
      </c>
      <c r="B101" s="193">
        <f>'Données projet'!D104</f>
        <v>0</v>
      </c>
      <c r="C101" s="204"/>
      <c r="D101" s="191">
        <f t="shared" si="10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12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">
      <c r="A102" s="192">
        <f>'Données projet'!A105</f>
        <v>0</v>
      </c>
      <c r="B102" s="193">
        <f>'Données projet'!D105</f>
        <v>0</v>
      </c>
      <c r="C102" s="204"/>
      <c r="D102" s="191">
        <f t="shared" si="10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12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">
      <c r="A103" s="192">
        <f>'Données projet'!A106</f>
        <v>0</v>
      </c>
      <c r="B103" s="193">
        <f>'Données projet'!D106</f>
        <v>0</v>
      </c>
      <c r="C103" s="204"/>
      <c r="D103" s="191">
        <f t="shared" si="10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12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">
      <c r="A104" s="192">
        <f>'Données projet'!A107</f>
        <v>0</v>
      </c>
      <c r="B104" s="193">
        <f>'Données projet'!D107</f>
        <v>0</v>
      </c>
      <c r="C104" s="204"/>
      <c r="D104" s="191">
        <f t="shared" si="10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12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12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12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">
      <c r="A107" s="49" t="s">
        <v>168</v>
      </c>
      <c r="B107" s="186" t="str">
        <f>IF('Données projet'!B12="","",'Données projet'!B12)</f>
        <v>Chêne rouge d'Amérique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12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12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12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12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12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12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12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12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12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">
      <c r="A116" s="192">
        <f>'Données projet'!A114</f>
        <v>20</v>
      </c>
      <c r="B116" s="193">
        <f>'Données projet'!D114</f>
        <v>33</v>
      </c>
      <c r="C116" s="204">
        <f>13*(1+12.8%)</f>
        <v>14.664000000000001</v>
      </c>
      <c r="D116" s="191">
        <f>B116*C116</f>
        <v>483.91200000000003</v>
      </c>
      <c r="E116" s="206">
        <f>75+(D116*12%)</f>
        <v>133.06943999999999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12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">
      <c r="A117" s="192">
        <f>'Données projet'!A115</f>
        <v>25</v>
      </c>
      <c r="B117" s="193">
        <f>'Données projet'!D115</f>
        <v>34</v>
      </c>
      <c r="C117" s="204">
        <f>13*(1+12.8%)</f>
        <v>14.664000000000001</v>
      </c>
      <c r="D117" s="191">
        <f t="shared" ref="D117:D135" si="13">B117*C117</f>
        <v>498.57600000000002</v>
      </c>
      <c r="E117" s="206">
        <f t="shared" ref="E117:E128" si="14">75+(D117*12%)</f>
        <v>134.82911999999999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12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">
      <c r="A118" s="192">
        <f>'Données projet'!A116</f>
        <v>30</v>
      </c>
      <c r="B118" s="193">
        <f>'Données projet'!D116</f>
        <v>33</v>
      </c>
      <c r="C118" s="204">
        <f>13*(1+12.8%)</f>
        <v>14.664000000000001</v>
      </c>
      <c r="D118" s="191">
        <f t="shared" si="13"/>
        <v>483.91200000000003</v>
      </c>
      <c r="E118" s="206">
        <f t="shared" si="14"/>
        <v>133.06943999999999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12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">
      <c r="A119" s="192">
        <f>'Données projet'!A117</f>
        <v>35</v>
      </c>
      <c r="B119" s="193">
        <f>'Données projet'!D117</f>
        <v>33</v>
      </c>
      <c r="C119" s="204">
        <f>13*(1+12.8%)</f>
        <v>14.664000000000001</v>
      </c>
      <c r="D119" s="191">
        <f t="shared" si="13"/>
        <v>483.91200000000003</v>
      </c>
      <c r="E119" s="206">
        <f t="shared" si="14"/>
        <v>133.06943999999999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12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">
      <c r="A120" s="192">
        <f>'Données projet'!A118</f>
        <v>40</v>
      </c>
      <c r="B120" s="193">
        <f>'Données projet'!D118</f>
        <v>33</v>
      </c>
      <c r="C120" s="204">
        <f t="shared" ref="C120:C125" si="15">25*(1+12.8%)</f>
        <v>28.200000000000003</v>
      </c>
      <c r="D120" s="191">
        <f t="shared" si="13"/>
        <v>930.60000000000014</v>
      </c>
      <c r="E120" s="206">
        <f t="shared" si="14"/>
        <v>186.67200000000003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12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">
      <c r="A121" s="192">
        <f>'Données projet'!A119</f>
        <v>45</v>
      </c>
      <c r="B121" s="193">
        <f>'Données projet'!D119</f>
        <v>32</v>
      </c>
      <c r="C121" s="204">
        <f t="shared" si="15"/>
        <v>28.200000000000003</v>
      </c>
      <c r="D121" s="191">
        <f t="shared" si="13"/>
        <v>902.40000000000009</v>
      </c>
      <c r="E121" s="206">
        <f t="shared" si="14"/>
        <v>183.28800000000001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12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">
      <c r="A122" s="192">
        <f>'Données projet'!A120</f>
        <v>50</v>
      </c>
      <c r="B122" s="193">
        <f>'Données projet'!D120</f>
        <v>32</v>
      </c>
      <c r="C122" s="204">
        <f t="shared" si="15"/>
        <v>28.200000000000003</v>
      </c>
      <c r="D122" s="191">
        <f t="shared" si="13"/>
        <v>902.40000000000009</v>
      </c>
      <c r="E122" s="206">
        <f t="shared" si="14"/>
        <v>183.28800000000001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12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">
      <c r="A123" s="192">
        <f>'Données projet'!A121</f>
        <v>55</v>
      </c>
      <c r="B123" s="193">
        <f>'Données projet'!D121</f>
        <v>32</v>
      </c>
      <c r="C123" s="204">
        <f t="shared" si="15"/>
        <v>28.200000000000003</v>
      </c>
      <c r="D123" s="191">
        <f t="shared" si="13"/>
        <v>902.40000000000009</v>
      </c>
      <c r="E123" s="206">
        <f t="shared" si="14"/>
        <v>183.28800000000001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12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">
      <c r="A124" s="192">
        <f>'Données projet'!A122</f>
        <v>60</v>
      </c>
      <c r="B124" s="193">
        <f>'Données projet'!D122</f>
        <v>31</v>
      </c>
      <c r="C124" s="204">
        <f t="shared" si="15"/>
        <v>28.200000000000003</v>
      </c>
      <c r="D124" s="191">
        <f t="shared" si="13"/>
        <v>874.2</v>
      </c>
      <c r="E124" s="206">
        <f t="shared" si="14"/>
        <v>179.904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12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">
      <c r="A125" s="192">
        <f>'Données projet'!A123</f>
        <v>65</v>
      </c>
      <c r="B125" s="193">
        <f>'Données projet'!D123</f>
        <v>31</v>
      </c>
      <c r="C125" s="204">
        <f t="shared" si="15"/>
        <v>28.200000000000003</v>
      </c>
      <c r="D125" s="191">
        <f t="shared" si="13"/>
        <v>874.2</v>
      </c>
      <c r="E125" s="206">
        <f t="shared" si="14"/>
        <v>179.904</v>
      </c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12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">
      <c r="A126" s="192">
        <f>'Données projet'!A124</f>
        <v>70</v>
      </c>
      <c r="B126" s="193">
        <f>'Données projet'!D124</f>
        <v>31</v>
      </c>
      <c r="C126" s="204">
        <f>80*(1+12.8%)</f>
        <v>90.240000000000009</v>
      </c>
      <c r="D126" s="191">
        <f t="shared" si="13"/>
        <v>2797.4400000000005</v>
      </c>
      <c r="E126" s="206">
        <f t="shared" si="14"/>
        <v>410.69280000000003</v>
      </c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12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">
      <c r="A127" s="192">
        <f>'Données projet'!A125</f>
        <v>75</v>
      </c>
      <c r="B127" s="193">
        <f>'Données projet'!D125</f>
        <v>31</v>
      </c>
      <c r="C127" s="204">
        <f>80*(1+12.8%)</f>
        <v>90.240000000000009</v>
      </c>
      <c r="D127" s="191">
        <f t="shared" si="13"/>
        <v>2797.4400000000005</v>
      </c>
      <c r="E127" s="206">
        <f t="shared" si="14"/>
        <v>410.69280000000003</v>
      </c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12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">
      <c r="A128" s="192">
        <f>'Données projet'!A126</f>
        <v>80</v>
      </c>
      <c r="B128" s="193">
        <f>'Données projet'!D126</f>
        <v>31</v>
      </c>
      <c r="C128" s="204">
        <f>100*(1+12.8%)</f>
        <v>112.80000000000001</v>
      </c>
      <c r="D128" s="191">
        <f t="shared" si="13"/>
        <v>3496.8</v>
      </c>
      <c r="E128" s="206">
        <f t="shared" si="14"/>
        <v>494.61599999999999</v>
      </c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12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">
      <c r="A129" s="192">
        <f>'Données projet'!A127</f>
        <v>0</v>
      </c>
      <c r="B129" s="193">
        <f>'Données projet'!D127</f>
        <v>0</v>
      </c>
      <c r="C129" s="204"/>
      <c r="D129" s="191">
        <f t="shared" si="13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16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">
      <c r="A130" s="192">
        <f>'Données projet'!A128</f>
        <v>0</v>
      </c>
      <c r="B130" s="193">
        <f>'Données projet'!D128</f>
        <v>0</v>
      </c>
      <c r="C130" s="204"/>
      <c r="D130" s="191">
        <f t="shared" si="13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16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">
      <c r="A131" s="192">
        <f>'Données projet'!A129</f>
        <v>0</v>
      </c>
      <c r="B131" s="193">
        <f>'Données projet'!D129</f>
        <v>0</v>
      </c>
      <c r="C131" s="204"/>
      <c r="D131" s="191">
        <f t="shared" si="13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16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">
      <c r="A132" s="192">
        <f>'Données projet'!A130</f>
        <v>0</v>
      </c>
      <c r="B132" s="193">
        <f>'Données projet'!D130</f>
        <v>0</v>
      </c>
      <c r="C132" s="204"/>
      <c r="D132" s="191">
        <f t="shared" si="13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16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">
      <c r="A133" s="192">
        <f>'Données projet'!A131</f>
        <v>0</v>
      </c>
      <c r="B133" s="193">
        <f>'Données projet'!D131</f>
        <v>0</v>
      </c>
      <c r="C133" s="204"/>
      <c r="D133" s="191">
        <f t="shared" si="13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">
      <c r="A134" s="192">
        <f>'Données projet'!A132</f>
        <v>0</v>
      </c>
      <c r="B134" s="193">
        <f>'Données projet'!D132</f>
        <v>0</v>
      </c>
      <c r="C134" s="204"/>
      <c r="D134" s="191">
        <f t="shared" si="13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">
      <c r="A135" s="192">
        <f>'Données projet'!A133</f>
        <v>0</v>
      </c>
      <c r="B135" s="193">
        <f>'Données projet'!D133</f>
        <v>0</v>
      </c>
      <c r="C135" s="204"/>
      <c r="D135" s="191">
        <f t="shared" si="13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">
      <c r="A138" s="49" t="s">
        <v>169</v>
      </c>
      <c r="B138" s="186" t="str">
        <f>IF('Données projet'!B13="","",'Données projet'!B13)</f>
        <v>Mélèze hybride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">
      <c r="A147" s="45">
        <f>'Données projet'!A140</f>
        <v>12</v>
      </c>
      <c r="B147" s="187">
        <f>'Données projet'!D140</f>
        <v>21</v>
      </c>
      <c r="C147" s="204">
        <f>8*(1+12.8%)</f>
        <v>9.0240000000000009</v>
      </c>
      <c r="D147" s="194">
        <f>B147*C147</f>
        <v>189.50400000000002</v>
      </c>
      <c r="E147" s="206">
        <f>75+(D147*12%)</f>
        <v>97.740480000000005</v>
      </c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">
      <c r="A148" s="45">
        <f>'Données projet'!A141</f>
        <v>15</v>
      </c>
      <c r="B148" s="187">
        <f>'Données projet'!D141</f>
        <v>47</v>
      </c>
      <c r="C148" s="204">
        <f>8*(1+12.8%)</f>
        <v>9.0240000000000009</v>
      </c>
      <c r="D148" s="194">
        <f t="shared" ref="D148:D166" si="17">B148*C148</f>
        <v>424.12800000000004</v>
      </c>
      <c r="E148" s="206">
        <f t="shared" ref="E148:E151" si="18">75+(D148*12%)</f>
        <v>125.89536000000001</v>
      </c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">
      <c r="A149" s="45">
        <f>'Données projet'!A142</f>
        <v>18</v>
      </c>
      <c r="B149" s="187">
        <f>'Données projet'!D142</f>
        <v>61</v>
      </c>
      <c r="C149" s="204">
        <f>16*(1+12.8%)</f>
        <v>18.048000000000002</v>
      </c>
      <c r="D149" s="194">
        <f t="shared" si="17"/>
        <v>1100.9280000000001</v>
      </c>
      <c r="E149" s="206">
        <f t="shared" si="18"/>
        <v>207.11136000000002</v>
      </c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">
      <c r="A150" s="45">
        <f>'Données projet'!A143</f>
        <v>24</v>
      </c>
      <c r="B150" s="187">
        <f>'Données projet'!D143</f>
        <v>84</v>
      </c>
      <c r="C150" s="204">
        <f>24*(1+12.8%)</f>
        <v>27.072000000000003</v>
      </c>
      <c r="D150" s="194">
        <f t="shared" si="17"/>
        <v>2274.0480000000002</v>
      </c>
      <c r="E150" s="206">
        <f t="shared" si="18"/>
        <v>347.88576</v>
      </c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">
      <c r="A151" s="45">
        <f>'Données projet'!A144</f>
        <v>30</v>
      </c>
      <c r="B151" s="187">
        <f>'Données projet'!D144</f>
        <v>76</v>
      </c>
      <c r="C151" s="204">
        <f>24*(1+12.8%)</f>
        <v>27.072000000000003</v>
      </c>
      <c r="D151" s="194">
        <f t="shared" si="17"/>
        <v>2057.4720000000002</v>
      </c>
      <c r="E151" s="206">
        <f t="shared" si="18"/>
        <v>321.89664000000005</v>
      </c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">
      <c r="A152" s="45">
        <f>'Données projet'!A145</f>
        <v>36</v>
      </c>
      <c r="B152" s="187">
        <f>'Données projet'!D145</f>
        <v>75</v>
      </c>
      <c r="C152" s="204"/>
      <c r="D152" s="194">
        <f t="shared" si="17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">
      <c r="A153" s="45">
        <f>'Données projet'!A146</f>
        <v>0</v>
      </c>
      <c r="B153" s="187">
        <f>'Données projet'!D146</f>
        <v>0</v>
      </c>
      <c r="C153" s="204"/>
      <c r="D153" s="194">
        <f t="shared" si="17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">
      <c r="A154" s="45">
        <f>'Données projet'!A147</f>
        <v>0</v>
      </c>
      <c r="B154" s="187">
        <f>'Données projet'!D147</f>
        <v>0</v>
      </c>
      <c r="C154" s="204"/>
      <c r="D154" s="194">
        <f t="shared" si="17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">
      <c r="A155" s="45">
        <f>'Données projet'!A148</f>
        <v>0</v>
      </c>
      <c r="B155" s="187">
        <f>'Données projet'!D148</f>
        <v>0</v>
      </c>
      <c r="C155" s="204"/>
      <c r="D155" s="194">
        <f t="shared" si="17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">
      <c r="A156" s="45">
        <f>'Données projet'!A149</f>
        <v>0</v>
      </c>
      <c r="B156" s="187">
        <f>'Données projet'!D149</f>
        <v>0</v>
      </c>
      <c r="C156" s="204"/>
      <c r="D156" s="194">
        <f t="shared" si="17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">
      <c r="A157" s="45">
        <f>'Données projet'!A150</f>
        <v>0</v>
      </c>
      <c r="B157" s="187">
        <f>'Données projet'!D150</f>
        <v>0</v>
      </c>
      <c r="C157" s="204"/>
      <c r="D157" s="194">
        <f t="shared" si="17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">
      <c r="A158" s="45">
        <f>'Données projet'!A151</f>
        <v>0</v>
      </c>
      <c r="B158" s="187">
        <f>'Données projet'!D151</f>
        <v>0</v>
      </c>
      <c r="C158" s="204"/>
      <c r="D158" s="194">
        <f t="shared" si="17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">
      <c r="A159" s="45">
        <f>'Données projet'!A152</f>
        <v>0</v>
      </c>
      <c r="B159" s="187">
        <f>'Données projet'!D152</f>
        <v>0</v>
      </c>
      <c r="C159" s="204"/>
      <c r="D159" s="194">
        <f t="shared" si="17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">
      <c r="A160" s="45">
        <f>'Données projet'!A153</f>
        <v>0</v>
      </c>
      <c r="B160" s="187">
        <f>'Données projet'!D153</f>
        <v>0</v>
      </c>
      <c r="C160" s="204"/>
      <c r="D160" s="194">
        <f t="shared" si="17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">
      <c r="A161" s="45">
        <f>'Données projet'!A154</f>
        <v>0</v>
      </c>
      <c r="B161" s="187">
        <f>'Données projet'!D154</f>
        <v>0</v>
      </c>
      <c r="C161" s="204"/>
      <c r="D161" s="194">
        <f t="shared" si="17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">
      <c r="A162" s="45">
        <f>'Données projet'!A155</f>
        <v>0</v>
      </c>
      <c r="B162" s="187">
        <f>'Données projet'!D155</f>
        <v>0</v>
      </c>
      <c r="C162" s="204"/>
      <c r="D162" s="194">
        <f t="shared" si="17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">
      <c r="A163" s="45">
        <f>'Données projet'!A156</f>
        <v>0</v>
      </c>
      <c r="B163" s="187">
        <f>'Données projet'!D156</f>
        <v>0</v>
      </c>
      <c r="C163" s="204"/>
      <c r="D163" s="194">
        <f t="shared" si="17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">
      <c r="A164" s="45">
        <f>'Données projet'!A157</f>
        <v>0</v>
      </c>
      <c r="B164" s="187">
        <f>'Données projet'!D157</f>
        <v>0</v>
      </c>
      <c r="C164" s="204"/>
      <c r="D164" s="194">
        <f t="shared" si="17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">
      <c r="A165" s="45">
        <f>'Données projet'!A158</f>
        <v>0</v>
      </c>
      <c r="B165" s="187">
        <f>'Données projet'!D158</f>
        <v>0</v>
      </c>
      <c r="C165" s="204"/>
      <c r="D165" s="194">
        <f t="shared" si="17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">
      <c r="A166" s="45">
        <f>'Données projet'!A159</f>
        <v>0</v>
      </c>
      <c r="B166" s="187">
        <f>'Données projet'!D159</f>
        <v>0</v>
      </c>
      <c r="C166" s="204"/>
      <c r="D166" s="194">
        <f t="shared" si="17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">
      <c r="A169" s="49" t="s">
        <v>170</v>
      </c>
      <c r="B169" s="186" t="str">
        <f>IF('Données projet'!B14="","",'Données projet'!B14)</f>
        <v>Alisier torminal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">
      <c r="A178" s="192">
        <f>'Données projet'!A166</f>
        <v>20</v>
      </c>
      <c r="B178" s="193">
        <f>'Données projet'!D166</f>
        <v>27</v>
      </c>
      <c r="C178" s="206">
        <f>8*(1+12.8%)</f>
        <v>9.0240000000000009</v>
      </c>
      <c r="D178" s="191">
        <f>B178*C178</f>
        <v>243.64800000000002</v>
      </c>
      <c r="E178" s="206">
        <f>75+(D178*12%)</f>
        <v>104.23776000000001</v>
      </c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">
      <c r="A179" s="192">
        <f>'Données projet'!A167</f>
        <v>25</v>
      </c>
      <c r="B179" s="193">
        <f>'Données projet'!D167</f>
        <v>16</v>
      </c>
      <c r="C179" s="206">
        <f>16*(1+12.8%)</f>
        <v>18.048000000000002</v>
      </c>
      <c r="D179" s="191">
        <f t="shared" ref="D179:D197" si="19">B179*C179</f>
        <v>288.76800000000003</v>
      </c>
      <c r="E179" s="206">
        <f t="shared" ref="E179:E180" si="20">75+(D179*12%)</f>
        <v>109.65216000000001</v>
      </c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">
      <c r="A180" s="192">
        <f>'Données projet'!A168</f>
        <v>30</v>
      </c>
      <c r="B180" s="193">
        <f>'Données projet'!D168</f>
        <v>23</v>
      </c>
      <c r="C180" s="206">
        <f>25*(1+12.8%)</f>
        <v>28.200000000000003</v>
      </c>
      <c r="D180" s="191">
        <f t="shared" si="19"/>
        <v>648.6</v>
      </c>
      <c r="E180" s="206">
        <f t="shared" si="20"/>
        <v>152.83199999999999</v>
      </c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">
      <c r="A181" s="192">
        <f>'Données projet'!A169</f>
        <v>35</v>
      </c>
      <c r="B181" s="193">
        <f>'Données projet'!D169</f>
        <v>29</v>
      </c>
      <c r="C181" s="206"/>
      <c r="D181" s="191">
        <f t="shared" si="19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">
      <c r="A182" s="192">
        <f>'Données projet'!A170</f>
        <v>40</v>
      </c>
      <c r="B182" s="193">
        <f>'Données projet'!D170</f>
        <v>32</v>
      </c>
      <c r="C182" s="206"/>
      <c r="D182" s="191">
        <f t="shared" si="19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">
      <c r="A183" s="192">
        <f>'Données projet'!A171</f>
        <v>45</v>
      </c>
      <c r="B183" s="193">
        <f>'Données projet'!D171</f>
        <v>36</v>
      </c>
      <c r="C183" s="206"/>
      <c r="D183" s="191">
        <f t="shared" si="19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">
      <c r="A184" s="192">
        <f>'Données projet'!A172</f>
        <v>50</v>
      </c>
      <c r="B184" s="193">
        <f>'Données projet'!D172</f>
        <v>35</v>
      </c>
      <c r="C184" s="206"/>
      <c r="D184" s="191">
        <f t="shared" si="19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">
      <c r="A185" s="192">
        <f>'Données projet'!A173</f>
        <v>55</v>
      </c>
      <c r="B185" s="193">
        <f>'Données projet'!D173</f>
        <v>35</v>
      </c>
      <c r="C185" s="206"/>
      <c r="D185" s="191">
        <f t="shared" si="19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">
      <c r="A186" s="192">
        <f>'Données projet'!A174</f>
        <v>60</v>
      </c>
      <c r="B186" s="193">
        <f>'Données projet'!D174</f>
        <v>37</v>
      </c>
      <c r="C186" s="206"/>
      <c r="D186" s="191">
        <f t="shared" si="19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">
      <c r="A187" s="192">
        <f>'Données projet'!A175</f>
        <v>0</v>
      </c>
      <c r="B187" s="193">
        <f>'Données projet'!D175</f>
        <v>0</v>
      </c>
      <c r="C187" s="206"/>
      <c r="D187" s="191">
        <f t="shared" si="19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">
      <c r="A188" s="192">
        <f>'Données projet'!A176</f>
        <v>0</v>
      </c>
      <c r="B188" s="193">
        <f>'Données projet'!D176</f>
        <v>0</v>
      </c>
      <c r="C188" s="206"/>
      <c r="D188" s="191">
        <f t="shared" si="19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">
      <c r="A189" s="192">
        <f>'Données projet'!A177</f>
        <v>0</v>
      </c>
      <c r="B189" s="193">
        <f>'Données projet'!D177</f>
        <v>0</v>
      </c>
      <c r="C189" s="206"/>
      <c r="D189" s="191">
        <f t="shared" si="19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">
      <c r="A190" s="192">
        <f>'Données projet'!A178</f>
        <v>0</v>
      </c>
      <c r="B190" s="193">
        <f>'Données projet'!D178</f>
        <v>0</v>
      </c>
      <c r="C190" s="206"/>
      <c r="D190" s="191">
        <f t="shared" si="19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">
      <c r="A191" s="192">
        <f>'Données projet'!A179</f>
        <v>0</v>
      </c>
      <c r="B191" s="193">
        <f>'Données projet'!D179</f>
        <v>0</v>
      </c>
      <c r="C191" s="206"/>
      <c r="D191" s="191">
        <f t="shared" si="19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">
      <c r="A192" s="192">
        <f>'Données projet'!A180</f>
        <v>0</v>
      </c>
      <c r="B192" s="193">
        <f>'Données projet'!D180</f>
        <v>0</v>
      </c>
      <c r="C192" s="206"/>
      <c r="D192" s="191">
        <f t="shared" si="19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">
      <c r="A193" s="192">
        <f>'Données projet'!A181</f>
        <v>0</v>
      </c>
      <c r="B193" s="193">
        <f>'Données projet'!D181</f>
        <v>0</v>
      </c>
      <c r="C193" s="206"/>
      <c r="D193" s="191">
        <f t="shared" si="19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">
      <c r="A194" s="192">
        <f>'Données projet'!A182</f>
        <v>0</v>
      </c>
      <c r="B194" s="193">
        <f>'Données projet'!D182</f>
        <v>0</v>
      </c>
      <c r="C194" s="206"/>
      <c r="D194" s="191">
        <f t="shared" si="19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">
      <c r="A195" s="192">
        <f>'Données projet'!A183</f>
        <v>0</v>
      </c>
      <c r="B195" s="193">
        <f>'Données projet'!D183</f>
        <v>0</v>
      </c>
      <c r="C195" s="206"/>
      <c r="D195" s="191">
        <f t="shared" si="19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">
      <c r="A196" s="192">
        <f>'Données projet'!A184</f>
        <v>0</v>
      </c>
      <c r="B196" s="193">
        <f>'Données projet'!D184</f>
        <v>0</v>
      </c>
      <c r="C196" s="206"/>
      <c r="D196" s="191">
        <f t="shared" si="19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">
      <c r="A197" s="192">
        <f>'Données projet'!A185</f>
        <v>0</v>
      </c>
      <c r="B197" s="193">
        <f>'Données projet'!D185</f>
        <v>0</v>
      </c>
      <c r="C197" s="206"/>
      <c r="D197" s="191">
        <f t="shared" si="19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">
      <c r="A200" s="49" t="s">
        <v>171</v>
      </c>
      <c r="B200" s="186" t="str">
        <f>IF('Données projet'!$B$15="","",'Données projet'!$B$15)</f>
        <v>Cormier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">
      <c r="A209" s="192">
        <f>'Données projet'!A192</f>
        <v>20</v>
      </c>
      <c r="B209" s="193">
        <f>'Données projet'!D192</f>
        <v>27</v>
      </c>
      <c r="C209" s="206">
        <f>8*(1+12.8%)</f>
        <v>9.0240000000000009</v>
      </c>
      <c r="D209" s="191">
        <f>B209*C209</f>
        <v>243.64800000000002</v>
      </c>
      <c r="E209" s="206">
        <f>75+(D209*12%)</f>
        <v>104.23776000000001</v>
      </c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">
      <c r="A210" s="192">
        <f>'Données projet'!A193</f>
        <v>25</v>
      </c>
      <c r="B210" s="193">
        <f>'Données projet'!D193</f>
        <v>16</v>
      </c>
      <c r="C210" s="206">
        <f>16*(1+12.8%)</f>
        <v>18.048000000000002</v>
      </c>
      <c r="D210" s="191">
        <f t="shared" ref="D210:D228" si="21">B210*C210</f>
        <v>288.76800000000003</v>
      </c>
      <c r="E210" s="206">
        <f t="shared" ref="E210:E211" si="22">75+(D210*12%)</f>
        <v>109.65216000000001</v>
      </c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">
      <c r="A211" s="192">
        <f>'Données projet'!A194</f>
        <v>30</v>
      </c>
      <c r="B211" s="193">
        <f>'Données projet'!D194</f>
        <v>23</v>
      </c>
      <c r="C211" s="206">
        <f>25*(1+12.8%)</f>
        <v>28.200000000000003</v>
      </c>
      <c r="D211" s="191">
        <f t="shared" si="21"/>
        <v>648.6</v>
      </c>
      <c r="E211" s="206">
        <f t="shared" si="22"/>
        <v>152.83199999999999</v>
      </c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">
      <c r="A212" s="192">
        <f>'Données projet'!A195</f>
        <v>35</v>
      </c>
      <c r="B212" s="193">
        <f>'Données projet'!D195</f>
        <v>29</v>
      </c>
      <c r="C212" s="206"/>
      <c r="D212" s="191">
        <f t="shared" si="21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">
      <c r="A213" s="192">
        <f>'Données projet'!A196</f>
        <v>40</v>
      </c>
      <c r="B213" s="193">
        <f>'Données projet'!D196</f>
        <v>32</v>
      </c>
      <c r="C213" s="206"/>
      <c r="D213" s="191">
        <f t="shared" si="21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">
      <c r="A214" s="192">
        <f>'Données projet'!A197</f>
        <v>45</v>
      </c>
      <c r="B214" s="193">
        <f>'Données projet'!D197</f>
        <v>36</v>
      </c>
      <c r="C214" s="206"/>
      <c r="D214" s="191">
        <f t="shared" si="21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">
      <c r="A215" s="192">
        <f>'Données projet'!A198</f>
        <v>50</v>
      </c>
      <c r="B215" s="193">
        <f>'Données projet'!D198</f>
        <v>35</v>
      </c>
      <c r="C215" s="206"/>
      <c r="D215" s="191">
        <f t="shared" si="21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">
      <c r="A216" s="192">
        <f>'Données projet'!A199</f>
        <v>55</v>
      </c>
      <c r="B216" s="193">
        <f>'Données projet'!D199</f>
        <v>35</v>
      </c>
      <c r="C216" s="206"/>
      <c r="D216" s="191">
        <f t="shared" si="21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">
      <c r="A217" s="192">
        <f>'Données projet'!A200</f>
        <v>60</v>
      </c>
      <c r="B217" s="193">
        <f>'Données projet'!D200</f>
        <v>37</v>
      </c>
      <c r="C217" s="206"/>
      <c r="D217" s="191">
        <f t="shared" si="21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">
      <c r="A218" s="192">
        <f>'Données projet'!A201</f>
        <v>0</v>
      </c>
      <c r="B218" s="193">
        <f>'Données projet'!D201</f>
        <v>0</v>
      </c>
      <c r="C218" s="206"/>
      <c r="D218" s="191">
        <f t="shared" si="21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">
      <c r="A219" s="192">
        <f>'Données projet'!A202</f>
        <v>0</v>
      </c>
      <c r="B219" s="193">
        <f>'Données projet'!D202</f>
        <v>0</v>
      </c>
      <c r="C219" s="206"/>
      <c r="D219" s="191">
        <f t="shared" si="21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">
      <c r="A220" s="192">
        <f>'Données projet'!A203</f>
        <v>0</v>
      </c>
      <c r="B220" s="193">
        <f>'Données projet'!D203</f>
        <v>0</v>
      </c>
      <c r="C220" s="206"/>
      <c r="D220" s="191">
        <f t="shared" si="21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">
      <c r="A221" s="192">
        <f>'Données projet'!A204</f>
        <v>0</v>
      </c>
      <c r="B221" s="193">
        <f>'Données projet'!D204</f>
        <v>0</v>
      </c>
      <c r="C221" s="206"/>
      <c r="D221" s="191">
        <f t="shared" si="21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">
      <c r="A222" s="192">
        <f>'Données projet'!A205</f>
        <v>0</v>
      </c>
      <c r="B222" s="193">
        <f>'Données projet'!D205</f>
        <v>0</v>
      </c>
      <c r="C222" s="206"/>
      <c r="D222" s="191">
        <f t="shared" si="21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">
      <c r="A223" s="192">
        <f>'Données projet'!A206</f>
        <v>0</v>
      </c>
      <c r="B223" s="193">
        <f>'Données projet'!D206</f>
        <v>0</v>
      </c>
      <c r="C223" s="206"/>
      <c r="D223" s="191">
        <f t="shared" si="21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">
      <c r="A224" s="192">
        <f>'Données projet'!A207</f>
        <v>0</v>
      </c>
      <c r="B224" s="193">
        <f>'Données projet'!D207</f>
        <v>0</v>
      </c>
      <c r="C224" s="206"/>
      <c r="D224" s="191">
        <f t="shared" si="21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">
      <c r="A225" s="192">
        <f>'Données projet'!A208</f>
        <v>0</v>
      </c>
      <c r="B225" s="193">
        <f>'Données projet'!D208</f>
        <v>0</v>
      </c>
      <c r="C225" s="206"/>
      <c r="D225" s="191">
        <f t="shared" si="21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">
      <c r="A226" s="192">
        <f>'Données projet'!A209</f>
        <v>0</v>
      </c>
      <c r="B226" s="193">
        <f>'Données projet'!D209</f>
        <v>0</v>
      </c>
      <c r="C226" s="206"/>
      <c r="D226" s="191">
        <f t="shared" si="21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">
      <c r="A227" s="192">
        <f>'Données projet'!A210</f>
        <v>0</v>
      </c>
      <c r="B227" s="193">
        <f>'Données projet'!D210</f>
        <v>0</v>
      </c>
      <c r="C227" s="206"/>
      <c r="D227" s="191">
        <f t="shared" si="21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">
      <c r="A228" s="192">
        <f>'Données projet'!A211</f>
        <v>0</v>
      </c>
      <c r="B228" s="193">
        <f>'Données projet'!D211</f>
        <v>0</v>
      </c>
      <c r="C228" s="206"/>
      <c r="D228" s="191">
        <f t="shared" si="21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2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">
      <c r="A242" s="192">
        <f>'Données projet'!A220</f>
        <v>0</v>
      </c>
      <c r="B242" s="193">
        <f>'Données projet'!D220</f>
        <v>0</v>
      </c>
      <c r="C242" s="206"/>
      <c r="D242" s="191">
        <f t="shared" si="2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">
      <c r="A243" s="192">
        <f>'Données projet'!A221</f>
        <v>0</v>
      </c>
      <c r="B243" s="193">
        <f>'Données projet'!D221</f>
        <v>0</v>
      </c>
      <c r="C243" s="206"/>
      <c r="D243" s="191">
        <f t="shared" si="2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">
      <c r="A244" s="192">
        <f>'Données projet'!A222</f>
        <v>0</v>
      </c>
      <c r="B244" s="193">
        <f>'Données projet'!D222</f>
        <v>0</v>
      </c>
      <c r="C244" s="206"/>
      <c r="D244" s="191">
        <f t="shared" si="2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">
      <c r="A245" s="192">
        <f>'Données projet'!A223</f>
        <v>0</v>
      </c>
      <c r="B245" s="193">
        <f>'Données projet'!D223</f>
        <v>0</v>
      </c>
      <c r="C245" s="206"/>
      <c r="D245" s="191">
        <f t="shared" si="2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">
      <c r="A246" s="192">
        <f>'Données projet'!A224</f>
        <v>0</v>
      </c>
      <c r="B246" s="193">
        <f>'Données projet'!D224</f>
        <v>0</v>
      </c>
      <c r="C246" s="206"/>
      <c r="D246" s="191">
        <f t="shared" si="2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">
      <c r="A247" s="192">
        <f>'Données projet'!A225</f>
        <v>0</v>
      </c>
      <c r="B247" s="193">
        <f>'Données projet'!D225</f>
        <v>0</v>
      </c>
      <c r="C247" s="206"/>
      <c r="D247" s="191">
        <f t="shared" si="2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">
      <c r="A248" s="192">
        <f>'Données projet'!A226</f>
        <v>0</v>
      </c>
      <c r="B248" s="193">
        <f>'Données projet'!D226</f>
        <v>0</v>
      </c>
      <c r="C248" s="206"/>
      <c r="D248" s="191">
        <f t="shared" si="2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">
      <c r="A249" s="192">
        <f>'Données projet'!A227</f>
        <v>0</v>
      </c>
      <c r="B249" s="193">
        <f>'Données projet'!D227</f>
        <v>0</v>
      </c>
      <c r="C249" s="206"/>
      <c r="D249" s="191">
        <f t="shared" si="2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">
      <c r="A250" s="192">
        <f>'Données projet'!A228</f>
        <v>0</v>
      </c>
      <c r="B250" s="193">
        <f>'Données projet'!D228</f>
        <v>0</v>
      </c>
      <c r="C250" s="206"/>
      <c r="D250" s="191">
        <f t="shared" si="2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">
      <c r="A251" s="192">
        <f>'Données projet'!A229</f>
        <v>0</v>
      </c>
      <c r="B251" s="193">
        <f>'Données projet'!D229</f>
        <v>0</v>
      </c>
      <c r="C251" s="206"/>
      <c r="D251" s="191">
        <f t="shared" si="2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">
      <c r="A252" s="192">
        <f>'Données projet'!A230</f>
        <v>0</v>
      </c>
      <c r="B252" s="193">
        <f>'Données projet'!D230</f>
        <v>0</v>
      </c>
      <c r="C252" s="206"/>
      <c r="D252" s="191">
        <f t="shared" si="2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">
      <c r="A253" s="192">
        <f>'Données projet'!A231</f>
        <v>0</v>
      </c>
      <c r="B253" s="193">
        <f>'Données projet'!D231</f>
        <v>0</v>
      </c>
      <c r="C253" s="206"/>
      <c r="D253" s="191">
        <f t="shared" si="2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">
      <c r="A254" s="192">
        <f>'Données projet'!A232</f>
        <v>0</v>
      </c>
      <c r="B254" s="193">
        <f>'Données projet'!D232</f>
        <v>0</v>
      </c>
      <c r="C254" s="206"/>
      <c r="D254" s="191">
        <f t="shared" si="2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">
      <c r="A255" s="192">
        <f>'Données projet'!A233</f>
        <v>0</v>
      </c>
      <c r="B255" s="193">
        <f>'Données projet'!D233</f>
        <v>0</v>
      </c>
      <c r="C255" s="206"/>
      <c r="D255" s="191">
        <f t="shared" si="2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">
      <c r="A256" s="192">
        <f>'Données projet'!A234</f>
        <v>0</v>
      </c>
      <c r="B256" s="193">
        <f>'Données projet'!D234</f>
        <v>0</v>
      </c>
      <c r="C256" s="206"/>
      <c r="D256" s="191">
        <f t="shared" si="2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">
      <c r="A257" s="192">
        <f>'Données projet'!A235</f>
        <v>0</v>
      </c>
      <c r="B257" s="193">
        <f>'Données projet'!D235</f>
        <v>0</v>
      </c>
      <c r="C257" s="206"/>
      <c r="D257" s="191">
        <f t="shared" si="2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">
      <c r="A258" s="192">
        <f>'Données projet'!A236</f>
        <v>0</v>
      </c>
      <c r="B258" s="193">
        <f>'Données projet'!D236</f>
        <v>0</v>
      </c>
      <c r="C258" s="206"/>
      <c r="D258" s="191">
        <f t="shared" si="2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">
      <c r="A259" s="192">
        <f>'Données projet'!A237</f>
        <v>0</v>
      </c>
      <c r="B259" s="193">
        <f>'Données projet'!D237</f>
        <v>0</v>
      </c>
      <c r="C259" s="206"/>
      <c r="D259" s="191">
        <f t="shared" si="2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2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">
      <c r="A273" s="192">
        <f>'Données projet'!A246</f>
        <v>0</v>
      </c>
      <c r="B273" s="193">
        <f>'Données projet'!D246</f>
        <v>0</v>
      </c>
      <c r="C273" s="206"/>
      <c r="D273" s="191">
        <f t="shared" si="2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">
      <c r="A274" s="192">
        <f>'Données projet'!A247</f>
        <v>0</v>
      </c>
      <c r="B274" s="193">
        <f>'Données projet'!D247</f>
        <v>0</v>
      </c>
      <c r="C274" s="206"/>
      <c r="D274" s="191">
        <f t="shared" si="2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">
      <c r="A275" s="192">
        <f>'Données projet'!A248</f>
        <v>0</v>
      </c>
      <c r="B275" s="193">
        <f>'Données projet'!D248</f>
        <v>0</v>
      </c>
      <c r="C275" s="206"/>
      <c r="D275" s="191">
        <f t="shared" si="2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">
      <c r="A276" s="192">
        <f>'Données projet'!A249</f>
        <v>0</v>
      </c>
      <c r="B276" s="193">
        <f>'Données projet'!D249</f>
        <v>0</v>
      </c>
      <c r="C276" s="206"/>
      <c r="D276" s="191">
        <f t="shared" si="2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">
      <c r="A277" s="192">
        <f>'Données projet'!A250</f>
        <v>0</v>
      </c>
      <c r="B277" s="193">
        <f>'Données projet'!D250</f>
        <v>0</v>
      </c>
      <c r="C277" s="206"/>
      <c r="D277" s="191">
        <f t="shared" si="2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">
      <c r="A278" s="192">
        <f>'Données projet'!A251</f>
        <v>0</v>
      </c>
      <c r="B278" s="193">
        <f>'Données projet'!D251</f>
        <v>0</v>
      </c>
      <c r="C278" s="206"/>
      <c r="D278" s="191">
        <f t="shared" si="2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">
      <c r="A279" s="192">
        <f>'Données projet'!A252</f>
        <v>0</v>
      </c>
      <c r="B279" s="193">
        <f>'Données projet'!D252</f>
        <v>0</v>
      </c>
      <c r="C279" s="206"/>
      <c r="D279" s="191">
        <f t="shared" si="2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">
      <c r="A280" s="192">
        <f>'Données projet'!A253</f>
        <v>0</v>
      </c>
      <c r="B280" s="193">
        <f>'Données projet'!D253</f>
        <v>0</v>
      </c>
      <c r="C280" s="206"/>
      <c r="D280" s="191">
        <f t="shared" si="2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">
      <c r="A281" s="192">
        <f>'Données projet'!A254</f>
        <v>0</v>
      </c>
      <c r="B281" s="193">
        <f>'Données projet'!D254</f>
        <v>0</v>
      </c>
      <c r="C281" s="206"/>
      <c r="D281" s="191">
        <f t="shared" si="2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">
      <c r="A282" s="192">
        <f>'Données projet'!A255</f>
        <v>0</v>
      </c>
      <c r="B282" s="193">
        <f>'Données projet'!D255</f>
        <v>0</v>
      </c>
      <c r="C282" s="206"/>
      <c r="D282" s="191">
        <f t="shared" si="2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">
      <c r="A283" s="192">
        <f>'Données projet'!A256</f>
        <v>0</v>
      </c>
      <c r="B283" s="193">
        <f>'Données projet'!D256</f>
        <v>0</v>
      </c>
      <c r="C283" s="206"/>
      <c r="D283" s="191">
        <f t="shared" si="2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">
      <c r="A284" s="192">
        <f>'Données projet'!A257</f>
        <v>0</v>
      </c>
      <c r="B284" s="193">
        <f>'Données projet'!D257</f>
        <v>0</v>
      </c>
      <c r="C284" s="206"/>
      <c r="D284" s="191">
        <f t="shared" si="2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">
      <c r="A285" s="192">
        <f>'Données projet'!A258</f>
        <v>0</v>
      </c>
      <c r="B285" s="193">
        <f>'Données projet'!D258</f>
        <v>0</v>
      </c>
      <c r="C285" s="206"/>
      <c r="D285" s="191">
        <f t="shared" si="2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">
      <c r="A286" s="192">
        <f>'Données projet'!A259</f>
        <v>0</v>
      </c>
      <c r="B286" s="193">
        <f>'Données projet'!D259</f>
        <v>0</v>
      </c>
      <c r="C286" s="206"/>
      <c r="D286" s="191">
        <f t="shared" si="2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">
      <c r="A287" s="192">
        <f>'Données projet'!A260</f>
        <v>0</v>
      </c>
      <c r="B287" s="193">
        <f>'Données projet'!D260</f>
        <v>0</v>
      </c>
      <c r="C287" s="206"/>
      <c r="D287" s="191">
        <f t="shared" si="2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">
      <c r="A288" s="192">
        <f>'Données projet'!A261</f>
        <v>0</v>
      </c>
      <c r="B288" s="193">
        <f>'Données projet'!D261</f>
        <v>0</v>
      </c>
      <c r="C288" s="206"/>
      <c r="D288" s="191">
        <f t="shared" si="2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">
      <c r="A289" s="192">
        <f>'Données projet'!A262</f>
        <v>0</v>
      </c>
      <c r="B289" s="193">
        <f>'Données projet'!D262</f>
        <v>0</v>
      </c>
      <c r="C289" s="206"/>
      <c r="D289" s="191">
        <f t="shared" si="2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">
      <c r="A290" s="192">
        <f>'Données projet'!A263</f>
        <v>0</v>
      </c>
      <c r="B290" s="193">
        <f>'Données projet'!D263</f>
        <v>0</v>
      </c>
      <c r="C290" s="206"/>
      <c r="D290" s="191">
        <f t="shared" si="2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2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">
      <c r="A304" s="192">
        <f>'Données projet'!A272</f>
        <v>0</v>
      </c>
      <c r="B304" s="193">
        <f>'Données projet'!D272</f>
        <v>0</v>
      </c>
      <c r="C304" s="204"/>
      <c r="D304" s="194">
        <f t="shared" si="2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">
      <c r="A305" s="192">
        <f>'Données projet'!A273</f>
        <v>0</v>
      </c>
      <c r="B305" s="193">
        <f>'Données projet'!D273</f>
        <v>0</v>
      </c>
      <c r="C305" s="204"/>
      <c r="D305" s="194">
        <f t="shared" si="2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">
      <c r="A306" s="192">
        <f>'Données projet'!A274</f>
        <v>0</v>
      </c>
      <c r="B306" s="193">
        <f>'Données projet'!D274</f>
        <v>0</v>
      </c>
      <c r="C306" s="204"/>
      <c r="D306" s="194">
        <f t="shared" si="2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">
      <c r="A307" s="192">
        <f>'Données projet'!A275</f>
        <v>0</v>
      </c>
      <c r="B307" s="193">
        <f>'Données projet'!D275</f>
        <v>0</v>
      </c>
      <c r="C307" s="204"/>
      <c r="D307" s="194">
        <f t="shared" si="2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">
      <c r="A308" s="192">
        <f>'Données projet'!A276</f>
        <v>0</v>
      </c>
      <c r="B308" s="193">
        <f>'Données projet'!D276</f>
        <v>0</v>
      </c>
      <c r="C308" s="204"/>
      <c r="D308" s="194">
        <f t="shared" si="2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">
      <c r="A309" s="192">
        <f>'Données projet'!A277</f>
        <v>0</v>
      </c>
      <c r="B309" s="193">
        <f>'Données projet'!D277</f>
        <v>0</v>
      </c>
      <c r="C309" s="204"/>
      <c r="D309" s="194">
        <f t="shared" si="2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">
      <c r="A310" s="192">
        <f>'Données projet'!A278</f>
        <v>0</v>
      </c>
      <c r="B310" s="193">
        <f>'Données projet'!D278</f>
        <v>0</v>
      </c>
      <c r="C310" s="204"/>
      <c r="D310" s="194">
        <f t="shared" si="2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">
      <c r="A311" s="192">
        <f>'Données projet'!A279</f>
        <v>0</v>
      </c>
      <c r="B311" s="193">
        <f>'Données projet'!D279</f>
        <v>0</v>
      </c>
      <c r="C311" s="204"/>
      <c r="D311" s="194">
        <f t="shared" si="2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">
      <c r="A312" s="192">
        <f>'Données projet'!A280</f>
        <v>0</v>
      </c>
      <c r="B312" s="193">
        <f>'Données projet'!D280</f>
        <v>0</v>
      </c>
      <c r="C312" s="204"/>
      <c r="D312" s="194">
        <f t="shared" si="2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">
      <c r="A313" s="192">
        <f>'Données projet'!A281</f>
        <v>0</v>
      </c>
      <c r="B313" s="193">
        <f>'Données projet'!D281</f>
        <v>0</v>
      </c>
      <c r="C313" s="204"/>
      <c r="D313" s="194">
        <f t="shared" si="2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">
      <c r="A314" s="192">
        <f>'Données projet'!A282</f>
        <v>0</v>
      </c>
      <c r="B314" s="193">
        <f>'Données projet'!D282</f>
        <v>0</v>
      </c>
      <c r="C314" s="204"/>
      <c r="D314" s="194">
        <f t="shared" si="2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">
      <c r="A315" s="192">
        <f>'Données projet'!A283</f>
        <v>0</v>
      </c>
      <c r="B315" s="193">
        <f>'Données projet'!D283</f>
        <v>0</v>
      </c>
      <c r="C315" s="204"/>
      <c r="D315" s="194">
        <f t="shared" si="2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">
      <c r="A316" s="192">
        <f>'Données projet'!A284</f>
        <v>0</v>
      </c>
      <c r="B316" s="193">
        <f>'Données projet'!D284</f>
        <v>0</v>
      </c>
      <c r="C316" s="204"/>
      <c r="D316" s="194">
        <f t="shared" si="2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">
      <c r="A317" s="192">
        <f>'Données projet'!A285</f>
        <v>0</v>
      </c>
      <c r="B317" s="193">
        <f>'Données projet'!D285</f>
        <v>0</v>
      </c>
      <c r="C317" s="204"/>
      <c r="D317" s="194">
        <f t="shared" si="2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">
      <c r="A318" s="192">
        <f>'Données projet'!A286</f>
        <v>0</v>
      </c>
      <c r="B318" s="193">
        <f>'Données projet'!D286</f>
        <v>0</v>
      </c>
      <c r="C318" s="204"/>
      <c r="D318" s="194">
        <f t="shared" si="2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">
      <c r="A319" s="192">
        <f>'Données projet'!A287</f>
        <v>0</v>
      </c>
      <c r="B319" s="193">
        <f>'Données projet'!D287</f>
        <v>0</v>
      </c>
      <c r="C319" s="204"/>
      <c r="D319" s="194">
        <f t="shared" si="2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">
      <c r="A320" s="192">
        <f>'Données projet'!A288</f>
        <v>0</v>
      </c>
      <c r="B320" s="193">
        <f>'Données projet'!D288</f>
        <v>0</v>
      </c>
      <c r="C320" s="204"/>
      <c r="D320" s="194">
        <f t="shared" si="2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">
      <c r="A321" s="192">
        <f>'Données projet'!A289</f>
        <v>0</v>
      </c>
      <c r="B321" s="193">
        <f>'Données projet'!D289</f>
        <v>0</v>
      </c>
      <c r="C321" s="209"/>
      <c r="D321" s="194">
        <f t="shared" si="2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emilie Parthuisot</cp:lastModifiedBy>
  <dcterms:created xsi:type="dcterms:W3CDTF">2021-02-01T08:22:39Z</dcterms:created>
  <dcterms:modified xsi:type="dcterms:W3CDTF">2022-08-03T16:06:16Z</dcterms:modified>
</cp:coreProperties>
</file>