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3-DEPOSE/103-R-VALLIER-CVL(45)-ORANGERIE-GFRClosDesSausseux-VitryAuxLoges&amp;ChâteauneufSurLoire/"/>
    </mc:Choice>
  </mc:AlternateContent>
  <xr:revisionPtr revIDLastSave="0" documentId="13_ncr:1_{5F75DBC2-78B0-0D4F-B6D0-77D7B5F977CE}" xr6:coauthVersionLast="47" xr6:coauthVersionMax="47" xr10:uidLastSave="{00000000-0000-0000-0000-000000000000}"/>
  <bookViews>
    <workbookView xWindow="0" yWindow="760" windowWidth="30240" windowHeight="1888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6" l="1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I20" i="6"/>
  <c r="E48" i="6"/>
  <c r="E17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BQ4" i="2" s="1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A4" i="2"/>
  <c r="BR4" i="2"/>
  <c r="FQ4" i="2"/>
  <c r="EC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A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FS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V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H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G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HI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HG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HI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H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FR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H130" i="2"/>
  <c r="HI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EC140" i="2"/>
  <c r="EB140" i="2"/>
  <c r="HG140" i="2"/>
  <c r="EX140" i="2"/>
  <c r="FS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FR144" i="2"/>
  <c r="HH144" i="2"/>
  <c r="HG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EA146" i="2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HH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AB156" i="2" l="1"/>
  <c r="FS156" i="2"/>
  <c r="EX156" i="2"/>
  <c r="DH156" i="2"/>
  <c r="HG156" i="2"/>
  <c r="HH156" i="2"/>
  <c r="E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HH157" i="2"/>
  <c r="HG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EW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HH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W162" i="2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EB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A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DG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W178" i="2"/>
  <c r="HH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EA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ED185" i="2"/>
  <c r="EW186" i="2"/>
  <c r="HH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HI192" i="2"/>
  <c r="EC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HI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X195" i="2" l="1"/>
  <c r="A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W197" i="2"/>
  <c r="E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HG199" i="2"/>
  <c r="EA199" i="2"/>
  <c r="EW199" i="2"/>
  <c r="EB199" i="2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R202" i="2" l="1"/>
  <c r="HH202" i="2"/>
  <c r="HI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63" i="2" l="1" a="1"/>
  <c r="AH163" i="2" s="1"/>
  <c r="AH19" i="2" a="1"/>
  <c r="AH19" i="2" s="1"/>
  <c r="AH199" i="2" a="1"/>
  <c r="AH199" i="2" s="1"/>
  <c r="AH90" i="2" a="1"/>
  <c r="AH90" i="2" s="1"/>
  <c r="AH62" i="2" a="1"/>
  <c r="AH62" i="2" s="1"/>
  <c r="AH166" i="2" a="1"/>
  <c r="AH166" i="2" s="1"/>
  <c r="AH151" i="2" a="1"/>
  <c r="AH151" i="2" s="1"/>
  <c r="DN56" i="2" a="1"/>
  <c r="DN56" i="2" s="1"/>
  <c r="DN184" i="2" a="1"/>
  <c r="DN184" i="2" s="1"/>
  <c r="AH92" i="2" a="1"/>
  <c r="AH92" i="2" s="1"/>
  <c r="DN103" i="2" a="1"/>
  <c r="DN103" i="2" s="1"/>
  <c r="DN86" i="2" a="1"/>
  <c r="DN86" i="2" s="1"/>
  <c r="DN152" i="2" a="1"/>
  <c r="DN152" i="2" s="1"/>
  <c r="DN155" i="2" a="1"/>
  <c r="DN155" i="2" s="1"/>
  <c r="FY165" i="2" a="1"/>
  <c r="FY165" i="2" s="1"/>
  <c r="FY47" i="2" a="1"/>
  <c r="FY47" i="2" s="1"/>
  <c r="FS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<sst xmlns="http://schemas.openxmlformats.org/spreadsheetml/2006/main" count="1171" uniqueCount="324">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</sst>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1.9546129014462814</c:v>
                </c:pt>
                <c:pt idx="2">
                  <c:v>2.4635285255777934</c:v>
                </c:pt>
                <c:pt idx="3">
                  <c:v>3.1054742325304883</c:v>
                </c:pt>
                <c:pt idx="4">
                  <c:v>3.9153537032955552</c:v>
                </c:pt>
                <c:pt idx="5">
                  <c:v>4.9372603514267803</c:v>
                </c:pt>
                <c:pt idx="6">
                  <c:v>6.2269046880085908</c:v>
                </c:pt>
                <c:pt idx="7">
                  <c:v>7.8546847559039286</c:v>
                </c:pt>
                <c:pt idx="8">
                  <c:v>9.9095704626131838</c:v>
                </c:pt>
                <c:pt idx="9">
                  <c:v>12.504018134000935</c:v>
                </c:pt>
                <c:pt idx="10">
                  <c:v>15.780189246382918</c:v>
                </c:pt>
                <c:pt idx="11">
                  <c:v>19.917820319438761</c:v>
                </c:pt>
                <c:pt idx="12">
                  <c:v>25.1441834846548</c:v>
                </c:pt>
                <c:pt idx="13">
                  <c:v>31.746694504644694</c:v>
                </c:pt>
                <c:pt idx="14">
                  <c:v>40.088873628764645</c:v>
                </c:pt>
                <c:pt idx="15">
                  <c:v>50.630553026757646</c:v>
                </c:pt>
                <c:pt idx="16">
                  <c:v>63.953463294357526</c:v>
                </c:pt>
                <c:pt idx="17">
                  <c:v>80.793634180615044</c:v>
                </c:pt>
                <c:pt idx="18">
                  <c:v>102.08242838022169</c:v>
                </c:pt>
                <c:pt idx="19">
                  <c:v>128.99851370055086</c:v>
                </c:pt>
                <c:pt idx="20">
                  <c:v>163.03369572627767</c:v>
                </c:pt>
                <c:pt idx="21">
                  <c:v>148.92117681845716</c:v>
                </c:pt>
                <c:pt idx="22">
                  <c:v>164.16619031478382</c:v>
                </c:pt>
                <c:pt idx="23">
                  <c:v>179.37774349751263</c:v>
                </c:pt>
                <c:pt idx="24">
                  <c:v>194.55907488827754</c:v>
                </c:pt>
                <c:pt idx="25">
                  <c:v>209.71287565552905</c:v>
                </c:pt>
                <c:pt idx="26">
                  <c:v>197.03957235369134</c:v>
                </c:pt>
                <c:pt idx="27">
                  <c:v>209.84716133516986</c:v>
                </c:pt>
                <c:pt idx="28">
                  <c:v>222.63671961067644</c:v>
                </c:pt>
                <c:pt idx="29">
                  <c:v>235.40942938165617</c:v>
                </c:pt>
                <c:pt idx="30">
                  <c:v>248.16633399094391</c:v>
                </c:pt>
                <c:pt idx="31">
                  <c:v>230.8856875553588</c:v>
                </c:pt>
                <c:pt idx="32">
                  <c:v>244.75980794430984</c:v>
                </c:pt>
                <c:pt idx="33">
                  <c:v>258.61606117471092</c:v>
                </c:pt>
                <c:pt idx="34">
                  <c:v>272.45553961179047</c:v>
                </c:pt>
                <c:pt idx="35">
                  <c:v>286.27921553631819</c:v>
                </c:pt>
                <c:pt idx="36">
                  <c:v>267.94690393303523</c:v>
                </c:pt>
                <c:pt idx="37">
                  <c:v>282.07831282557834</c:v>
                </c:pt>
                <c:pt idx="38">
                  <c:v>296.19386216181033</c:v>
                </c:pt>
                <c:pt idx="39">
                  <c:v>310.29441430197426</c:v>
                </c:pt>
                <c:pt idx="40">
                  <c:v>324.38074681372944</c:v>
                </c:pt>
                <c:pt idx="41">
                  <c:v>297.36605366141561</c:v>
                </c:pt>
                <c:pt idx="42">
                  <c:v>311.18257748874288</c:v>
                </c:pt>
                <c:pt idx="43">
                  <c:v>324.98549153849314</c:v>
                </c:pt>
                <c:pt idx="44">
                  <c:v>338.77545533194933</c:v>
                </c:pt>
                <c:pt idx="45">
                  <c:v>352.55307030742023</c:v>
                </c:pt>
                <c:pt idx="46">
                  <c:v>366.31888705338173</c:v>
                </c:pt>
                <c:pt idx="47">
                  <c:v>380.0734113972826</c:v>
                </c:pt>
                <c:pt idx="48">
                  <c:v>393.81710956675641</c:v>
                </c:pt>
                <c:pt idx="49">
                  <c:v>407.5504125926463</c:v>
                </c:pt>
                <c:pt idx="50">
                  <c:v>421.27372008753645</c:v>
                </c:pt>
                <c:pt idx="51">
                  <c:v>383.15396440146787</c:v>
                </c:pt>
                <c:pt idx="52">
                  <c:v>397.23134558771397</c:v>
                </c:pt>
                <c:pt idx="53">
                  <c:v>411.29792382234353</c:v>
                </c:pt>
                <c:pt idx="54">
                  <c:v>425.35412057895473</c:v>
                </c:pt>
                <c:pt idx="55">
                  <c:v>439.40032720552978</c:v>
                </c:pt>
                <c:pt idx="56">
                  <c:v>453.43690799207712</c:v>
                </c:pt>
                <c:pt idx="57">
                  <c:v>467.46420283865638</c:v>
                </c:pt>
                <c:pt idx="58">
                  <c:v>481.48252958651682</c:v>
                </c:pt>
                <c:pt idx="59">
                  <c:v>495.49218606365366</c:v>
                </c:pt>
                <c:pt idx="60">
                  <c:v>509.4934518870175</c:v>
                </c:pt>
                <c:pt idx="61">
                  <c:v>2.839744816738581E-12</c:v>
                </c:pt>
                <c:pt idx="62">
                  <c:v>2.839744816738581E-12</c:v>
                </c:pt>
                <c:pt idx="63">
                  <c:v>2.839744816738581E-12</c:v>
                </c:pt>
                <c:pt idx="64">
                  <c:v>2.839744816738581E-12</c:v>
                </c:pt>
                <c:pt idx="65">
                  <c:v>2.839744816738581E-12</c:v>
                </c:pt>
                <c:pt idx="66">
                  <c:v>2.839744816738581E-12</c:v>
                </c:pt>
                <c:pt idx="67">
                  <c:v>2.839744816738581E-12</c:v>
                </c:pt>
                <c:pt idx="68">
                  <c:v>2.839744816738581E-12</c:v>
                </c:pt>
                <c:pt idx="69">
                  <c:v>2.839744816738581E-12</c:v>
                </c:pt>
                <c:pt idx="70">
                  <c:v>2.839744816738581E-12</c:v>
                </c:pt>
                <c:pt idx="71">
                  <c:v>2.839744816738581E-12</c:v>
                </c:pt>
                <c:pt idx="72">
                  <c:v>2.839744816738581E-12</c:v>
                </c:pt>
                <c:pt idx="73">
                  <c:v>2.839744816738581E-12</c:v>
                </c:pt>
                <c:pt idx="74">
                  <c:v>2.839744816738581E-12</c:v>
                </c:pt>
                <c:pt idx="75">
                  <c:v>2.839744816738581E-12</c:v>
                </c:pt>
                <c:pt idx="76">
                  <c:v>2.839744816738581E-12</c:v>
                </c:pt>
                <c:pt idx="77">
                  <c:v>2.839744816738581E-12</c:v>
                </c:pt>
                <c:pt idx="78">
                  <c:v>2.839744816738581E-12</c:v>
                </c:pt>
                <c:pt idx="79">
                  <c:v>2.839744816738581E-12</c:v>
                </c:pt>
                <c:pt idx="80">
                  <c:v>2.839744816738581E-12</c:v>
                </c:pt>
                <c:pt idx="81">
                  <c:v>2.839744816738581E-12</c:v>
                </c:pt>
                <c:pt idx="82">
                  <c:v>2.839744816738581E-12</c:v>
                </c:pt>
                <c:pt idx="83">
                  <c:v>2.839744816738581E-12</c:v>
                </c:pt>
                <c:pt idx="84">
                  <c:v>2.839744816738581E-12</c:v>
                </c:pt>
                <c:pt idx="85">
                  <c:v>2.839744816738581E-12</c:v>
                </c:pt>
                <c:pt idx="86">
                  <c:v>2.839744816738581E-12</c:v>
                </c:pt>
                <c:pt idx="87">
                  <c:v>2.839744816738581E-12</c:v>
                </c:pt>
                <c:pt idx="88">
                  <c:v>2.839744816738581E-12</c:v>
                </c:pt>
                <c:pt idx="89">
                  <c:v>2.839744816738581E-12</c:v>
                </c:pt>
                <c:pt idx="90">
                  <c:v>2.839744816738581E-12</c:v>
                </c:pt>
                <c:pt idx="91">
                  <c:v>2.839744816738581E-12</c:v>
                </c:pt>
                <c:pt idx="92">
                  <c:v>2.839744816738581E-12</c:v>
                </c:pt>
                <c:pt idx="93">
                  <c:v>2.839744816738581E-12</c:v>
                </c:pt>
                <c:pt idx="94">
                  <c:v>2.839744816738581E-12</c:v>
                </c:pt>
                <c:pt idx="95">
                  <c:v>2.839744816738581E-12</c:v>
                </c:pt>
                <c:pt idx="96">
                  <c:v>2.839744816738581E-12</c:v>
                </c:pt>
                <c:pt idx="97">
                  <c:v>2.839744816738581E-12</c:v>
                </c:pt>
                <c:pt idx="98">
                  <c:v>2.839744816738581E-12</c:v>
                </c:pt>
                <c:pt idx="99">
                  <c:v>2.839744816738581E-12</c:v>
                </c:pt>
                <c:pt idx="100">
                  <c:v>2.839744816738581E-12</c:v>
                </c:pt>
                <c:pt idx="101">
                  <c:v>2.839744816738581E-12</c:v>
                </c:pt>
                <c:pt idx="102">
                  <c:v>2.839744816738581E-12</c:v>
                </c:pt>
                <c:pt idx="103">
                  <c:v>2.839744816738581E-12</c:v>
                </c:pt>
                <c:pt idx="104">
                  <c:v>2.839744816738581E-12</c:v>
                </c:pt>
                <c:pt idx="105">
                  <c:v>2.839744816738581E-12</c:v>
                </c:pt>
                <c:pt idx="106">
                  <c:v>2.839744816738581E-12</c:v>
                </c:pt>
                <c:pt idx="107">
                  <c:v>2.839744816738581E-12</c:v>
                </c:pt>
                <c:pt idx="108">
                  <c:v>2.839744816738581E-12</c:v>
                </c:pt>
                <c:pt idx="109">
                  <c:v>2.839744816738581E-12</c:v>
                </c:pt>
                <c:pt idx="110">
                  <c:v>2.839744816738581E-12</c:v>
                </c:pt>
                <c:pt idx="111">
                  <c:v>2.839744816738581E-12</c:v>
                </c:pt>
                <c:pt idx="112">
                  <c:v>2.839744816738581E-12</c:v>
                </c:pt>
                <c:pt idx="113">
                  <c:v>2.839744816738581E-12</c:v>
                </c:pt>
                <c:pt idx="114">
                  <c:v>2.839744816738581E-12</c:v>
                </c:pt>
                <c:pt idx="115">
                  <c:v>2.839744816738581E-12</c:v>
                </c:pt>
                <c:pt idx="116">
                  <c:v>2.839744816738581E-12</c:v>
                </c:pt>
                <c:pt idx="117">
                  <c:v>2.839744816738581E-12</c:v>
                </c:pt>
                <c:pt idx="118">
                  <c:v>2.839744816738581E-12</c:v>
                </c:pt>
                <c:pt idx="119">
                  <c:v>2.839744816738581E-12</c:v>
                </c:pt>
                <c:pt idx="120">
                  <c:v>2.839744816738581E-12</c:v>
                </c:pt>
                <c:pt idx="121">
                  <c:v>2.839744816738581E-12</c:v>
                </c:pt>
                <c:pt idx="122">
                  <c:v>2.839744816738581E-12</c:v>
                </c:pt>
                <c:pt idx="123">
                  <c:v>2.839744816738581E-12</c:v>
                </c:pt>
                <c:pt idx="124">
                  <c:v>2.839744816738581E-12</c:v>
                </c:pt>
                <c:pt idx="125">
                  <c:v>2.839744816738581E-12</c:v>
                </c:pt>
                <c:pt idx="126">
                  <c:v>2.839744816738581E-12</c:v>
                </c:pt>
                <c:pt idx="127">
                  <c:v>2.839744816738581E-12</c:v>
                </c:pt>
                <c:pt idx="128">
                  <c:v>2.839744816738581E-12</c:v>
                </c:pt>
                <c:pt idx="129">
                  <c:v>2.839744816738581E-12</c:v>
                </c:pt>
                <c:pt idx="130">
                  <c:v>2.839744816738581E-12</c:v>
                </c:pt>
                <c:pt idx="131">
                  <c:v>2.839744816738581E-12</c:v>
                </c:pt>
                <c:pt idx="132">
                  <c:v>2.839744816738581E-12</c:v>
                </c:pt>
                <c:pt idx="133">
                  <c:v>2.839744816738581E-12</c:v>
                </c:pt>
                <c:pt idx="134">
                  <c:v>2.839744816738581E-12</c:v>
                </c:pt>
                <c:pt idx="135">
                  <c:v>2.839744816738581E-12</c:v>
                </c:pt>
                <c:pt idx="136">
                  <c:v>2.839744816738581E-12</c:v>
                </c:pt>
                <c:pt idx="137">
                  <c:v>2.839744816738581E-12</c:v>
                </c:pt>
                <c:pt idx="138">
                  <c:v>2.839744816738581E-12</c:v>
                </c:pt>
                <c:pt idx="139">
                  <c:v>2.839744816738581E-12</c:v>
                </c:pt>
                <c:pt idx="140">
                  <c:v>2.839744816738581E-12</c:v>
                </c:pt>
                <c:pt idx="141">
                  <c:v>2.839744816738581E-12</c:v>
                </c:pt>
                <c:pt idx="142">
                  <c:v>2.839744816738581E-12</c:v>
                </c:pt>
                <c:pt idx="143">
                  <c:v>2.839744816738581E-12</c:v>
                </c:pt>
                <c:pt idx="144">
                  <c:v>2.839744816738581E-12</c:v>
                </c:pt>
                <c:pt idx="145">
                  <c:v>2.839744816738581E-12</c:v>
                </c:pt>
                <c:pt idx="146">
                  <c:v>2.839744816738581E-12</c:v>
                </c:pt>
                <c:pt idx="147">
                  <c:v>2.839744816738581E-12</c:v>
                </c:pt>
                <c:pt idx="148">
                  <c:v>2.839744816738581E-12</c:v>
                </c:pt>
                <c:pt idx="149">
                  <c:v>2.839744816738581E-12</c:v>
                </c:pt>
                <c:pt idx="150">
                  <c:v>2.839744816738581E-12</c:v>
                </c:pt>
                <c:pt idx="151">
                  <c:v>2.839744816738581E-12</c:v>
                </c:pt>
                <c:pt idx="152">
                  <c:v>2.839744816738581E-12</c:v>
                </c:pt>
                <c:pt idx="153">
                  <c:v>2.839744816738581E-12</c:v>
                </c:pt>
                <c:pt idx="154">
                  <c:v>2.839744816738581E-12</c:v>
                </c:pt>
                <c:pt idx="155">
                  <c:v>2.839744816738581E-12</c:v>
                </c:pt>
                <c:pt idx="156">
                  <c:v>2.839744816738581E-12</c:v>
                </c:pt>
                <c:pt idx="157">
                  <c:v>2.839744816738581E-12</c:v>
                </c:pt>
                <c:pt idx="158">
                  <c:v>2.839744816738581E-12</c:v>
                </c:pt>
                <c:pt idx="159">
                  <c:v>2.839744816738581E-12</c:v>
                </c:pt>
                <c:pt idx="160">
                  <c:v>2.839744816738581E-12</c:v>
                </c:pt>
                <c:pt idx="161">
                  <c:v>2.839744816738581E-12</c:v>
                </c:pt>
                <c:pt idx="162">
                  <c:v>2.839744816738581E-12</c:v>
                </c:pt>
                <c:pt idx="163">
                  <c:v>2.839744816738581E-12</c:v>
                </c:pt>
                <c:pt idx="164">
                  <c:v>2.839744816738581E-12</c:v>
                </c:pt>
                <c:pt idx="165">
                  <c:v>2.839744816738581E-12</c:v>
                </c:pt>
                <c:pt idx="166">
                  <c:v>2.839744816738581E-12</c:v>
                </c:pt>
                <c:pt idx="167">
                  <c:v>2.839744816738581E-12</c:v>
                </c:pt>
                <c:pt idx="168">
                  <c:v>2.839744816738581E-12</c:v>
                </c:pt>
                <c:pt idx="169">
                  <c:v>2.839744816738581E-12</c:v>
                </c:pt>
                <c:pt idx="170">
                  <c:v>2.839744816738581E-12</c:v>
                </c:pt>
                <c:pt idx="171">
                  <c:v>2.839744816738581E-12</c:v>
                </c:pt>
                <c:pt idx="172">
                  <c:v>2.839744816738581E-12</c:v>
                </c:pt>
                <c:pt idx="173">
                  <c:v>2.839744816738581E-12</c:v>
                </c:pt>
                <c:pt idx="174">
                  <c:v>2.839744816738581E-12</c:v>
                </c:pt>
                <c:pt idx="175">
                  <c:v>2.839744816738581E-12</c:v>
                </c:pt>
                <c:pt idx="176">
                  <c:v>2.839744816738581E-12</c:v>
                </c:pt>
                <c:pt idx="177">
                  <c:v>2.839744816738581E-12</c:v>
                </c:pt>
                <c:pt idx="178">
                  <c:v>2.839744816738581E-12</c:v>
                </c:pt>
                <c:pt idx="179">
                  <c:v>2.839744816738581E-12</c:v>
                </c:pt>
                <c:pt idx="180">
                  <c:v>2.839744816738581E-12</c:v>
                </c:pt>
                <c:pt idx="181">
                  <c:v>2.839744816738581E-12</c:v>
                </c:pt>
                <c:pt idx="182">
                  <c:v>2.839744816738581E-12</c:v>
                </c:pt>
                <c:pt idx="183">
                  <c:v>2.839744816738581E-12</c:v>
                </c:pt>
                <c:pt idx="184">
                  <c:v>2.839744816738581E-12</c:v>
                </c:pt>
                <c:pt idx="185">
                  <c:v>2.839744816738581E-12</c:v>
                </c:pt>
                <c:pt idx="186">
                  <c:v>2.839744816738581E-12</c:v>
                </c:pt>
                <c:pt idx="187">
                  <c:v>2.839744816738581E-12</c:v>
                </c:pt>
                <c:pt idx="188">
                  <c:v>2.839744816738581E-12</c:v>
                </c:pt>
                <c:pt idx="189">
                  <c:v>2.839744816738581E-12</c:v>
                </c:pt>
                <c:pt idx="190">
                  <c:v>2.839744816738581E-12</c:v>
                </c:pt>
                <c:pt idx="191">
                  <c:v>2.839744816738581E-12</c:v>
                </c:pt>
                <c:pt idx="192">
                  <c:v>2.839744816738581E-12</c:v>
                </c:pt>
                <c:pt idx="193">
                  <c:v>2.839744816738581E-12</c:v>
                </c:pt>
                <c:pt idx="194">
                  <c:v>2.839744816738581E-12</c:v>
                </c:pt>
                <c:pt idx="195">
                  <c:v>2.839744816738581E-12</c:v>
                </c:pt>
                <c:pt idx="196">
                  <c:v>2.839744816738581E-12</c:v>
                </c:pt>
                <c:pt idx="197">
                  <c:v>2.839744816738581E-12</c:v>
                </c:pt>
                <c:pt idx="198">
                  <c:v>2.839744816738581E-12</c:v>
                </c:pt>
                <c:pt idx="199">
                  <c:v>2.839744816738581E-12</c:v>
                </c:pt>
                <c:pt idx="200">
                  <c:v>2.839744816738581E-12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2.9509973995419365</c:v>
                </c:pt>
                <c:pt idx="2">
                  <c:v>3.8993800326575379</c:v>
                </c:pt>
                <c:pt idx="3">
                  <c:v>5.1537861360321822</c:v>
                </c:pt>
                <c:pt idx="4">
                  <c:v>6.8133379322758998</c:v>
                </c:pt>
                <c:pt idx="5">
                  <c:v>9.0093769867322209</c:v>
                </c:pt>
                <c:pt idx="6">
                  <c:v>11.915971094051232</c:v>
                </c:pt>
                <c:pt idx="7">
                  <c:v>15.763857741989639</c:v>
                </c:pt>
                <c:pt idx="8">
                  <c:v>20.858951242140964</c:v>
                </c:pt>
                <c:pt idx="9">
                  <c:v>27.606911179441123</c:v>
                </c:pt>
                <c:pt idx="10">
                  <c:v>36.545762498237771</c:v>
                </c:pt>
                <c:pt idx="11">
                  <c:v>47.934246794954014</c:v>
                </c:pt>
                <c:pt idx="12">
                  <c:v>59.250271506484466</c:v>
                </c:pt>
                <c:pt idx="13">
                  <c:v>70.509737306549212</c:v>
                </c:pt>
                <c:pt idx="14">
                  <c:v>81.722993273441304</c:v>
                </c:pt>
                <c:pt idx="15">
                  <c:v>92.897294511118176</c:v>
                </c:pt>
                <c:pt idx="16">
                  <c:v>108.25587760652974</c:v>
                </c:pt>
                <c:pt idx="17">
                  <c:v>123.56076610518875</c:v>
                </c:pt>
                <c:pt idx="18">
                  <c:v>138.8195597916295</c:v>
                </c:pt>
                <c:pt idx="19">
                  <c:v>154.03804513155393</c:v>
                </c:pt>
                <c:pt idx="20">
                  <c:v>169.22076873606747</c:v>
                </c:pt>
                <c:pt idx="21">
                  <c:v>129.28787235572034</c:v>
                </c:pt>
                <c:pt idx="22">
                  <c:v>144.53094857798482</c:v>
                </c:pt>
                <c:pt idx="23">
                  <c:v>159.73554413485536</c:v>
                </c:pt>
                <c:pt idx="24">
                  <c:v>174.90584046860877</c:v>
                </c:pt>
                <c:pt idx="25">
                  <c:v>190.04523308883151</c:v>
                </c:pt>
                <c:pt idx="26">
                  <c:v>169.22076873606747</c:v>
                </c:pt>
                <c:pt idx="27">
                  <c:v>184.37139305479852</c:v>
                </c:pt>
                <c:pt idx="28">
                  <c:v>199.49292850815041</c:v>
                </c:pt>
                <c:pt idx="29">
                  <c:v>214.58789130305843</c:v>
                </c:pt>
                <c:pt idx="30">
                  <c:v>229.65841439261331</c:v>
                </c:pt>
                <c:pt idx="31">
                  <c:v>205.53397529366751</c:v>
                </c:pt>
                <c:pt idx="32">
                  <c:v>219.11152587483457</c:v>
                </c:pt>
                <c:pt idx="33">
                  <c:v>232.66975188863589</c:v>
                </c:pt>
                <c:pt idx="34">
                  <c:v>246.20993843849078</c:v>
                </c:pt>
                <c:pt idx="35">
                  <c:v>259.73321764902875</c:v>
                </c:pt>
                <c:pt idx="36">
                  <c:v>235.30394147234665</c:v>
                </c:pt>
                <c:pt idx="37">
                  <c:v>248.46496383915087</c:v>
                </c:pt>
                <c:pt idx="38">
                  <c:v>261.61017170872896</c:v>
                </c:pt>
                <c:pt idx="39">
                  <c:v>274.74047191396772</c:v>
                </c:pt>
                <c:pt idx="40">
                  <c:v>287.85667749117118</c:v>
                </c:pt>
                <c:pt idx="41">
                  <c:v>262.36086804994295</c:v>
                </c:pt>
                <c:pt idx="42">
                  <c:v>274.36551974723062</c:v>
                </c:pt>
                <c:pt idx="43">
                  <c:v>286.35837196420749</c:v>
                </c:pt>
                <c:pt idx="44">
                  <c:v>298.33998870460442</c:v>
                </c:pt>
                <c:pt idx="45">
                  <c:v>310.31088495066086</c:v>
                </c:pt>
                <c:pt idx="46">
                  <c:v>285.98376820295522</c:v>
                </c:pt>
                <c:pt idx="47">
                  <c:v>297.21717518827558</c:v>
                </c:pt>
                <c:pt idx="48">
                  <c:v>308.44111949657554</c:v>
                </c:pt>
                <c:pt idx="49">
                  <c:v>319.65599415471291</c:v>
                </c:pt>
                <c:pt idx="50">
                  <c:v>330.86216234726913</c:v>
                </c:pt>
                <c:pt idx="51">
                  <c:v>306.94512587259828</c:v>
                </c:pt>
                <c:pt idx="52">
                  <c:v>316.66622670451306</c:v>
                </c:pt>
                <c:pt idx="53">
                  <c:v>326.38071774395229</c:v>
                </c:pt>
                <c:pt idx="54">
                  <c:v>336.08882358493901</c:v>
                </c:pt>
                <c:pt idx="55">
                  <c:v>345.79075477962851</c:v>
                </c:pt>
                <c:pt idx="56">
                  <c:v>323.39233379750681</c:v>
                </c:pt>
                <c:pt idx="57">
                  <c:v>332.72903457884451</c:v>
                </c:pt>
                <c:pt idx="58">
                  <c:v>342.05996063814399</c:v>
                </c:pt>
                <c:pt idx="59">
                  <c:v>351.38529181133845</c:v>
                </c:pt>
                <c:pt idx="60">
                  <c:v>360.70519760433905</c:v>
                </c:pt>
                <c:pt idx="61">
                  <c:v>339.07468141574077</c:v>
                </c:pt>
                <c:pt idx="62">
                  <c:v>347.28282429814129</c:v>
                </c:pt>
                <c:pt idx="63">
                  <c:v>355.4867090941064</c:v>
                </c:pt>
                <c:pt idx="64">
                  <c:v>363.68644800338274</c:v>
                </c:pt>
                <c:pt idx="65">
                  <c:v>371.88214774985954</c:v>
                </c:pt>
                <c:pt idx="66">
                  <c:v>351.75819111537254</c:v>
                </c:pt>
                <c:pt idx="67">
                  <c:v>359.58708999068585</c:v>
                </c:pt>
                <c:pt idx="68">
                  <c:v>367.41226056988808</c:v>
                </c:pt>
                <c:pt idx="69">
                  <c:v>375.23379351840316</c:v>
                </c:pt>
                <c:pt idx="70">
                  <c:v>383.05177541071203</c:v>
                </c:pt>
                <c:pt idx="71">
                  <c:v>363.31382101236346</c:v>
                </c:pt>
                <c:pt idx="72">
                  <c:v>369.64735159591163</c:v>
                </c:pt>
                <c:pt idx="73">
                  <c:v>375.97851488636002</c:v>
                </c:pt>
                <c:pt idx="74">
                  <c:v>382.30735640887292</c:v>
                </c:pt>
                <c:pt idx="75">
                  <c:v>388.63392005694874</c:v>
                </c:pt>
                <c:pt idx="76">
                  <c:v>372.25458524998072</c:v>
                </c:pt>
                <c:pt idx="77">
                  <c:v>378.2124864803136</c:v>
                </c:pt>
                <c:pt idx="78">
                  <c:v>384.16834495549637</c:v>
                </c:pt>
                <c:pt idx="79">
                  <c:v>390.12219684408677</c:v>
                </c:pt>
                <c:pt idx="80">
                  <c:v>396.07407711953459</c:v>
                </c:pt>
                <c:pt idx="81">
                  <c:v>380.81842375711989</c:v>
                </c:pt>
                <c:pt idx="82">
                  <c:v>386.02913755517028</c:v>
                </c:pt>
                <c:pt idx="83">
                  <c:v>391.23832354179837</c:v>
                </c:pt>
                <c:pt idx="84">
                  <c:v>396.4460049513109</c:v>
                </c:pt>
                <c:pt idx="85">
                  <c:v>401.65220435716361</c:v>
                </c:pt>
                <c:pt idx="86">
                  <c:v>388.26183154386268</c:v>
                </c:pt>
                <c:pt idx="87">
                  <c:v>393.47036990588708</c:v>
                </c:pt>
                <c:pt idx="88">
                  <c:v>398.67741344442726</c:v>
                </c:pt>
                <c:pt idx="89">
                  <c:v>403.88298445816571</c:v>
                </c:pt>
                <c:pt idx="90">
                  <c:v>409.08710462349336</c:v>
                </c:pt>
                <c:pt idx="91">
                  <c:v>8.0726688341261168E-13</c:v>
                </c:pt>
                <c:pt idx="92">
                  <c:v>8.0726688341261168E-13</c:v>
                </c:pt>
                <c:pt idx="93">
                  <c:v>8.0726688341261168E-13</c:v>
                </c:pt>
                <c:pt idx="94">
                  <c:v>8.0726688341261168E-13</c:v>
                </c:pt>
                <c:pt idx="95">
                  <c:v>8.0726688341261168E-13</c:v>
                </c:pt>
                <c:pt idx="96">
                  <c:v>8.0726688341261168E-13</c:v>
                </c:pt>
                <c:pt idx="97">
                  <c:v>8.0726688341261168E-13</c:v>
                </c:pt>
                <c:pt idx="98">
                  <c:v>8.0726688341261168E-13</c:v>
                </c:pt>
                <c:pt idx="99">
                  <c:v>8.0726688341261168E-13</c:v>
                </c:pt>
                <c:pt idx="100">
                  <c:v>8.0726688341261168E-13</c:v>
                </c:pt>
                <c:pt idx="101">
                  <c:v>8.0726688341261168E-13</c:v>
                </c:pt>
                <c:pt idx="102">
                  <c:v>8.0726688341261168E-13</c:v>
                </c:pt>
                <c:pt idx="103">
                  <c:v>8.0726688341261168E-13</c:v>
                </c:pt>
                <c:pt idx="104">
                  <c:v>8.0726688341261168E-13</c:v>
                </c:pt>
                <c:pt idx="105">
                  <c:v>8.0726688341261168E-13</c:v>
                </c:pt>
                <c:pt idx="106">
                  <c:v>8.0726688341261168E-13</c:v>
                </c:pt>
                <c:pt idx="107">
                  <c:v>8.0726688341261168E-13</c:v>
                </c:pt>
                <c:pt idx="108">
                  <c:v>8.0726688341261168E-13</c:v>
                </c:pt>
                <c:pt idx="109">
                  <c:v>8.0726688341261168E-13</c:v>
                </c:pt>
                <c:pt idx="110">
                  <c:v>8.0726688341261168E-13</c:v>
                </c:pt>
                <c:pt idx="111">
                  <c:v>8.0726688341261168E-13</c:v>
                </c:pt>
                <c:pt idx="112">
                  <c:v>8.0726688341261168E-13</c:v>
                </c:pt>
                <c:pt idx="113">
                  <c:v>8.0726688341261168E-13</c:v>
                </c:pt>
                <c:pt idx="114">
                  <c:v>8.0726688341261168E-13</c:v>
                </c:pt>
                <c:pt idx="115">
                  <c:v>8.0726688341261168E-13</c:v>
                </c:pt>
                <c:pt idx="116">
                  <c:v>8.0726688341261168E-13</c:v>
                </c:pt>
                <c:pt idx="117">
                  <c:v>8.0726688341261168E-13</c:v>
                </c:pt>
                <c:pt idx="118">
                  <c:v>8.0726688341261168E-13</c:v>
                </c:pt>
                <c:pt idx="119">
                  <c:v>8.0726688341261168E-13</c:v>
                </c:pt>
                <c:pt idx="120">
                  <c:v>8.0726688341261168E-13</c:v>
                </c:pt>
                <c:pt idx="121">
                  <c:v>8.0726688341261168E-13</c:v>
                </c:pt>
                <c:pt idx="122">
                  <c:v>8.0726688341261168E-13</c:v>
                </c:pt>
                <c:pt idx="123">
                  <c:v>8.0726688341261168E-13</c:v>
                </c:pt>
                <c:pt idx="124">
                  <c:v>8.0726688341261168E-13</c:v>
                </c:pt>
                <c:pt idx="125">
                  <c:v>8.0726688341261168E-13</c:v>
                </c:pt>
                <c:pt idx="126">
                  <c:v>8.0726688341261168E-13</c:v>
                </c:pt>
                <c:pt idx="127">
                  <c:v>8.0726688341261168E-13</c:v>
                </c:pt>
                <c:pt idx="128">
                  <c:v>8.0726688341261168E-13</c:v>
                </c:pt>
                <c:pt idx="129">
                  <c:v>8.0726688341261168E-13</c:v>
                </c:pt>
                <c:pt idx="130">
                  <c:v>8.0726688341261168E-13</c:v>
                </c:pt>
                <c:pt idx="131">
                  <c:v>8.0726688341261168E-13</c:v>
                </c:pt>
                <c:pt idx="132">
                  <c:v>8.0726688341261168E-13</c:v>
                </c:pt>
                <c:pt idx="133">
                  <c:v>8.0726688341261168E-13</c:v>
                </c:pt>
                <c:pt idx="134">
                  <c:v>8.0726688341261168E-13</c:v>
                </c:pt>
                <c:pt idx="135">
                  <c:v>8.0726688341261168E-13</c:v>
                </c:pt>
                <c:pt idx="136">
                  <c:v>8.0726688341261168E-13</c:v>
                </c:pt>
                <c:pt idx="137">
                  <c:v>8.0726688341261168E-13</c:v>
                </c:pt>
                <c:pt idx="138">
                  <c:v>8.0726688341261168E-13</c:v>
                </c:pt>
                <c:pt idx="139">
                  <c:v>8.0726688341261168E-13</c:v>
                </c:pt>
                <c:pt idx="140">
                  <c:v>8.0726688341261168E-13</c:v>
                </c:pt>
                <c:pt idx="141">
                  <c:v>8.0726688341261168E-13</c:v>
                </c:pt>
                <c:pt idx="142">
                  <c:v>8.0726688341261168E-13</c:v>
                </c:pt>
                <c:pt idx="143">
                  <c:v>8.0726688341261168E-13</c:v>
                </c:pt>
                <c:pt idx="144">
                  <c:v>8.0726688341261168E-13</c:v>
                </c:pt>
                <c:pt idx="145">
                  <c:v>8.0726688341261168E-13</c:v>
                </c:pt>
                <c:pt idx="146">
                  <c:v>8.0726688341261168E-13</c:v>
                </c:pt>
                <c:pt idx="147">
                  <c:v>8.0726688341261168E-13</c:v>
                </c:pt>
                <c:pt idx="148">
                  <c:v>8.0726688341261168E-13</c:v>
                </c:pt>
                <c:pt idx="149">
                  <c:v>8.0726688341261168E-13</c:v>
                </c:pt>
                <c:pt idx="150">
                  <c:v>8.0726688341261168E-13</c:v>
                </c:pt>
                <c:pt idx="151">
                  <c:v>8.0726688341261168E-13</c:v>
                </c:pt>
                <c:pt idx="152">
                  <c:v>8.0726688341261168E-13</c:v>
                </c:pt>
                <c:pt idx="153">
                  <c:v>8.0726688341261168E-13</c:v>
                </c:pt>
                <c:pt idx="154">
                  <c:v>8.0726688341261168E-13</c:v>
                </c:pt>
                <c:pt idx="155">
                  <c:v>8.0726688341261168E-13</c:v>
                </c:pt>
                <c:pt idx="156">
                  <c:v>8.0726688341261168E-13</c:v>
                </c:pt>
                <c:pt idx="157">
                  <c:v>8.0726688341261168E-13</c:v>
                </c:pt>
                <c:pt idx="158">
                  <c:v>8.0726688341261168E-13</c:v>
                </c:pt>
                <c:pt idx="159">
                  <c:v>8.0726688341261168E-13</c:v>
                </c:pt>
                <c:pt idx="160">
                  <c:v>8.0726688341261168E-13</c:v>
                </c:pt>
                <c:pt idx="161">
                  <c:v>8.0726688341261168E-13</c:v>
                </c:pt>
                <c:pt idx="162">
                  <c:v>8.0726688341261168E-13</c:v>
                </c:pt>
                <c:pt idx="163">
                  <c:v>8.0726688341261168E-13</c:v>
                </c:pt>
                <c:pt idx="164">
                  <c:v>8.0726688341261168E-13</c:v>
                </c:pt>
                <c:pt idx="165">
                  <c:v>8.0726688341261168E-13</c:v>
                </c:pt>
                <c:pt idx="166">
                  <c:v>8.0726688341261168E-13</c:v>
                </c:pt>
                <c:pt idx="167">
                  <c:v>8.0726688341261168E-13</c:v>
                </c:pt>
                <c:pt idx="168">
                  <c:v>8.0726688341261168E-13</c:v>
                </c:pt>
                <c:pt idx="169">
                  <c:v>8.0726688341261168E-13</c:v>
                </c:pt>
                <c:pt idx="170">
                  <c:v>8.0726688341261168E-13</c:v>
                </c:pt>
                <c:pt idx="171">
                  <c:v>8.0726688341261168E-13</c:v>
                </c:pt>
                <c:pt idx="172">
                  <c:v>8.0726688341261168E-13</c:v>
                </c:pt>
                <c:pt idx="173">
                  <c:v>8.0726688341261168E-13</c:v>
                </c:pt>
                <c:pt idx="174">
                  <c:v>8.0726688341261168E-13</c:v>
                </c:pt>
                <c:pt idx="175">
                  <c:v>8.0726688341261168E-13</c:v>
                </c:pt>
                <c:pt idx="176">
                  <c:v>8.0726688341261168E-13</c:v>
                </c:pt>
                <c:pt idx="177">
                  <c:v>8.0726688341261168E-13</c:v>
                </c:pt>
                <c:pt idx="178">
                  <c:v>8.0726688341261168E-13</c:v>
                </c:pt>
                <c:pt idx="179">
                  <c:v>8.0726688341261168E-13</c:v>
                </c:pt>
                <c:pt idx="180">
                  <c:v>8.0726688341261168E-13</c:v>
                </c:pt>
                <c:pt idx="181">
                  <c:v>8.0726688341261168E-13</c:v>
                </c:pt>
                <c:pt idx="182">
                  <c:v>8.0726688341261168E-13</c:v>
                </c:pt>
                <c:pt idx="183">
                  <c:v>8.0726688341261168E-13</c:v>
                </c:pt>
                <c:pt idx="184">
                  <c:v>8.0726688341261168E-13</c:v>
                </c:pt>
                <c:pt idx="185">
                  <c:v>8.0726688341261168E-13</c:v>
                </c:pt>
                <c:pt idx="186">
                  <c:v>8.0726688341261168E-13</c:v>
                </c:pt>
                <c:pt idx="187">
                  <c:v>8.0726688341261168E-13</c:v>
                </c:pt>
                <c:pt idx="188">
                  <c:v>8.0726688341261168E-13</c:v>
                </c:pt>
                <c:pt idx="189">
                  <c:v>8.0726688341261168E-13</c:v>
                </c:pt>
                <c:pt idx="190">
                  <c:v>8.0726688341261168E-13</c:v>
                </c:pt>
                <c:pt idx="191">
                  <c:v>8.0726688341261168E-13</c:v>
                </c:pt>
                <c:pt idx="192">
                  <c:v>8.0726688341261168E-13</c:v>
                </c:pt>
                <c:pt idx="193">
                  <c:v>8.0726688341261168E-13</c:v>
                </c:pt>
                <c:pt idx="194">
                  <c:v>8.0726688341261168E-13</c:v>
                </c:pt>
                <c:pt idx="195">
                  <c:v>8.0726688341261168E-13</c:v>
                </c:pt>
                <c:pt idx="196">
                  <c:v>8.0726688341261168E-13</c:v>
                </c:pt>
                <c:pt idx="197">
                  <c:v>8.0726688341261168E-13</c:v>
                </c:pt>
                <c:pt idx="198">
                  <c:v>8.0726688341261168E-13</c:v>
                </c:pt>
                <c:pt idx="199">
                  <c:v>8.0726688341261168E-13</c:v>
                </c:pt>
                <c:pt idx="200">
                  <c:v>8.0726688341261168E-13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80" zoomScaleNormal="80" workbookViewId="0">
      <selection activeCell="C51" sqref="C51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7" t="s">
        <v>192</v>
      </c>
      <c r="C3" s="298"/>
      <c r="D3" s="298"/>
      <c r="E3" s="298"/>
      <c r="F3" s="299"/>
      <c r="G3" s="95"/>
      <c r="I3" s="227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7"/>
      <c r="I4" s="227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3" t="s">
        <v>231</v>
      </c>
      <c r="B5" s="303"/>
      <c r="C5" s="26">
        <v>2.2999999999999998</v>
      </c>
      <c r="D5" s="304" t="s">
        <v>229</v>
      </c>
      <c r="E5" s="305"/>
      <c r="F5" s="97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39"/>
      <c r="H6" s="240"/>
      <c r="I6" s="240"/>
      <c r="J6" s="247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01" t="s">
        <v>226</v>
      </c>
      <c r="B7" s="301"/>
      <c r="C7" s="97"/>
      <c r="D7" s="97"/>
      <c r="E7" s="5"/>
      <c r="F7" s="97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36</v>
      </c>
      <c r="C9" s="35">
        <v>0.98</v>
      </c>
      <c r="D9" s="36">
        <f t="shared" ref="D9:D18" si="0">C9*$C$5</f>
        <v>2.254</v>
      </c>
      <c r="E9" s="37">
        <v>60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13</v>
      </c>
      <c r="C10" s="35">
        <v>0.02</v>
      </c>
      <c r="D10" s="36">
        <f t="shared" si="0"/>
        <v>4.5999999999999999E-2</v>
      </c>
      <c r="E10" s="37">
        <v>90</v>
      </c>
      <c r="F10" s="38" t="str">
        <f t="array" ref="F10">IF(E10="","",IF(INDEX(A:A,MAX(IF(ISNUMBER($A$62:$A$81),ROW($A$62:$A$81),"")))&lt;&gt;E10,"Corrigez : révolution incorrecte","OK"))</f>
        <v>OK</v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1</v>
      </c>
      <c r="D19" s="41">
        <f>SUM(D9:D18)</f>
        <v>2.2999999999999998</v>
      </c>
      <c r="E19" s="5"/>
      <c r="F19" s="101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00" t="s">
        <v>232</v>
      </c>
      <c r="B22" s="300"/>
      <c r="C22" s="99"/>
      <c r="H22" s="229"/>
      <c r="I22" s="247"/>
      <c r="J22" s="247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2" t="s">
        <v>227</v>
      </c>
      <c r="B30" s="302"/>
      <c r="D30" s="249"/>
      <c r="H30" s="247"/>
      <c r="I30" s="247"/>
      <c r="J30" s="247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Pin maritime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20</v>
      </c>
      <c r="B36" s="63">
        <v>122.33</v>
      </c>
      <c r="C36" s="63">
        <v>1</v>
      </c>
      <c r="D36" s="63">
        <v>22.58</v>
      </c>
      <c r="E36" s="54">
        <v>0</v>
      </c>
      <c r="F36" s="54">
        <v>0.56000000000000005</v>
      </c>
      <c r="G36" s="54">
        <v>0.44</v>
      </c>
      <c r="H36" s="54"/>
      <c r="I36" s="52">
        <f>IFERROR(B36/A36,"")</f>
        <v>6.1165000000000003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25</v>
      </c>
      <c r="B37" s="63">
        <v>158.38</v>
      </c>
      <c r="C37" s="63">
        <v>2</v>
      </c>
      <c r="D37" s="63">
        <v>19.72</v>
      </c>
      <c r="E37" s="54">
        <v>0</v>
      </c>
      <c r="F37" s="54">
        <v>0.56000000000000005</v>
      </c>
      <c r="G37" s="54">
        <v>0.44</v>
      </c>
      <c r="H37" s="54"/>
      <c r="I37" s="56">
        <f t="shared" ref="I37:I55" si="1">IF(A37&lt;&gt;0,(B37-(B36-D36))/(A37-A36),"")</f>
        <v>11.725999999999999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30</v>
      </c>
      <c r="B38" s="63">
        <v>188.22</v>
      </c>
      <c r="C38" s="63">
        <v>3</v>
      </c>
      <c r="D38" s="63">
        <v>24.2</v>
      </c>
      <c r="E38" s="54">
        <v>0.2</v>
      </c>
      <c r="F38" s="54">
        <v>0.45</v>
      </c>
      <c r="G38" s="54">
        <v>0.35</v>
      </c>
      <c r="H38" s="54"/>
      <c r="I38" s="56">
        <f t="shared" si="1"/>
        <v>9.9120000000000008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35</v>
      </c>
      <c r="B39" s="63">
        <v>217.9</v>
      </c>
      <c r="C39" s="63">
        <v>4</v>
      </c>
      <c r="D39" s="63">
        <v>25.3</v>
      </c>
      <c r="E39" s="54">
        <v>0.4</v>
      </c>
      <c r="F39" s="54">
        <v>0.34</v>
      </c>
      <c r="G39" s="54">
        <v>0.26</v>
      </c>
      <c r="H39" s="54"/>
      <c r="I39" s="52">
        <f t="shared" si="1"/>
        <v>10.776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40</v>
      </c>
      <c r="B40" s="63">
        <v>247.66</v>
      </c>
      <c r="C40" s="63">
        <v>5</v>
      </c>
      <c r="D40" s="63">
        <v>31.9</v>
      </c>
      <c r="E40" s="54">
        <v>0.6</v>
      </c>
      <c r="F40" s="54">
        <v>0.22</v>
      </c>
      <c r="G40" s="54">
        <v>0.18</v>
      </c>
      <c r="H40" s="54"/>
      <c r="I40" s="52">
        <f t="shared" si="1"/>
        <v>11.012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50</v>
      </c>
      <c r="B41" s="63">
        <v>323.67</v>
      </c>
      <c r="C41" s="63">
        <v>6</v>
      </c>
      <c r="D41" s="63">
        <v>41.01</v>
      </c>
      <c r="E41" s="54">
        <v>0.8</v>
      </c>
      <c r="F41" s="54">
        <v>0.11</v>
      </c>
      <c r="G41" s="54">
        <v>0.09</v>
      </c>
      <c r="H41" s="54"/>
      <c r="I41" s="56">
        <f t="shared" si="1"/>
        <v>10.791000000000002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>
        <v>60</v>
      </c>
      <c r="B42" s="63">
        <v>393.21</v>
      </c>
      <c r="C42" s="63">
        <v>7</v>
      </c>
      <c r="D42" s="63">
        <v>393.21</v>
      </c>
      <c r="E42" s="54">
        <v>0.9</v>
      </c>
      <c r="F42" s="54">
        <v>0.06</v>
      </c>
      <c r="G42" s="54">
        <v>0.04</v>
      </c>
      <c r="H42" s="54"/>
      <c r="I42" s="56">
        <f t="shared" si="1"/>
        <v>11.054999999999996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82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82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2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2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2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2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2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2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2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2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2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2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2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Chêne rouge d'Amérique</v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>
        <v>10</v>
      </c>
      <c r="B62" s="63">
        <v>18</v>
      </c>
      <c r="C62" s="63">
        <v>1</v>
      </c>
      <c r="D62" s="63">
        <v>0</v>
      </c>
      <c r="E62" s="54">
        <v>0</v>
      </c>
      <c r="F62" s="54"/>
      <c r="G62" s="54"/>
      <c r="H62" s="54">
        <v>1</v>
      </c>
      <c r="I62" s="56">
        <f>IFERROR(B62/A62,"")</f>
        <v>1.8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>
        <v>15</v>
      </c>
      <c r="B63" s="63">
        <v>47</v>
      </c>
      <c r="C63" s="63">
        <v>2</v>
      </c>
      <c r="D63" s="63">
        <v>0</v>
      </c>
      <c r="E63" s="54">
        <v>0</v>
      </c>
      <c r="F63" s="54"/>
      <c r="G63" s="54"/>
      <c r="H63" s="54">
        <v>1</v>
      </c>
      <c r="I63" s="52">
        <f>IF(A63&lt;&gt;0,(B63-(B62-D62))/(A63-A62),"")</f>
        <v>5.8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>
        <v>20</v>
      </c>
      <c r="B64" s="63">
        <v>87</v>
      </c>
      <c r="C64" s="63">
        <v>3</v>
      </c>
      <c r="D64" s="63">
        <v>29</v>
      </c>
      <c r="E64" s="54">
        <v>0</v>
      </c>
      <c r="F64" s="54"/>
      <c r="G64" s="54"/>
      <c r="H64" s="54">
        <v>1</v>
      </c>
      <c r="I64" s="52">
        <f>IF(A64&lt;&gt;0,(B64-(B63-D63))/(A64-A63),"")</f>
        <v>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>
        <v>25</v>
      </c>
      <c r="B65" s="63">
        <v>98</v>
      </c>
      <c r="C65" s="63">
        <v>4</v>
      </c>
      <c r="D65" s="63">
        <v>19</v>
      </c>
      <c r="E65" s="54">
        <v>0</v>
      </c>
      <c r="F65" s="54"/>
      <c r="G65" s="54"/>
      <c r="H65" s="54">
        <v>1</v>
      </c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>
        <v>30</v>
      </c>
      <c r="B66" s="63">
        <v>119</v>
      </c>
      <c r="C66" s="63">
        <v>5</v>
      </c>
      <c r="D66" s="63">
        <v>20</v>
      </c>
      <c r="E66" s="54">
        <v>0</v>
      </c>
      <c r="F66" s="54"/>
      <c r="G66" s="54"/>
      <c r="H66" s="54">
        <v>1</v>
      </c>
      <c r="I66" s="52">
        <f t="shared" ref="I66:I81" si="2">IF(A66&lt;&gt;0,(B66-(B65-D65))/(A66-A65),"")</f>
        <v>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>
        <v>35</v>
      </c>
      <c r="B67" s="63">
        <v>135</v>
      </c>
      <c r="C67" s="63">
        <v>6</v>
      </c>
      <c r="D67" s="63">
        <v>20</v>
      </c>
      <c r="E67" s="54">
        <v>0.2</v>
      </c>
      <c r="F67" s="54"/>
      <c r="G67" s="54"/>
      <c r="H67" s="54">
        <v>0.8</v>
      </c>
      <c r="I67" s="52">
        <f t="shared" si="2"/>
        <v>7.2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>
        <v>40</v>
      </c>
      <c r="B68" s="63">
        <v>150</v>
      </c>
      <c r="C68" s="63">
        <v>7</v>
      </c>
      <c r="D68" s="63">
        <v>20</v>
      </c>
      <c r="E68" s="54">
        <v>0.3</v>
      </c>
      <c r="F68" s="54"/>
      <c r="G68" s="54"/>
      <c r="H68" s="54">
        <v>0.7</v>
      </c>
      <c r="I68" s="52">
        <f t="shared" si="2"/>
        <v>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>
        <v>45</v>
      </c>
      <c r="B69" s="53">
        <v>162</v>
      </c>
      <c r="C69" s="53">
        <v>8</v>
      </c>
      <c r="D69" s="53">
        <v>19</v>
      </c>
      <c r="E69" s="54">
        <v>0.3</v>
      </c>
      <c r="F69" s="54"/>
      <c r="G69" s="54"/>
      <c r="H69" s="54">
        <v>0.7</v>
      </c>
      <c r="I69" s="52">
        <f t="shared" si="2"/>
        <v>6.4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>
        <v>50</v>
      </c>
      <c r="B70" s="53">
        <v>173</v>
      </c>
      <c r="C70" s="53">
        <v>9</v>
      </c>
      <c r="D70" s="53">
        <v>18</v>
      </c>
      <c r="E70" s="54">
        <v>0.4</v>
      </c>
      <c r="F70" s="54"/>
      <c r="G70" s="54"/>
      <c r="H70" s="54">
        <v>0.6</v>
      </c>
      <c r="I70" s="52">
        <f t="shared" si="2"/>
        <v>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>
        <v>55</v>
      </c>
      <c r="B71" s="53">
        <v>181</v>
      </c>
      <c r="C71" s="53">
        <v>10</v>
      </c>
      <c r="D71" s="53">
        <v>17</v>
      </c>
      <c r="E71" s="54">
        <v>0.4</v>
      </c>
      <c r="F71" s="54"/>
      <c r="G71" s="54"/>
      <c r="H71" s="54">
        <v>0.6</v>
      </c>
      <c r="I71" s="52">
        <f t="shared" si="2"/>
        <v>5.2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>
        <v>60</v>
      </c>
      <c r="B72" s="53">
        <v>189</v>
      </c>
      <c r="C72" s="53">
        <v>11</v>
      </c>
      <c r="D72" s="53">
        <v>16</v>
      </c>
      <c r="E72" s="54">
        <v>0.5</v>
      </c>
      <c r="F72" s="54"/>
      <c r="G72" s="54"/>
      <c r="H72" s="54">
        <v>0.5</v>
      </c>
      <c r="I72" s="52">
        <f t="shared" si="2"/>
        <v>5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>
        <v>65</v>
      </c>
      <c r="B73" s="53">
        <v>195</v>
      </c>
      <c r="C73" s="53">
        <v>12</v>
      </c>
      <c r="D73" s="53">
        <v>15</v>
      </c>
      <c r="E73" s="54">
        <v>0.5</v>
      </c>
      <c r="F73" s="54"/>
      <c r="G73" s="54"/>
      <c r="H73" s="54">
        <v>0.5</v>
      </c>
      <c r="I73" s="52">
        <f t="shared" si="2"/>
        <v>4.4000000000000004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>
        <v>70</v>
      </c>
      <c r="B74" s="53">
        <v>201</v>
      </c>
      <c r="C74" s="53">
        <v>13</v>
      </c>
      <c r="D74" s="53">
        <v>14</v>
      </c>
      <c r="E74" s="54">
        <v>0.6</v>
      </c>
      <c r="F74" s="54"/>
      <c r="G74" s="54"/>
      <c r="H74" s="54">
        <v>0.4</v>
      </c>
      <c r="I74" s="52">
        <f t="shared" si="2"/>
        <v>4.2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>
        <v>75</v>
      </c>
      <c r="B75" s="53">
        <v>204</v>
      </c>
      <c r="C75" s="53">
        <v>14</v>
      </c>
      <c r="D75" s="53">
        <v>12</v>
      </c>
      <c r="E75" s="54">
        <v>0.6</v>
      </c>
      <c r="F75" s="54"/>
      <c r="G75" s="54"/>
      <c r="H75" s="54">
        <v>0.4</v>
      </c>
      <c r="I75" s="52">
        <f t="shared" si="2"/>
        <v>3.4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>
        <v>80</v>
      </c>
      <c r="B76" s="53">
        <v>208</v>
      </c>
      <c r="C76" s="53">
        <v>15</v>
      </c>
      <c r="D76" s="53">
        <v>11</v>
      </c>
      <c r="E76" s="54">
        <v>0.7</v>
      </c>
      <c r="F76" s="54"/>
      <c r="G76" s="54"/>
      <c r="H76" s="54">
        <v>0.3</v>
      </c>
      <c r="I76" s="52">
        <f t="shared" si="2"/>
        <v>3.2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>
        <v>85</v>
      </c>
      <c r="B77" s="53">
        <v>211</v>
      </c>
      <c r="C77" s="53">
        <v>16</v>
      </c>
      <c r="D77" s="53">
        <v>10</v>
      </c>
      <c r="E77" s="54">
        <v>0.7</v>
      </c>
      <c r="F77" s="54"/>
      <c r="G77" s="54"/>
      <c r="H77" s="54">
        <v>0.3</v>
      </c>
      <c r="I77" s="52">
        <f t="shared" si="2"/>
        <v>2.8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>
        <v>90</v>
      </c>
      <c r="B78" s="53">
        <v>215</v>
      </c>
      <c r="C78" s="53">
        <v>17</v>
      </c>
      <c r="D78" s="53">
        <v>215</v>
      </c>
      <c r="E78" s="54">
        <v>0.8</v>
      </c>
      <c r="F78" s="54"/>
      <c r="G78" s="54"/>
      <c r="H78" s="54">
        <v>0.2</v>
      </c>
      <c r="I78" s="52">
        <f t="shared" si="2"/>
        <v>2.8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/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/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/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/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/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4" sqref="G24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295</v>
      </c>
      <c r="C7" s="109" t="s">
        <v>214</v>
      </c>
      <c r="D7" s="234"/>
      <c r="E7" s="110"/>
      <c r="F7" s="29" t="s">
        <v>295</v>
      </c>
      <c r="G7" s="109" t="s">
        <v>215</v>
      </c>
      <c r="H7" s="235"/>
      <c r="I7" s="235"/>
      <c r="J7" s="235"/>
      <c r="K7" s="235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5"/>
      <c r="B13" s="116"/>
      <c r="C13" s="107" t="s">
        <v>273</v>
      </c>
      <c r="D13" s="235"/>
      <c r="E13" s="108"/>
      <c r="F13" s="116"/>
      <c r="G13" s="107" t="s">
        <v>301</v>
      </c>
      <c r="H13" s="235"/>
      <c r="I13" s="235"/>
      <c r="J13" s="235"/>
      <c r="K13" s="235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5"/>
      <c r="B14" s="116"/>
      <c r="C14" s="107" t="s">
        <v>309</v>
      </c>
      <c r="D14" s="235"/>
      <c r="E14" s="108"/>
      <c r="F14" s="116"/>
      <c r="G14" s="107" t="s">
        <v>294</v>
      </c>
      <c r="H14" s="235"/>
      <c r="I14" s="235"/>
      <c r="J14" s="235"/>
      <c r="K14" s="235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41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Pin maritime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Chêne rouge d'Amérique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/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/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/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183.65324264438817</v>
      </c>
      <c r="T3" s="62">
        <f>IF('Données projet'!E9&gt;30,$R$33-$H$33,LOOKUP('Données projet'!$E$9,$A$3:$A$203,R3:R203)-LOOKUP('Données projet'!$E$9,$A$3:$A$203,$H$3:$H$203))</f>
        <v>208.38613882433765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195.53935591077345</v>
      </c>
      <c r="AO3" s="62">
        <f>IF('Données projet'!E10&gt;30,$AM$33-$H$33,LOOKUP('Données projet'!$E$10,$A$3:$A$203,AM3:AM203)-LOOKUP('Données projet'!$E$10,$A$3:$A$203,$H$3:$H$203))</f>
        <v>189.8782192260071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0.57200000000000006</v>
      </c>
      <c r="D4" s="12">
        <f>IFERROR(EXP(-1.0587+0.8836*LN(C4)+0.284),0)</f>
        <v>0.28131131179577301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6.5869645121077225</v>
      </c>
      <c r="H4" s="70">
        <f t="shared" ref="H4:H67" si="1">(B4+E4+F4)*44/12+(C4+D4)*0.475*44/12</f>
        <v>294.81951720137761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6.1165000000000003</v>
      </c>
      <c r="N4" s="14">
        <f>IF('Données projet'!$A$36&gt;35,N3+M4-V3,IF(A4&lt;'Données projet'!$A$36,$K$205^A4,IF(A4='Données projet'!$A$36,'Données projet'!$B$36,N3+M4-V3)))</f>
        <v>1.2716765087493749</v>
      </c>
      <c r="O4" s="14">
        <f>N4*VLOOKUP('Données projet'!$B$9,Paramètres!$A$1:$I$89,3,0)*VLOOKUP('Données projet'!$B$9,Paramètres!$A$1:$I$89,5,0)</f>
        <v>0.76046255223212622</v>
      </c>
      <c r="P4" s="14">
        <f>EXP(-1.0587+0.8836*LN(O4)+0.284)</f>
        <v>0.36180322850258073</v>
      </c>
      <c r="Q4" s="22">
        <f t="shared" ref="Q4:Q34" si="2">(O4+P4)*0.475*44/12</f>
        <v>1.9546129014462814</v>
      </c>
      <c r="R4" s="62">
        <f t="shared" si="0"/>
        <v>295.28794623477961</v>
      </c>
      <c r="S4" s="62">
        <f ca="1">AVERAGE(OFFSET($R$3,0,0,'Données projet'!$E$9+1,1))-AVERAGE(OFFSET($H$3,0,0,'Données projet'!$E$9+1,1))</f>
        <v>183.65324264438817</v>
      </c>
      <c r="T4" s="62">
        <f>$T$3</f>
        <v>208.38613882433765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1.8</v>
      </c>
      <c r="AI4" s="14">
        <f>IF('Données projet'!$A$62&gt;35,AI3+AH4-AQ3,IF(A4&lt;'Données projet'!$A$62,$AF$205^A4,IF(A4='Données projet'!$A$62,'Données projet'!$B$62,AI3+AH4-AQ3)))</f>
        <v>1.335141362540313</v>
      </c>
      <c r="AJ4" s="14">
        <f>AI4*VLOOKUP('Données projet'!$B$10,Paramètres!$A$1:$I$89,3,0)*VLOOKUP('Données projet'!$B$10,Paramètres!$A$1:$I$89,5,0)</f>
        <v>1.1663794943152175</v>
      </c>
      <c r="AK4" s="14">
        <f>EXP(-1.0587+0.8836*LN(AJ4)+0.284)</f>
        <v>0.52797307958445927</v>
      </c>
      <c r="AL4" s="22">
        <f t="shared" ref="AL4:AL67" si="4">(AJ4+AK4)*0.475*44/12</f>
        <v>2.9509973995419365</v>
      </c>
      <c r="AM4" s="62">
        <f t="shared" ref="AM4:AM67" si="5">AL4+(AD4+AE4)*44/12</f>
        <v>296.28433073287528</v>
      </c>
      <c r="AN4" s="62">
        <f ca="1">AVERAGE(OFFSET($AM$3,0,0,'Données projet'!$E$10+1,1))-AVERAGE(OFFSET($H$3,0,0,'Données projet'!$E$10+1,1))</f>
        <v>195.53935591077345</v>
      </c>
      <c r="AO4" s="62">
        <f>$AO$3</f>
        <v>189.8782192260071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1.1440000000000001</v>
      </c>
      <c r="D5" s="12">
        <f t="shared" ref="D5:D68" si="32">IFERROR(EXP(-1.0587+0.8836*LN(C5)+0.284),0)</f>
        <v>0.51901188151663313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12.837284699426641</v>
      </c>
      <c r="H5" s="70">
        <f t="shared" si="1"/>
        <v>296.22974569364146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6.1165000000000003</v>
      </c>
      <c r="N5" s="14">
        <f>IF('Données projet'!$A$36&gt;35,N4+M5-V4,IF(A5&lt;'Données projet'!$A$36,$K$205^A5,IF(A5='Données projet'!$A$36,'Données projet'!$B$36,N4+M5-V4)))</f>
        <v>1.617161142904999</v>
      </c>
      <c r="O5" s="14">
        <f>N5*VLOOKUP('Données projet'!$B$9,Paramètres!$A$1:$I$89,3,0)*VLOOKUP('Données projet'!$B$9,Paramètres!$A$1:$I$89,5,0)</f>
        <v>0.96706236345718943</v>
      </c>
      <c r="P5" s="14">
        <f t="shared" ref="P5:P68" si="33">EXP(-1.0587+0.8836*LN(O5)+0.284)</f>
        <v>0.44740377563053879</v>
      </c>
      <c r="Q5" s="22">
        <f t="shared" si="2"/>
        <v>2.4635285255777934</v>
      </c>
      <c r="R5" s="62">
        <f t="shared" si="0"/>
        <v>295.79686185891109</v>
      </c>
      <c r="S5" s="62">
        <f ca="1">AVERAGE(OFFSET($R$3,0,0,'Données projet'!$E$9+1,1))-AVERAGE(OFFSET($H$3,0,0,'Données projet'!$E$9+1,1))</f>
        <v>183.65324264438817</v>
      </c>
      <c r="T5" s="62">
        <f t="shared" ref="T5:T68" si="34">$T$3</f>
        <v>208.38613882433765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1.8</v>
      </c>
      <c r="AI5" s="14">
        <f>IF('Données projet'!$A$62&gt;35,AI4+AH5-AQ4,IF(A5&lt;'Données projet'!$A$62,$AF$205^A5,IF(A5='Données projet'!$A$62,'Données projet'!$B$62,AI4+AH5-AQ4)))</f>
        <v>1.7826024579660036</v>
      </c>
      <c r="AJ5" s="14">
        <f>AI5*VLOOKUP('Données projet'!$B$10,Paramètres!$A$1:$I$89,3,0)*VLOOKUP('Données projet'!$B$10,Paramètres!$A$1:$I$89,5,0)</f>
        <v>1.5572815072791011</v>
      </c>
      <c r="AK5" s="14">
        <f t="shared" ref="AK5:AK68" si="35">EXP(-1.0587+0.8836*LN(AJ5)+0.284)</f>
        <v>0.68159698037116012</v>
      </c>
      <c r="AL5" s="22">
        <f t="shared" si="4"/>
        <v>3.8993800326575379</v>
      </c>
      <c r="AM5" s="62">
        <f t="shared" si="5"/>
        <v>297.23271336599083</v>
      </c>
      <c r="AN5" s="62">
        <f ca="1">AVERAGE(OFFSET($AM$3,0,0,'Données projet'!$E$10+1,1))-AVERAGE(OFFSET($H$3,0,0,'Données projet'!$E$10+1,1))</f>
        <v>195.53935591077345</v>
      </c>
      <c r="AO5" s="62">
        <f t="shared" ref="AO5:AO68" si="36">$AO$3</f>
        <v>189.8782192260071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1.7160000000000002</v>
      </c>
      <c r="D6" s="12">
        <f t="shared" si="32"/>
        <v>0.74262837066960574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18.978885668326786</v>
      </c>
      <c r="H6" s="70">
        <f t="shared" si="1"/>
        <v>297.61544441224953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6.1165000000000003</v>
      </c>
      <c r="N6" s="14">
        <f>IF('Données projet'!$A$36&gt;35,N5+M6-V5,IF(A6&lt;'Données projet'!$A$36,$K$205^A6,IF(A6='Données projet'!$A$36,'Données projet'!$B$36,N5+M6-V5)))</f>
        <v>2.0565058362945781</v>
      </c>
      <c r="O6" s="14">
        <f>N6*VLOOKUP('Données projet'!$B$9,Paramètres!$A$1:$I$89,3,0)*VLOOKUP('Données projet'!$B$9,Paramètres!$A$1:$I$89,5,0)</f>
        <v>1.2297904901041576</v>
      </c>
      <c r="P6" s="14">
        <f t="shared" si="33"/>
        <v>0.55325691613344363</v>
      </c>
      <c r="Q6" s="22">
        <f t="shared" si="2"/>
        <v>3.1054742325304883</v>
      </c>
      <c r="R6" s="62">
        <f t="shared" si="0"/>
        <v>296.43880756586378</v>
      </c>
      <c r="S6" s="62">
        <f ca="1">AVERAGE(OFFSET($R$3,0,0,'Données projet'!$E$9+1,1))-AVERAGE(OFFSET($H$3,0,0,'Données projet'!$E$9+1,1))</f>
        <v>183.65324264438817</v>
      </c>
      <c r="T6" s="62">
        <f t="shared" si="34"/>
        <v>208.38613882433765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1.8</v>
      </c>
      <c r="AI6" s="14">
        <f>IF('Données projet'!$A$62&gt;35,AI5+AH6-AQ5,IF(A6&lt;'Données projet'!$A$62,$AF$205^A6,IF(A6='Données projet'!$A$62,'Données projet'!$B$62,AI5+AH6-AQ5)))</f>
        <v>2.3800262745964411</v>
      </c>
      <c r="AJ6" s="14">
        <f>AI6*VLOOKUP('Données projet'!$B$10,Paramètres!$A$1:$I$89,3,0)*VLOOKUP('Données projet'!$B$10,Paramètres!$A$1:$I$89,5,0)</f>
        <v>2.0791909534874513</v>
      </c>
      <c r="AK6" s="14">
        <f t="shared" si="35"/>
        <v>0.87992070356451979</v>
      </c>
      <c r="AL6" s="22">
        <f t="shared" si="4"/>
        <v>5.1537861360321822</v>
      </c>
      <c r="AM6" s="62">
        <f t="shared" si="5"/>
        <v>298.4871194693655</v>
      </c>
      <c r="AN6" s="62">
        <f ca="1">AVERAGE(OFFSET($AM$3,0,0,'Données projet'!$E$10+1,1))-AVERAGE(OFFSET($H$3,0,0,'Données projet'!$E$10+1,1))</f>
        <v>195.53935591077345</v>
      </c>
      <c r="AO6" s="62">
        <f t="shared" si="36"/>
        <v>189.8782192260071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2.2880000000000003</v>
      </c>
      <c r="D7" s="12">
        <f t="shared" si="32"/>
        <v>0.95756310486012686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25.053469581376419</v>
      </c>
      <c r="H7" s="70">
        <f t="shared" si="1"/>
        <v>298.98602240763137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6.1165000000000003</v>
      </c>
      <c r="N7" s="14">
        <f>IF('Données projet'!$A$36&gt;35,N6+M7-V6,IF(A7&lt;'Données projet'!$A$36,$K$205^A7,IF(A7='Données projet'!$A$36,'Données projet'!$B$36,N6+M7-V6)))</f>
        <v>2.6152101621218025</v>
      </c>
      <c r="O7" s="14">
        <f>N7*VLOOKUP('Données projet'!$B$9,Paramètres!$A$1:$I$89,3,0)*VLOOKUP('Données projet'!$B$9,Paramètres!$A$1:$I$89,5,0)</f>
        <v>1.5638956769488381</v>
      </c>
      <c r="P7" s="14">
        <f t="shared" si="33"/>
        <v>0.68415429623521296</v>
      </c>
      <c r="Q7" s="22">
        <f t="shared" si="2"/>
        <v>3.9153537032955552</v>
      </c>
      <c r="R7" s="62">
        <f t="shared" si="0"/>
        <v>297.24868703662889</v>
      </c>
      <c r="S7" s="62">
        <f ca="1">AVERAGE(OFFSET($R$3,0,0,'Données projet'!$E$9+1,1))-AVERAGE(OFFSET($H$3,0,0,'Données projet'!$E$9+1,1))</f>
        <v>183.65324264438817</v>
      </c>
      <c r="T7" s="62">
        <f t="shared" si="34"/>
        <v>208.38613882433765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1.8</v>
      </c>
      <c r="AI7" s="14">
        <f>IF('Données projet'!$A$62&gt;35,AI6+AH7-AQ6,IF(A7&lt;'Données projet'!$A$62,$AF$205^A7,IF(A7='Données projet'!$A$62,'Données projet'!$B$62,AI6+AH7-AQ6)))</f>
        <v>3.1776715231464374</v>
      </c>
      <c r="AJ7" s="14">
        <f>AI7*VLOOKUP('Données projet'!$B$10,Paramètres!$A$1:$I$89,3,0)*VLOOKUP('Données projet'!$B$10,Paramètres!$A$1:$I$89,5,0)</f>
        <v>2.7760138426207281</v>
      </c>
      <c r="AK7" s="14">
        <f t="shared" si="35"/>
        <v>1.135950520408497</v>
      </c>
      <c r="AL7" s="22">
        <f t="shared" si="4"/>
        <v>6.8133379322758998</v>
      </c>
      <c r="AM7" s="62">
        <f t="shared" si="5"/>
        <v>300.1466712656092</v>
      </c>
      <c r="AN7" s="62">
        <f ca="1">AVERAGE(OFFSET($AM$3,0,0,'Données projet'!$E$10+1,1))-AVERAGE(OFFSET($H$3,0,0,'Données projet'!$E$10+1,1))</f>
        <v>195.53935591077345</v>
      </c>
      <c r="AO7" s="62">
        <f t="shared" si="36"/>
        <v>189.8782192260071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2.8600000000000003</v>
      </c>
      <c r="D8" s="12">
        <f t="shared" si="32"/>
        <v>1.1662645951525237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31.079937225738785</v>
      </c>
      <c r="H8" s="70">
        <f t="shared" si="1"/>
        <v>300.34574416989062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6.1165000000000003</v>
      </c>
      <c r="N8" s="14">
        <f>IF('Données projet'!$A$36&gt;35,N7+M8-V7,IF(A8&lt;'Données projet'!$A$36,$K$205^A8,IF(A8='Données projet'!$A$36,'Données projet'!$B$36,N7+M8-V7)))</f>
        <v>3.3257013286129404</v>
      </c>
      <c r="O8" s="14">
        <f>N8*VLOOKUP('Données projet'!$B$9,Paramètres!$A$1:$I$89,3,0)*VLOOKUP('Données projet'!$B$9,Paramètres!$A$1:$I$89,5,0)</f>
        <v>1.9887693945105385</v>
      </c>
      <c r="P8" s="14">
        <f t="shared" si="33"/>
        <v>0.84602123788761319</v>
      </c>
      <c r="Q8" s="22">
        <f t="shared" si="2"/>
        <v>4.9372603514267803</v>
      </c>
      <c r="R8" s="62">
        <f t="shared" si="0"/>
        <v>298.27059368476012</v>
      </c>
      <c r="S8" s="62">
        <f ca="1">AVERAGE(OFFSET($R$3,0,0,'Données projet'!$E$9+1,1))-AVERAGE(OFFSET($H$3,0,0,'Données projet'!$E$9+1,1))</f>
        <v>183.65324264438817</v>
      </c>
      <c r="T8" s="62">
        <f t="shared" si="34"/>
        <v>208.38613882433765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1.8</v>
      </c>
      <c r="AI8" s="14">
        <f>IF('Données projet'!$A$62&gt;35,AI7+AH8-AQ7,IF(A8&lt;'Données projet'!$A$62,$AF$205^A8,IF(A8='Données projet'!$A$62,'Données projet'!$B$62,AI7+AH8-AQ7)))</f>
        <v>4.2426406871192865</v>
      </c>
      <c r="AJ8" s="14">
        <f>AI8*VLOOKUP('Données projet'!$B$10,Paramètres!$A$1:$I$89,3,0)*VLOOKUP('Données projet'!$B$10,Paramètres!$A$1:$I$89,5,0)</f>
        <v>3.7063709042674091</v>
      </c>
      <c r="AK8" s="14">
        <f t="shared" si="35"/>
        <v>1.4664771263922398</v>
      </c>
      <c r="AL8" s="22">
        <f t="shared" si="4"/>
        <v>9.0093769867322209</v>
      </c>
      <c r="AM8" s="62">
        <f t="shared" si="5"/>
        <v>302.34271032006552</v>
      </c>
      <c r="AN8" s="62">
        <f ca="1">AVERAGE(OFFSET($AM$3,0,0,'Données projet'!$E$10+1,1))-AVERAGE(OFFSET($H$3,0,0,'Données projet'!$E$10+1,1))</f>
        <v>195.53935591077345</v>
      </c>
      <c r="AO8" s="62">
        <f t="shared" si="36"/>
        <v>189.8782192260071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3.4320000000000004</v>
      </c>
      <c r="D9" s="12">
        <f t="shared" si="32"/>
        <v>1.3701295744860811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37.069070399541687</v>
      </c>
      <c r="H9" s="70">
        <f t="shared" si="1"/>
        <v>301.69704234222991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6.1165000000000003</v>
      </c>
      <c r="N9" s="14">
        <f>IF('Données projet'!$A$36&gt;35,N8+M9-V8,IF(A9&lt;'Données projet'!$A$36,$K$205^A9,IF(A9='Données projet'!$A$36,'Données projet'!$B$36,N8+M9-V8)))</f>
        <v>4.2292162547136618</v>
      </c>
      <c r="O9" s="14">
        <f>N9*VLOOKUP('Données projet'!$B$9,Paramètres!$A$1:$I$89,3,0)*VLOOKUP('Données projet'!$B$9,Paramètres!$A$1:$I$89,5,0)</f>
        <v>2.5290713203187702</v>
      </c>
      <c r="P9" s="14">
        <f t="shared" si="33"/>
        <v>1.0461849598775497</v>
      </c>
      <c r="Q9" s="22">
        <f t="shared" si="2"/>
        <v>6.2269046880085908</v>
      </c>
      <c r="R9" s="62">
        <f t="shared" si="0"/>
        <v>299.56023802134189</v>
      </c>
      <c r="S9" s="62">
        <f ca="1">AVERAGE(OFFSET($R$3,0,0,'Données projet'!$E$9+1,1))-AVERAGE(OFFSET($H$3,0,0,'Données projet'!$E$9+1,1))</f>
        <v>183.65324264438817</v>
      </c>
      <c r="T9" s="62">
        <f t="shared" si="34"/>
        <v>208.38613882433765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1.8</v>
      </c>
      <c r="AI9" s="14">
        <f>IF('Données projet'!$A$62&gt;35,AI8+AH9-AQ8,IF(A9&lt;'Données projet'!$A$62,$AF$205^A9,IF(A9='Données projet'!$A$62,'Données projet'!$B$62,AI8+AH9-AQ8)))</f>
        <v>5.6645250677694134</v>
      </c>
      <c r="AJ9" s="14">
        <f>AI9*VLOOKUP('Données projet'!$B$10,Paramètres!$A$1:$I$89,3,0)*VLOOKUP('Données projet'!$B$10,Paramètres!$A$1:$I$89,5,0)</f>
        <v>4.9485290992033608</v>
      </c>
      <c r="AK9" s="14">
        <f t="shared" si="35"/>
        <v>1.8931767921179217</v>
      </c>
      <c r="AL9" s="22">
        <f t="shared" si="4"/>
        <v>11.915971094051232</v>
      </c>
      <c r="AM9" s="62">
        <f t="shared" si="5"/>
        <v>305.24930442738457</v>
      </c>
      <c r="AN9" s="62">
        <f ca="1">AVERAGE(OFFSET($AM$3,0,0,'Données projet'!$E$10+1,1))-AVERAGE(OFFSET($H$3,0,0,'Données projet'!$E$10+1,1))</f>
        <v>195.53935591077345</v>
      </c>
      <c r="AO9" s="62">
        <f t="shared" si="36"/>
        <v>189.8782192260071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4.0040000000000004</v>
      </c>
      <c r="D10" s="12">
        <f t="shared" si="32"/>
        <v>1.5700584625812888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43.027819711153818</v>
      </c>
      <c r="H10" s="70">
        <f t="shared" si="1"/>
        <v>303.04148515566237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6.1165000000000003</v>
      </c>
      <c r="N10" s="14">
        <f>IF('Données projet'!$A$36&gt;35,N9+M10-V9,IF(A10&lt;'Données projet'!$A$36,$K$205^A10,IF(A10='Données projet'!$A$36,'Données projet'!$B$36,N9+M10-V9)))</f>
        <v>5.3781949615403768</v>
      </c>
      <c r="O10" s="14">
        <f>N10*VLOOKUP('Données projet'!$B$9,Paramètres!$A$1:$I$89,3,0)*VLOOKUP('Données projet'!$B$9,Paramètres!$A$1:$I$89,5,0)</f>
        <v>3.2161605870011458</v>
      </c>
      <c r="P10" s="14">
        <f t="shared" si="33"/>
        <v>1.2937062584939336</v>
      </c>
      <c r="Q10" s="22">
        <f t="shared" si="2"/>
        <v>7.8546847559039286</v>
      </c>
      <c r="R10" s="62">
        <f t="shared" si="0"/>
        <v>301.18801808923723</v>
      </c>
      <c r="S10" s="62">
        <f ca="1">AVERAGE(OFFSET($R$3,0,0,'Données projet'!$E$9+1,1))-AVERAGE(OFFSET($H$3,0,0,'Données projet'!$E$9+1,1))</f>
        <v>183.65324264438817</v>
      </c>
      <c r="T10" s="62">
        <f t="shared" si="34"/>
        <v>208.38613882433765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1.8</v>
      </c>
      <c r="AI10" s="14">
        <f>IF('Données projet'!$A$62&gt;35,AI9+AH10-AQ9,IF(A10&lt;'Données projet'!$A$62,$AF$205^A10,IF(A10='Données projet'!$A$62,'Données projet'!$B$62,AI9+AH10-AQ9)))</f>
        <v>7.5629417171254145</v>
      </c>
      <c r="AJ10" s="14">
        <f>AI10*VLOOKUP('Données projet'!$B$10,Paramètres!$A$1:$I$89,3,0)*VLOOKUP('Données projet'!$B$10,Paramètres!$A$1:$I$89,5,0)</f>
        <v>6.6069858840807631</v>
      </c>
      <c r="AK10" s="14">
        <f t="shared" si="35"/>
        <v>2.4440329151477385</v>
      </c>
      <c r="AL10" s="22">
        <f t="shared" si="4"/>
        <v>15.763857741989639</v>
      </c>
      <c r="AM10" s="62">
        <f t="shared" si="5"/>
        <v>309.09719107532294</v>
      </c>
      <c r="AN10" s="62">
        <f ca="1">AVERAGE(OFFSET($AM$3,0,0,'Données projet'!$E$10+1,1))-AVERAGE(OFFSET($H$3,0,0,'Données projet'!$E$10+1,1))</f>
        <v>195.53935591077345</v>
      </c>
      <c r="AO10" s="62">
        <f t="shared" si="36"/>
        <v>189.8782192260071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4.5760000000000005</v>
      </c>
      <c r="D11" s="12">
        <f t="shared" si="32"/>
        <v>1.766678437322019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48.961026533713842</v>
      </c>
      <c r="H11" s="70">
        <f t="shared" si="1"/>
        <v>304.38016494500249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6.1165000000000003</v>
      </c>
      <c r="N11" s="14">
        <f>IF('Données projet'!$A$36&gt;35,N10+M11-V10,IF(A11&lt;'Données projet'!$A$36,$K$205^A11,IF(A11='Données projet'!$A$36,'Données projet'!$B$36,N10+M11-V10)))</f>
        <v>6.8393241920651446</v>
      </c>
      <c r="O11" s="14">
        <f>N11*VLOOKUP('Données projet'!$B$9,Paramètres!$A$1:$I$89,3,0)*VLOOKUP('Données projet'!$B$9,Paramètres!$A$1:$I$89,5,0)</f>
        <v>4.0899158668549571</v>
      </c>
      <c r="P11" s="14">
        <f t="shared" si="33"/>
        <v>1.5997896619181633</v>
      </c>
      <c r="Q11" s="22">
        <f t="shared" si="2"/>
        <v>9.9095704626131838</v>
      </c>
      <c r="R11" s="62">
        <f t="shared" si="0"/>
        <v>303.24290379594652</v>
      </c>
      <c r="S11" s="62">
        <f ca="1">AVERAGE(OFFSET($R$3,0,0,'Données projet'!$E$9+1,1))-AVERAGE(OFFSET($H$3,0,0,'Données projet'!$E$9+1,1))</f>
        <v>183.65324264438817</v>
      </c>
      <c r="T11" s="62">
        <f t="shared" si="34"/>
        <v>208.38613882433765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1.8</v>
      </c>
      <c r="AI11" s="14">
        <f>IF('Données projet'!$A$62&gt;35,AI10+AH11-AQ10,IF(A11&lt;'Données projet'!$A$62,$AF$205^A11,IF(A11='Données projet'!$A$62,'Données projet'!$B$62,AI10+AH11-AQ10)))</f>
        <v>10.097596309015799</v>
      </c>
      <c r="AJ11" s="14">
        <f>AI11*VLOOKUP('Données projet'!$B$10,Paramètres!$A$1:$I$89,3,0)*VLOOKUP('Données projet'!$B$10,Paramètres!$A$1:$I$89,5,0)</f>
        <v>8.8212601355562033</v>
      </c>
      <c r="AK11" s="14">
        <f t="shared" si="35"/>
        <v>3.1551711996443523</v>
      </c>
      <c r="AL11" s="22">
        <f t="shared" si="4"/>
        <v>20.858951242140964</v>
      </c>
      <c r="AM11" s="62">
        <f t="shared" si="5"/>
        <v>314.19228457547428</v>
      </c>
      <c r="AN11" s="62">
        <f ca="1">AVERAGE(OFFSET($AM$3,0,0,'Données projet'!$E$10+1,1))-AVERAGE(OFFSET($H$3,0,0,'Données projet'!$E$10+1,1))</f>
        <v>195.53935591077345</v>
      </c>
      <c r="AO11" s="62">
        <f t="shared" si="36"/>
        <v>189.8782192260071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5.1480000000000006</v>
      </c>
      <c r="D12" s="12">
        <f t="shared" si="32"/>
        <v>1.9604504824312583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54.872249338065863</v>
      </c>
      <c r="H12" s="70">
        <f t="shared" si="1"/>
        <v>305.71388459023444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6.1165000000000003</v>
      </c>
      <c r="N12" s="14">
        <f>IF('Données projet'!$A$36&gt;35,N11+M12-V11,IF(A12&lt;'Données projet'!$A$36,$K$205^A12,IF(A12='Données projet'!$A$36,'Données projet'!$B$36,N11+M12-V11)))</f>
        <v>8.6974079107705418</v>
      </c>
      <c r="O12" s="14">
        <f>N12*VLOOKUP('Données projet'!$B$9,Paramètres!$A$1:$I$89,3,0)*VLOOKUP('Données projet'!$B$9,Paramètres!$A$1:$I$89,5,0)</f>
        <v>5.2010499306407842</v>
      </c>
      <c r="P12" s="14">
        <f t="shared" si="33"/>
        <v>1.9782906247664507</v>
      </c>
      <c r="Q12" s="22">
        <f t="shared" si="2"/>
        <v>12.504018134000935</v>
      </c>
      <c r="R12" s="62">
        <f t="shared" si="0"/>
        <v>305.83735146733426</v>
      </c>
      <c r="S12" s="62">
        <f ca="1">AVERAGE(OFFSET($R$3,0,0,'Données projet'!$E$9+1,1))-AVERAGE(OFFSET($H$3,0,0,'Données projet'!$E$9+1,1))</f>
        <v>183.65324264438817</v>
      </c>
      <c r="T12" s="62">
        <f t="shared" si="34"/>
        <v>208.38613882433765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1.8</v>
      </c>
      <c r="AI12" s="14">
        <f>IF('Données projet'!$A$62&gt;35,AI11+AH12-AQ11,IF(A12&lt;'Données projet'!$A$62,$AF$205^A12,IF(A12='Données projet'!$A$62,'Données projet'!$B$62,AI11+AH12-AQ11)))</f>
        <v>13.48171849440139</v>
      </c>
      <c r="AJ12" s="14">
        <f>AI12*VLOOKUP('Données projet'!$B$10,Paramètres!$A$1:$I$89,3,0)*VLOOKUP('Données projet'!$B$10,Paramètres!$A$1:$I$89,5,0)</f>
        <v>11.777629276709055</v>
      </c>
      <c r="AK12" s="14">
        <f t="shared" si="35"/>
        <v>4.0732288167499631</v>
      </c>
      <c r="AL12" s="22">
        <f t="shared" si="4"/>
        <v>27.606911179441123</v>
      </c>
      <c r="AM12" s="62">
        <f t="shared" si="5"/>
        <v>320.94024451277443</v>
      </c>
      <c r="AN12" s="62">
        <f ca="1">AVERAGE(OFFSET($AM$3,0,0,'Données projet'!$E$10+1,1))-AVERAGE(OFFSET($H$3,0,0,'Données projet'!$E$10+1,1))</f>
        <v>195.53935591077345</v>
      </c>
      <c r="AO12" s="62">
        <f t="shared" si="36"/>
        <v>189.8782192260071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5.7200000000000006</v>
      </c>
      <c r="D13" s="12">
        <f t="shared" si="32"/>
        <v>2.1517271311001767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60.764209433053999</v>
      </c>
      <c r="H13" s="70">
        <f t="shared" si="1"/>
        <v>307.04325808666613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6.1165000000000003</v>
      </c>
      <c r="N13" s="14">
        <f>IF('Données projet'!$A$36&gt;35,N12+M13-V12,IF(A13&lt;'Données projet'!$A$36,$K$205^A13,IF(A13='Données projet'!$A$36,'Données projet'!$B$36,N12+M13-V12)))</f>
        <v>11.060289327137879</v>
      </c>
      <c r="O13" s="14">
        <f>N13*VLOOKUP('Données projet'!$B$9,Paramètres!$A$1:$I$89,3,0)*VLOOKUP('Données projet'!$B$9,Paramètres!$A$1:$I$89,5,0)</f>
        <v>6.6140530176284518</v>
      </c>
      <c r="P13" s="14">
        <f t="shared" si="33"/>
        <v>2.4463427219215492</v>
      </c>
      <c r="Q13" s="22">
        <f t="shared" si="2"/>
        <v>15.780189246382918</v>
      </c>
      <c r="R13" s="62">
        <f t="shared" si="0"/>
        <v>309.11352257971623</v>
      </c>
      <c r="S13" s="62">
        <f ca="1">AVERAGE(OFFSET($R$3,0,0,'Données projet'!$E$9+1,1))-AVERAGE(OFFSET($H$3,0,0,'Données projet'!$E$9+1,1))</f>
        <v>183.65324264438817</v>
      </c>
      <c r="T13" s="62">
        <f t="shared" si="34"/>
        <v>208.38613882433765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>
        <f>VLOOKUP(A13,'Données projet'!$A$61:$I$81,2,0)</f>
        <v>18</v>
      </c>
      <c r="AG13" s="13">
        <f>VLOOKUP(A13,'Données projet'!$A$61:$I$81,9,0)</f>
        <v>1.8</v>
      </c>
      <c r="AH13" s="13">
        <f t="array" ref="AH13">INDEX(AG:AG,MIN(IF(ISNUMBER(AG13:AG209),ROW(AG13:AG209),"")))</f>
        <v>1.8</v>
      </c>
      <c r="AI13" s="14">
        <f>IF('Données projet'!$A$62&gt;35,AI12+AH13-AQ12,IF(A13&lt;'Données projet'!$A$62,$AF$205^A13,IF(A13='Données projet'!$A$62,'Données projet'!$B$62,AI12+AH13-AQ12)))</f>
        <v>18</v>
      </c>
      <c r="AJ13" s="14">
        <f>AI13*VLOOKUP('Données projet'!$B$10,Paramètres!$A$1:$I$89,3,0)*VLOOKUP('Données projet'!$B$10,Paramètres!$A$1:$I$89,5,0)</f>
        <v>15.724800000000004</v>
      </c>
      <c r="AK13" s="14">
        <f t="shared" si="35"/>
        <v>5.2584129176484753</v>
      </c>
      <c r="AL13" s="22">
        <f t="shared" si="4"/>
        <v>36.545762498237771</v>
      </c>
      <c r="AM13" s="62">
        <f t="shared" si="5"/>
        <v>329.87909583157108</v>
      </c>
      <c r="AN13" s="62">
        <f ca="1">AVERAGE(OFFSET($AM$3,0,0,'Données projet'!$E$10+1,1))-AVERAGE(OFFSET($H$3,0,0,'Données projet'!$E$10+1,1))</f>
        <v>195.53935591077345</v>
      </c>
      <c r="AO13" s="62">
        <f t="shared" si="36"/>
        <v>189.8782192260071</v>
      </c>
      <c r="AP13" s="16">
        <f>IF(ISNA(VLOOKUP(A13,'Données projet'!$A$61:$I$81,3,0)),0,VLOOKUP(A13,'Données projet'!$A$61:$I$81,3,0))</f>
        <v>1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6.2920000000000007</v>
      </c>
      <c r="D14" s="12">
        <f t="shared" si="32"/>
        <v>2.3407863298509937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66.639052370779609</v>
      </c>
      <c r="H14" s="70">
        <f t="shared" si="1"/>
        <v>308.36876952449046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6.1165000000000003</v>
      </c>
      <c r="N14" s="14">
        <f>IF('Données projet'!$A$36&gt;35,N13+M14-V13,IF(A14&lt;'Données projet'!$A$36,$K$205^A14,IF(A14='Données projet'!$A$36,'Données projet'!$B$36,N13+M14-V13)))</f>
        <v>14.06511011729267</v>
      </c>
      <c r="O14" s="14">
        <f>N14*VLOOKUP('Données projet'!$B$9,Paramètres!$A$1:$I$89,3,0)*VLOOKUP('Données projet'!$B$9,Paramètres!$A$1:$I$89,5,0)</f>
        <v>8.4109358501410174</v>
      </c>
      <c r="P14" s="14">
        <f t="shared" si="33"/>
        <v>3.0251332327903286</v>
      </c>
      <c r="Q14" s="22">
        <f t="shared" si="2"/>
        <v>19.917820319438761</v>
      </c>
      <c r="R14" s="62">
        <f t="shared" si="0"/>
        <v>313.25115365277208</v>
      </c>
      <c r="S14" s="62">
        <f ca="1">AVERAGE(OFFSET($R$3,0,0,'Données projet'!$E$9+1,1))-AVERAGE(OFFSET($H$3,0,0,'Données projet'!$E$9+1,1))</f>
        <v>183.65324264438817</v>
      </c>
      <c r="T14" s="62">
        <f t="shared" si="34"/>
        <v>208.38613882433765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5.8</v>
      </c>
      <c r="AI14" s="14">
        <f>IF('Données projet'!$A$62&gt;35,AI13+AH14-AQ13,IF(A14&lt;'Données projet'!$A$62,$AF$205^A14,IF(A14='Données projet'!$A$62,'Données projet'!$B$62,AI13+AH14-AQ13)))</f>
        <v>23.8</v>
      </c>
      <c r="AJ14" s="14">
        <f>AI14*VLOOKUP('Données projet'!$B$10,Paramètres!$A$1:$I$89,3,0)*VLOOKUP('Données projet'!$B$10,Paramètres!$A$1:$I$89,5,0)</f>
        <v>20.791680000000003</v>
      </c>
      <c r="AK14" s="14">
        <f t="shared" si="35"/>
        <v>6.7303755760501467</v>
      </c>
      <c r="AL14" s="22">
        <f t="shared" si="4"/>
        <v>47.934246794954014</v>
      </c>
      <c r="AM14" s="62">
        <f t="shared" si="5"/>
        <v>341.26758012828731</v>
      </c>
      <c r="AN14" s="62">
        <f ca="1">AVERAGE(OFFSET($AM$3,0,0,'Données projet'!$E$10+1,1))-AVERAGE(OFFSET($H$3,0,0,'Données projet'!$E$10+1,1))</f>
        <v>195.53935591077345</v>
      </c>
      <c r="AO14" s="62">
        <f t="shared" si="36"/>
        <v>189.8782192260071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6.8640000000000008</v>
      </c>
      <c r="D15" s="12">
        <f t="shared" si="32"/>
        <v>2.5278525909113125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72.498511228087338</v>
      </c>
      <c r="H15" s="70">
        <f t="shared" si="1"/>
        <v>309.69080992917054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6.1165000000000003</v>
      </c>
      <c r="N15" s="14">
        <f>IF('Données projet'!$A$36&gt;35,N14+M15-V14,IF(A15&lt;'Données projet'!$A$36,$K$205^A15,IF(A15='Données projet'!$A$36,'Données projet'!$B$36,N14+M15-V14)))</f>
        <v>17.886270129134253</v>
      </c>
      <c r="O15" s="14">
        <f>N15*VLOOKUP('Données projet'!$B$9,Paramètres!$A$1:$I$89,3,0)*VLOOKUP('Données projet'!$B$9,Paramètres!$A$1:$I$89,5,0)</f>
        <v>10.695989537222285</v>
      </c>
      <c r="P15" s="14">
        <f t="shared" si="33"/>
        <v>3.7408622243020035</v>
      </c>
      <c r="Q15" s="22">
        <f t="shared" si="2"/>
        <v>25.1441834846548</v>
      </c>
      <c r="R15" s="62">
        <f t="shared" si="0"/>
        <v>318.47751681798809</v>
      </c>
      <c r="S15" s="62">
        <f ca="1">AVERAGE(OFFSET($R$3,0,0,'Données projet'!$E$9+1,1))-AVERAGE(OFFSET($H$3,0,0,'Données projet'!$E$9+1,1))</f>
        <v>183.65324264438817</v>
      </c>
      <c r="T15" s="62">
        <f t="shared" si="34"/>
        <v>208.38613882433765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5.8</v>
      </c>
      <c r="AI15" s="14">
        <f>IF('Données projet'!$A$62&gt;35,AI14+AH15-AQ14,IF(A15&lt;'Données projet'!$A$62,$AF$205^A15,IF(A15='Données projet'!$A$62,'Données projet'!$B$62,AI14+AH15-AQ14)))</f>
        <v>29.6</v>
      </c>
      <c r="AJ15" s="14">
        <f>AI15*VLOOKUP('Données projet'!$B$10,Paramètres!$A$1:$I$89,3,0)*VLOOKUP('Données projet'!$B$10,Paramètres!$A$1:$I$89,5,0)</f>
        <v>25.858560000000008</v>
      </c>
      <c r="AK15" s="14">
        <f t="shared" si="35"/>
        <v>8.1607346448714608</v>
      </c>
      <c r="AL15" s="22">
        <f t="shared" si="4"/>
        <v>59.250271506484466</v>
      </c>
      <c r="AM15" s="62">
        <f t="shared" si="5"/>
        <v>352.58360483981778</v>
      </c>
      <c r="AN15" s="62">
        <f ca="1">AVERAGE(OFFSET($AM$3,0,0,'Données projet'!$E$10+1,1))-AVERAGE(OFFSET($H$3,0,0,'Données projet'!$E$10+1,1))</f>
        <v>195.53935591077345</v>
      </c>
      <c r="AO15" s="62">
        <f t="shared" si="36"/>
        <v>189.8782192260071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7.4360000000000008</v>
      </c>
      <c r="D16" s="12">
        <f t="shared" si="32"/>
        <v>2.7131108740317207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78.344013764455397</v>
      </c>
      <c r="H16" s="70">
        <f t="shared" si="1"/>
        <v>311.00970143893858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6.1165000000000003</v>
      </c>
      <c r="N16" s="14">
        <f>IF('Données projet'!$A$36&gt;35,N15+M16-V15,IF(A16&lt;'Données projet'!$A$36,$K$205^A16,IF(A16='Données projet'!$A$36,'Données projet'!$B$36,N15+M16-V15)))</f>
        <v>22.745549552365677</v>
      </c>
      <c r="O16" s="14">
        <f>N16*VLOOKUP('Données projet'!$B$9,Paramètres!$A$1:$I$89,3,0)*VLOOKUP('Données projet'!$B$9,Paramètres!$A$1:$I$89,5,0)</f>
        <v>13.601838632314676</v>
      </c>
      <c r="P16" s="14">
        <f t="shared" si="33"/>
        <v>4.6259285473856249</v>
      </c>
      <c r="Q16" s="22">
        <f t="shared" si="2"/>
        <v>31.746694504644694</v>
      </c>
      <c r="R16" s="62">
        <f t="shared" si="0"/>
        <v>325.08002783797804</v>
      </c>
      <c r="S16" s="62">
        <f ca="1">AVERAGE(OFFSET($R$3,0,0,'Données projet'!$E$9+1,1))-AVERAGE(OFFSET($H$3,0,0,'Données projet'!$E$9+1,1))</f>
        <v>183.65324264438817</v>
      </c>
      <c r="T16" s="62">
        <f t="shared" si="34"/>
        <v>208.38613882433765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5.8</v>
      </c>
      <c r="AI16" s="14">
        <f>IF('Données projet'!$A$62&gt;35,AI15+AH16-AQ15,IF(A16&lt;'Données projet'!$A$62,$AF$205^A16,IF(A16='Données projet'!$A$62,'Données projet'!$B$62,AI15+AH16-AQ15)))</f>
        <v>35.4</v>
      </c>
      <c r="AJ16" s="14">
        <f>AI16*VLOOKUP('Données projet'!$B$10,Paramètres!$A$1:$I$89,3,0)*VLOOKUP('Données projet'!$B$10,Paramètres!$A$1:$I$89,5,0)</f>
        <v>30.925440000000002</v>
      </c>
      <c r="AK16" s="14">
        <f t="shared" si="35"/>
        <v>9.5586196975402125</v>
      </c>
      <c r="AL16" s="22">
        <f t="shared" si="4"/>
        <v>70.509737306549212</v>
      </c>
      <c r="AM16" s="62">
        <f t="shared" si="5"/>
        <v>363.84307063988251</v>
      </c>
      <c r="AN16" s="62">
        <f ca="1">AVERAGE(OFFSET($AM$3,0,0,'Données projet'!$E$10+1,1))-AVERAGE(OFFSET($H$3,0,0,'Données projet'!$E$10+1,1))</f>
        <v>195.53935591077345</v>
      </c>
      <c r="AO16" s="62">
        <f t="shared" si="36"/>
        <v>189.8782192260071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8.0080000000000009</v>
      </c>
      <c r="D17" s="12">
        <f t="shared" si="32"/>
        <v>2.8967160671697942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84.176755606222983</v>
      </c>
      <c r="H17" s="70">
        <f t="shared" si="1"/>
        <v>312.32571381698739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6.1165000000000003</v>
      </c>
      <c r="N17" s="14">
        <f>IF('Données projet'!$A$36&gt;35,N16+M17-V16,IF(A17&lt;'Données projet'!$A$36,$K$205^A17,IF(A17='Données projet'!$A$36,'Données projet'!$B$36,N16+M17-V16)))</f>
        <v>28.924981044338292</v>
      </c>
      <c r="O17" s="14">
        <f>N17*VLOOKUP('Données projet'!$B$9,Paramètres!$A$1:$I$89,3,0)*VLOOKUP('Données projet'!$B$9,Paramètres!$A$1:$I$89,5,0)</f>
        <v>17.2971386645143</v>
      </c>
      <c r="P17" s="14">
        <f t="shared" si="33"/>
        <v>5.7203964333409996</v>
      </c>
      <c r="Q17" s="22">
        <f t="shared" si="2"/>
        <v>40.088873628764645</v>
      </c>
      <c r="R17" s="62">
        <f t="shared" si="0"/>
        <v>333.42220696209796</v>
      </c>
      <c r="S17" s="62">
        <f ca="1">AVERAGE(OFFSET($R$3,0,0,'Données projet'!$E$9+1,1))-AVERAGE(OFFSET($H$3,0,0,'Données projet'!$E$9+1,1))</f>
        <v>183.65324264438817</v>
      </c>
      <c r="T17" s="62">
        <f t="shared" si="34"/>
        <v>208.38613882433765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5.8</v>
      </c>
      <c r="AI17" s="14">
        <f>IF('Données projet'!$A$62&gt;35,AI16+AH17-AQ16,IF(A17&lt;'Données projet'!$A$62,$AF$205^A17,IF(A17='Données projet'!$A$62,'Données projet'!$B$62,AI16+AH17-AQ16)))</f>
        <v>41.199999999999996</v>
      </c>
      <c r="AJ17" s="14">
        <f>AI17*VLOOKUP('Données projet'!$B$10,Paramètres!$A$1:$I$89,3,0)*VLOOKUP('Données projet'!$B$10,Paramètres!$A$1:$I$89,5,0)</f>
        <v>35.992319999999999</v>
      </c>
      <c r="AK17" s="14">
        <f t="shared" si="35"/>
        <v>10.929972788578748</v>
      </c>
      <c r="AL17" s="22">
        <f t="shared" si="4"/>
        <v>81.722993273441304</v>
      </c>
      <c r="AM17" s="62">
        <f t="shared" si="5"/>
        <v>375.05632660677463</v>
      </c>
      <c r="AN17" s="62">
        <f ca="1">AVERAGE(OFFSET($AM$3,0,0,'Données projet'!$E$10+1,1))-AVERAGE(OFFSET($H$3,0,0,'Données projet'!$E$10+1,1))</f>
        <v>195.53935591077345</v>
      </c>
      <c r="AO17" s="62">
        <f t="shared" si="36"/>
        <v>189.8782192260071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8.5800000000000018</v>
      </c>
      <c r="D18" s="12">
        <f t="shared" si="32"/>
        <v>3.0787996776202875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89.997751897419775</v>
      </c>
      <c r="H18" s="70">
        <f t="shared" si="1"/>
        <v>313.63907610518868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6.1165000000000003</v>
      </c>
      <c r="N18" s="14">
        <f>IF('Données projet'!$A$36&gt;35,N17+M18-V17,IF(A18&lt;'Données projet'!$A$36,$K$205^A18,IF(A18='Données projet'!$A$36,'Données projet'!$B$36,N17+M18-V17)))</f>
        <v>36.783218910105973</v>
      </c>
      <c r="O18" s="14">
        <f>N18*VLOOKUP('Données projet'!$B$9,Paramètres!$A$1:$I$89,3,0)*VLOOKUP('Données projet'!$B$9,Paramètres!$A$1:$I$89,5,0)</f>
        <v>21.996364908243375</v>
      </c>
      <c r="P18" s="14">
        <f t="shared" si="33"/>
        <v>7.0738090784117356</v>
      </c>
      <c r="Q18" s="22">
        <f t="shared" si="2"/>
        <v>50.630553026757646</v>
      </c>
      <c r="R18" s="62">
        <f t="shared" si="0"/>
        <v>343.96388636009095</v>
      </c>
      <c r="S18" s="62">
        <f ca="1">AVERAGE(OFFSET($R$3,0,0,'Données projet'!$E$9+1,1))-AVERAGE(OFFSET($H$3,0,0,'Données projet'!$E$9+1,1))</f>
        <v>183.65324264438817</v>
      </c>
      <c r="T18" s="62">
        <f t="shared" si="34"/>
        <v>208.38613882433765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>
        <f>VLOOKUP(A18,'Données projet'!$A$61:$I$81,2,0)</f>
        <v>47</v>
      </c>
      <c r="AG18" s="13">
        <f>VLOOKUP(A18,'Données projet'!$A$61:$I$81,9,0)</f>
        <v>5.8</v>
      </c>
      <c r="AH18" s="13">
        <f t="array" ref="AH18">INDEX(AG:AG,MIN(IF(ISNUMBER(AG18:AG214),ROW(AG18:AG214),"")))</f>
        <v>5.8</v>
      </c>
      <c r="AI18" s="14">
        <f>IF('Données projet'!$A$62&gt;35,AI17+AH18-AQ17,IF(A18&lt;'Données projet'!$A$62,$AF$205^A18,IF(A18='Données projet'!$A$62,'Données projet'!$B$62,AI17+AH18-AQ17)))</f>
        <v>46.999999999999993</v>
      </c>
      <c r="AJ18" s="14">
        <f>AI18*VLOOKUP('Données projet'!$B$10,Paramètres!$A$1:$I$89,3,0)*VLOOKUP('Données projet'!$B$10,Paramètres!$A$1:$I$89,5,0)</f>
        <v>41.059200000000004</v>
      </c>
      <c r="AK18" s="14">
        <f t="shared" si="35"/>
        <v>12.278959527914743</v>
      </c>
      <c r="AL18" s="22">
        <f t="shared" si="4"/>
        <v>92.897294511118176</v>
      </c>
      <c r="AM18" s="62">
        <f t="shared" si="5"/>
        <v>386.23062784445148</v>
      </c>
      <c r="AN18" s="62">
        <f ca="1">AVERAGE(OFFSET($AM$3,0,0,'Données projet'!$E$10+1,1))-AVERAGE(OFFSET($H$3,0,0,'Données projet'!$E$10+1,1))</f>
        <v>195.53935591077345</v>
      </c>
      <c r="AO18" s="62">
        <f t="shared" si="36"/>
        <v>189.8782192260071</v>
      </c>
      <c r="AP18" s="16">
        <f>IF(ISNA(VLOOKUP(A18,'Données projet'!$A$61:$I$81,3,0)),0,VLOOKUP(A18,'Données projet'!$A$61:$I$81,3,0))</f>
        <v>2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9.152000000000001</v>
      </c>
      <c r="D19" s="12">
        <f t="shared" si="32"/>
        <v>3.259474686375353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95.807874772020284</v>
      </c>
      <c r="H19" s="70">
        <f t="shared" si="1"/>
        <v>314.9499850787704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6.1165000000000003</v>
      </c>
      <c r="N19" s="14">
        <f>IF('Données projet'!$A$36&gt;35,N18+M19-V18,IF(A19&lt;'Données projet'!$A$36,$K$205^A19,IF(A19='Données projet'!$A$36,'Données projet'!$B$36,N18+M19-V18)))</f>
        <v>46.776355404167546</v>
      </c>
      <c r="O19" s="14">
        <f>N19*VLOOKUP('Données projet'!$B$9,Paramètres!$A$1:$I$89,3,0)*VLOOKUP('Données projet'!$B$9,Paramètres!$A$1:$I$89,5,0)</f>
        <v>27.972260531692193</v>
      </c>
      <c r="P19" s="14">
        <f t="shared" si="33"/>
        <v>8.74743131195806</v>
      </c>
      <c r="Q19" s="22">
        <f t="shared" si="2"/>
        <v>63.953463294357526</v>
      </c>
      <c r="R19" s="62">
        <f t="shared" si="0"/>
        <v>357.28679662769082</v>
      </c>
      <c r="S19" s="62">
        <f ca="1">AVERAGE(OFFSET($R$3,0,0,'Données projet'!$E$9+1,1))-AVERAGE(OFFSET($H$3,0,0,'Données projet'!$E$9+1,1))</f>
        <v>183.65324264438817</v>
      </c>
      <c r="T19" s="62">
        <f t="shared" si="34"/>
        <v>208.38613882433765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8</v>
      </c>
      <c r="AI19" s="14">
        <f>IF('Données projet'!$A$62&gt;35,AI18+AH19-AQ18,IF(A19&lt;'Données projet'!$A$62,$AF$205^A19,IF(A19='Données projet'!$A$62,'Données projet'!$B$62,AI18+AH19-AQ18)))</f>
        <v>54.999999999999993</v>
      </c>
      <c r="AJ19" s="14">
        <f>AI19*VLOOKUP('Données projet'!$B$10,Paramètres!$A$1:$I$89,3,0)*VLOOKUP('Données projet'!$B$10,Paramètres!$A$1:$I$89,5,0)</f>
        <v>48.048000000000002</v>
      </c>
      <c r="AK19" s="14">
        <f t="shared" si="35"/>
        <v>14.108484750160615</v>
      </c>
      <c r="AL19" s="22">
        <f t="shared" si="4"/>
        <v>108.25587760652974</v>
      </c>
      <c r="AM19" s="62">
        <f t="shared" si="5"/>
        <v>401.58921093986305</v>
      </c>
      <c r="AN19" s="62">
        <f ca="1">AVERAGE(OFFSET($AM$3,0,0,'Données projet'!$E$10+1,1))-AVERAGE(OFFSET($H$3,0,0,'Données projet'!$E$10+1,1))</f>
        <v>195.53935591077345</v>
      </c>
      <c r="AO19" s="62">
        <f t="shared" si="36"/>
        <v>189.8782192260071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9.7240000000000002</v>
      </c>
      <c r="D20" s="12">
        <f t="shared" si="32"/>
        <v>3.4388391535898375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101.60788118560576</v>
      </c>
      <c r="H20" s="70">
        <f t="shared" si="1"/>
        <v>316.25861152583559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6.1165000000000003</v>
      </c>
      <c r="N20" s="14">
        <f>IF('Données projet'!$A$36&gt;35,N19+M20-V19,IF(A20&lt;'Données projet'!$A$36,$K$205^A20,IF(A20='Données projet'!$A$36,'Données projet'!$B$36,N19+M20-V19)))</f>
        <v>59.484392332391742</v>
      </c>
      <c r="O20" s="14">
        <f>N20*VLOOKUP('Données projet'!$B$9,Paramètres!$A$1:$I$89,3,0)*VLOOKUP('Données projet'!$B$9,Paramètres!$A$1:$I$89,5,0)</f>
        <v>35.571666614770265</v>
      </c>
      <c r="P20" s="14">
        <f t="shared" si="33"/>
        <v>10.817022866922583</v>
      </c>
      <c r="Q20" s="22">
        <f t="shared" si="2"/>
        <v>80.793634180615044</v>
      </c>
      <c r="R20" s="62">
        <f t="shared" si="0"/>
        <v>374.12696751394833</v>
      </c>
      <c r="S20" s="62">
        <f ca="1">AVERAGE(OFFSET($R$3,0,0,'Données projet'!$E$9+1,1))-AVERAGE(OFFSET($H$3,0,0,'Données projet'!$E$9+1,1))</f>
        <v>183.65324264438817</v>
      </c>
      <c r="T20" s="62">
        <f t="shared" si="34"/>
        <v>208.38613882433765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8</v>
      </c>
      <c r="AI20" s="14">
        <f>IF('Données projet'!$A$62&gt;35,AI19+AH20-AQ19,IF(A20&lt;'Données projet'!$A$62,$AF$205^A20,IF(A20='Données projet'!$A$62,'Données projet'!$B$62,AI19+AH20-AQ19)))</f>
        <v>62.999999999999993</v>
      </c>
      <c r="AJ20" s="14">
        <f>AI20*VLOOKUP('Données projet'!$B$10,Paramètres!$A$1:$I$89,3,0)*VLOOKUP('Données projet'!$B$10,Paramètres!$A$1:$I$89,5,0)</f>
        <v>55.036800000000007</v>
      </c>
      <c r="AK20" s="14">
        <f t="shared" si="35"/>
        <v>15.907180538864345</v>
      </c>
      <c r="AL20" s="22">
        <f t="shared" si="4"/>
        <v>123.56076610518875</v>
      </c>
      <c r="AM20" s="62">
        <f t="shared" si="5"/>
        <v>416.89409943852206</v>
      </c>
      <c r="AN20" s="62">
        <f ca="1">AVERAGE(OFFSET($AM$3,0,0,'Données projet'!$E$10+1,1))-AVERAGE(OFFSET($H$3,0,0,'Données projet'!$E$10+1,1))</f>
        <v>195.53935591077345</v>
      </c>
      <c r="AO20" s="62">
        <f t="shared" si="36"/>
        <v>189.8782192260071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10.295999999999999</v>
      </c>
      <c r="D21" s="12">
        <f t="shared" si="32"/>
        <v>3.6169789512251227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107.39843400945709</v>
      </c>
      <c r="H21" s="70">
        <f t="shared" si="1"/>
        <v>317.56510500671709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6.1165000000000003</v>
      </c>
      <c r="N21" s="14">
        <f>IF('Données projet'!$A$36&gt;35,N20+M21-V20,IF(A21&lt;'Données projet'!$A$36,$K$205^A21,IF(A21='Données projet'!$A$36,'Données projet'!$B$36,N20+M21-V20)))</f>
        <v>75.644904366334018</v>
      </c>
      <c r="O21" s="14">
        <f>N21*VLOOKUP('Données projet'!$B$9,Paramètres!$A$1:$I$89,3,0)*VLOOKUP('Données projet'!$B$9,Paramètres!$A$1:$I$89,5,0)</f>
        <v>45.235652811067744</v>
      </c>
      <c r="P21" s="14">
        <f t="shared" si="33"/>
        <v>13.376267790016469</v>
      </c>
      <c r="Q21" s="22">
        <f t="shared" si="2"/>
        <v>102.08242838022169</v>
      </c>
      <c r="R21" s="62">
        <f t="shared" si="0"/>
        <v>395.41576171355501</v>
      </c>
      <c r="S21" s="62">
        <f ca="1">AVERAGE(OFFSET($R$3,0,0,'Données projet'!$E$9+1,1))-AVERAGE(OFFSET($H$3,0,0,'Données projet'!$E$9+1,1))</f>
        <v>183.65324264438817</v>
      </c>
      <c r="T21" s="62">
        <f t="shared" si="34"/>
        <v>208.38613882433765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8</v>
      </c>
      <c r="AI21" s="14">
        <f>IF('Données projet'!$A$62&gt;35,AI20+AH21-AQ20,IF(A21&lt;'Données projet'!$A$62,$AF$205^A21,IF(A21='Données projet'!$A$62,'Données projet'!$B$62,AI20+AH21-AQ20)))</f>
        <v>71</v>
      </c>
      <c r="AJ21" s="14">
        <f>AI21*VLOOKUP('Données projet'!$B$10,Paramètres!$A$1:$I$89,3,0)*VLOOKUP('Données projet'!$B$10,Paramètres!$A$1:$I$89,5,0)</f>
        <v>62.025600000000011</v>
      </c>
      <c r="AK21" s="14">
        <f t="shared" si="35"/>
        <v>17.679410406677221</v>
      </c>
      <c r="AL21" s="22">
        <f t="shared" si="4"/>
        <v>138.8195597916295</v>
      </c>
      <c r="AM21" s="62">
        <f t="shared" si="5"/>
        <v>432.15289312496282</v>
      </c>
      <c r="AN21" s="62">
        <f ca="1">AVERAGE(OFFSET($AM$3,0,0,'Données projet'!$E$10+1,1))-AVERAGE(OFFSET($H$3,0,0,'Données projet'!$E$10+1,1))</f>
        <v>195.53935591077345</v>
      </c>
      <c r="AO21" s="62">
        <f t="shared" si="36"/>
        <v>189.8782192260071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10.867999999999999</v>
      </c>
      <c r="D22" s="12">
        <f t="shared" si="32"/>
        <v>3.7939698710293386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113.18011830268262</v>
      </c>
      <c r="H22" s="70">
        <f t="shared" si="1"/>
        <v>318.86959752537609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6.1165000000000003</v>
      </c>
      <c r="N22" s="14">
        <f>IF('Données projet'!$A$36&gt;35,N21+M22-V21,IF(A22&lt;'Données projet'!$A$36,$K$205^A22,IF(A22='Données projet'!$A$36,'Données projet'!$B$36,N21+M22-V21)))</f>
        <v>96.19584788925998</v>
      </c>
      <c r="O22" s="14">
        <f>N22*VLOOKUP('Données projet'!$B$9,Paramètres!$A$1:$I$89,3,0)*VLOOKUP('Données projet'!$B$9,Paramètres!$A$1:$I$89,5,0)</f>
        <v>57.52511703777747</v>
      </c>
      <c r="P22" s="14">
        <f t="shared" si="33"/>
        <v>16.541015230481396</v>
      </c>
      <c r="Q22" s="22">
        <f t="shared" si="2"/>
        <v>128.99851370055086</v>
      </c>
      <c r="R22" s="62">
        <f t="shared" si="0"/>
        <v>422.33184703388417</v>
      </c>
      <c r="S22" s="62">
        <f ca="1">AVERAGE(OFFSET($R$3,0,0,'Données projet'!$E$9+1,1))-AVERAGE(OFFSET($H$3,0,0,'Données projet'!$E$9+1,1))</f>
        <v>183.65324264438817</v>
      </c>
      <c r="T22" s="62">
        <f t="shared" si="34"/>
        <v>208.38613882433765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8</v>
      </c>
      <c r="AI22" s="14">
        <f>IF('Données projet'!$A$62&gt;35,AI21+AH22-AQ21,IF(A22&lt;'Données projet'!$A$62,$AF$205^A22,IF(A22='Données projet'!$A$62,'Données projet'!$B$62,AI21+AH22-AQ21)))</f>
        <v>79</v>
      </c>
      <c r="AJ22" s="14">
        <f>AI22*VLOOKUP('Données projet'!$B$10,Paramètres!$A$1:$I$89,3,0)*VLOOKUP('Données projet'!$B$10,Paramètres!$A$1:$I$89,5,0)</f>
        <v>69.014400000000009</v>
      </c>
      <c r="AK22" s="14">
        <f t="shared" si="35"/>
        <v>19.428496726251055</v>
      </c>
      <c r="AL22" s="22">
        <f t="shared" si="4"/>
        <v>154.03804513155393</v>
      </c>
      <c r="AM22" s="62">
        <f t="shared" si="5"/>
        <v>447.37137846488724</v>
      </c>
      <c r="AN22" s="62">
        <f ca="1">AVERAGE(OFFSET($AM$3,0,0,'Données projet'!$E$10+1,1))-AVERAGE(OFFSET($H$3,0,0,'Données projet'!$E$10+1,1))</f>
        <v>195.53935591077345</v>
      </c>
      <c r="AO22" s="62">
        <f t="shared" si="36"/>
        <v>189.8782192260071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11.439999999999998</v>
      </c>
      <c r="D23" s="12">
        <f t="shared" si="32"/>
        <v>3.9698792760720765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118.95345406090725</v>
      </c>
      <c r="H23" s="70">
        <f t="shared" si="1"/>
        <v>320.17220640582553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122.33</v>
      </c>
      <c r="L23" s="13">
        <f>VLOOKUP(A23,'Données projet'!$A$35:$I$55,9,0)</f>
        <v>6.1165000000000003</v>
      </c>
      <c r="M23" s="13">
        <f t="array" ref="M23">INDEX(L:L,MIN(IF(ISNUMBER(L23:L219),ROW(L23:L219),"")))</f>
        <v>6.1165000000000003</v>
      </c>
      <c r="N23" s="14">
        <f>IF('Données projet'!$A$36&gt;35,N22+M23-V22,IF(A23&lt;'Données projet'!$A$36,$K$205^A23,IF(A23='Données projet'!$A$36,'Données projet'!$B$36,N22+M23-V22)))</f>
        <v>122.33</v>
      </c>
      <c r="O23" s="14">
        <f>N23*VLOOKUP('Données projet'!$B$9,Paramètres!$A$1:$I$89,3,0)*VLOOKUP('Données projet'!$B$9,Paramètres!$A$1:$I$89,5,0)</f>
        <v>73.15334</v>
      </c>
      <c r="P23" s="14">
        <f t="shared" si="33"/>
        <v>20.454523574896282</v>
      </c>
      <c r="Q23" s="22">
        <f t="shared" si="2"/>
        <v>163.03369572627767</v>
      </c>
      <c r="R23" s="62">
        <f t="shared" si="0"/>
        <v>456.36702905961101</v>
      </c>
      <c r="S23" s="62">
        <f ca="1">AVERAGE(OFFSET($R$3,0,0,'Données projet'!$E$9+1,1))-AVERAGE(OFFSET($H$3,0,0,'Données projet'!$E$9+1,1))</f>
        <v>183.65324264438817</v>
      </c>
      <c r="T23" s="62">
        <f t="shared" si="34"/>
        <v>208.38613882433765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22.58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0.25200000000000006</v>
      </c>
      <c r="Y23" s="17">
        <f>IF(ISNA(VLOOKUP(A23,'Données projet'!$A$35:$I$55,7,0)),0%,VLOOKUP(A23,'Données projet'!$A$35:$I$55,7,0))</f>
        <v>0.44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4.4961486434889713</v>
      </c>
      <c r="AB23" s="23">
        <f>EXP(-LN(2)/2)*AB22+(1-EXP(-LN(2)/2))/(LN(2)/2)*V23*Y23*VLOOKUP('Données projet'!$B$9,Paramètres!$A$1:$I$89,3,0)*0.475*44/12</f>
        <v>6.7268746847861962</v>
      </c>
      <c r="AC23" s="24">
        <f t="shared" si="3"/>
        <v>11.223023328275168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87</v>
      </c>
      <c r="AG23" s="13">
        <f>VLOOKUP(A23,'Données projet'!$A$61:$I$81,9,0)</f>
        <v>8</v>
      </c>
      <c r="AH23" s="13">
        <f t="array" ref="AH23">INDEX(AG:AG,MIN(IF(ISNUMBER(AG23:AG219),ROW(AG23:AG219),"")))</f>
        <v>8</v>
      </c>
      <c r="AI23" s="14">
        <f>IF('Données projet'!$A$62&gt;35,AI22+AH23-AQ22,IF(A23&lt;'Données projet'!$A$62,$AF$205^A23,IF(A23='Données projet'!$A$62,'Données projet'!$B$62,AI22+AH23-AQ22)))</f>
        <v>87</v>
      </c>
      <c r="AJ23" s="14">
        <f>AI23*VLOOKUP('Données projet'!$B$10,Paramètres!$A$1:$I$89,3,0)*VLOOKUP('Données projet'!$B$10,Paramètres!$A$1:$I$89,5,0)</f>
        <v>76.003200000000007</v>
      </c>
      <c r="AK23" s="14">
        <f t="shared" si="35"/>
        <v>21.157049992000456</v>
      </c>
      <c r="AL23" s="22">
        <f t="shared" si="4"/>
        <v>169.22076873606747</v>
      </c>
      <c r="AM23" s="62">
        <f t="shared" si="5"/>
        <v>462.55410206940076</v>
      </c>
      <c r="AN23" s="62">
        <f ca="1">AVERAGE(OFFSET($AM$3,0,0,'Données projet'!$E$10+1,1))-AVERAGE(OFFSET($H$3,0,0,'Données projet'!$E$10+1,1))</f>
        <v>195.53935591077345</v>
      </c>
      <c r="AO23" s="62">
        <f t="shared" si="36"/>
        <v>189.8782192260071</v>
      </c>
      <c r="AP23" s="16">
        <f>IF(ISNA(VLOOKUP(A23,'Données projet'!$A$61:$I$81,3,0)),0,VLOOKUP(A23,'Données projet'!$A$61:$I$81,3,0))</f>
        <v>3</v>
      </c>
      <c r="AQ23" s="16">
        <f>IF(ISNA(VLOOKUP(A23,'Données projet'!$A$61:$I$81,4,0)),0,VLOOKUP(A23,'Données projet'!$A$61:$I$81,4,0))</f>
        <v>29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12.011999999999997</v>
      </c>
      <c r="D24" s="12">
        <f t="shared" si="32"/>
        <v>4.1447674125853915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124.7189063427644</v>
      </c>
      <c r="H24" s="70">
        <f t="shared" si="1"/>
        <v>321.47303657691953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11.725999999999999</v>
      </c>
      <c r="N24" s="14">
        <f>IF('Données projet'!$A$36&gt;35,N23+M24-V23,IF(A24&lt;'Données projet'!$A$36,$K$205^A24,IF(A24='Données projet'!$A$36,'Données projet'!$B$36,N23+M24-V23)))</f>
        <v>111.47599999999998</v>
      </c>
      <c r="O24" s="14">
        <f>N24*VLOOKUP('Données projet'!$B$9,Paramètres!$A$1:$I$89,3,0)*VLOOKUP('Données projet'!$B$9,Paramètres!$A$1:$I$89,5,0)</f>
        <v>66.662648000000004</v>
      </c>
      <c r="P24" s="14">
        <f t="shared" si="33"/>
        <v>18.84233390533424</v>
      </c>
      <c r="Q24" s="22">
        <f t="shared" si="2"/>
        <v>148.92117681845716</v>
      </c>
      <c r="R24" s="62">
        <f t="shared" si="0"/>
        <v>442.25451015179044</v>
      </c>
      <c r="S24" s="62">
        <f ca="1">AVERAGE(OFFSET($R$3,0,0,'Données projet'!$E$9+1,1))-AVERAGE(OFFSET($H$3,0,0,'Données projet'!$E$9+1,1))</f>
        <v>183.65324264438817</v>
      </c>
      <c r="T24" s="62">
        <f t="shared" si="34"/>
        <v>208.38613882433765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4.3732012223905841</v>
      </c>
      <c r="AB24" s="23">
        <f>EXP(-LN(2)/2)*AB23+(1-EXP(-LN(2)/2))/(LN(2)/2)*V24*Y24*VLOOKUP('Données projet'!$B$9,Paramètres!$A$1:$I$89,3,0)*0.475*44/12</f>
        <v>4.7566187058044394</v>
      </c>
      <c r="AC24" s="24">
        <f t="shared" si="3"/>
        <v>9.1298199281950225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8</v>
      </c>
      <c r="AI24" s="14">
        <f>IF('Données projet'!$A$62&gt;35,AI23+AH24-AQ23,IF(A24&lt;'Données projet'!$A$62,$AF$205^A24,IF(A24='Données projet'!$A$62,'Données projet'!$B$62,AI23+AH24-AQ23)))</f>
        <v>66</v>
      </c>
      <c r="AJ24" s="14">
        <f>AI24*VLOOKUP('Données projet'!$B$10,Paramètres!$A$1:$I$89,3,0)*VLOOKUP('Données projet'!$B$10,Paramètres!$A$1:$I$89,5,0)</f>
        <v>57.657600000000002</v>
      </c>
      <c r="AK24" s="14">
        <f t="shared" si="35"/>
        <v>16.574671209026025</v>
      </c>
      <c r="AL24" s="22">
        <f t="shared" si="4"/>
        <v>129.28787235572034</v>
      </c>
      <c r="AM24" s="62">
        <f t="shared" si="5"/>
        <v>422.62120568905368</v>
      </c>
      <c r="AN24" s="62">
        <f ca="1">AVERAGE(OFFSET($AM$3,0,0,'Données projet'!$E$10+1,1))-AVERAGE(OFFSET($H$3,0,0,'Données projet'!$E$10+1,1))</f>
        <v>195.53935591077345</v>
      </c>
      <c r="AO24" s="62">
        <f t="shared" si="36"/>
        <v>189.8782192260071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12.583999999999996</v>
      </c>
      <c r="D25" s="12">
        <f t="shared" si="32"/>
        <v>4.3186884648505384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130.47689341288131</v>
      </c>
      <c r="H25" s="70">
        <f t="shared" si="1"/>
        <v>322.77218240961469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11.725999999999999</v>
      </c>
      <c r="N25" s="14">
        <f>IF('Données projet'!$A$36&gt;35,N24+M25-V24,IF(A25&lt;'Données projet'!$A$36,$K$205^A25,IF(A25='Données projet'!$A$36,'Données projet'!$B$36,N24+M25-V24)))</f>
        <v>123.20199999999998</v>
      </c>
      <c r="O25" s="14">
        <f>N25*VLOOKUP('Données projet'!$B$9,Paramètres!$A$1:$I$89,3,0)*VLOOKUP('Données projet'!$B$9,Paramètres!$A$1:$I$89,5,0)</f>
        <v>73.674796000000001</v>
      </c>
      <c r="P25" s="14">
        <f t="shared" si="33"/>
        <v>20.583303702268221</v>
      </c>
      <c r="Q25" s="22">
        <f t="shared" si="2"/>
        <v>164.16619031478382</v>
      </c>
      <c r="R25" s="62">
        <f t="shared" si="0"/>
        <v>457.49952364811713</v>
      </c>
      <c r="S25" s="62">
        <f ca="1">AVERAGE(OFFSET($R$3,0,0,'Données projet'!$E$9+1,1))-AVERAGE(OFFSET($H$3,0,0,'Données projet'!$E$9+1,1))</f>
        <v>183.65324264438817</v>
      </c>
      <c r="T25" s="62">
        <f t="shared" si="34"/>
        <v>208.38613882433765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4.253615804987656</v>
      </c>
      <c r="AB25" s="23">
        <f>EXP(-LN(2)/2)*AB24+(1-EXP(-LN(2)/2))/(LN(2)/2)*V25*Y25*VLOOKUP('Données projet'!$B$9,Paramètres!$A$1:$I$89,3,0)*0.475*44/12</f>
        <v>3.363437342393099</v>
      </c>
      <c r="AC25" s="24">
        <f t="shared" si="3"/>
        <v>7.617053147380755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8</v>
      </c>
      <c r="AI25" s="14">
        <f>IF('Données projet'!$A$62&gt;35,AI24+AH25-AQ24,IF(A25&lt;'Données projet'!$A$62,$AF$205^A25,IF(A25='Données projet'!$A$62,'Données projet'!$B$62,AI24+AH25-AQ24)))</f>
        <v>74</v>
      </c>
      <c r="AJ25" s="14">
        <f>AI25*VLOOKUP('Données projet'!$B$10,Paramètres!$A$1:$I$89,3,0)*VLOOKUP('Données projet'!$B$10,Paramètres!$A$1:$I$89,5,0)</f>
        <v>64.646400000000014</v>
      </c>
      <c r="AK25" s="14">
        <f t="shared" si="35"/>
        <v>18.337876695493666</v>
      </c>
      <c r="AL25" s="22">
        <f t="shared" si="4"/>
        <v>144.53094857798482</v>
      </c>
      <c r="AM25" s="62">
        <f t="shared" si="5"/>
        <v>437.86428191131813</v>
      </c>
      <c r="AN25" s="62">
        <f ca="1">AVERAGE(OFFSET($AM$3,0,0,'Données projet'!$E$10+1,1))-AVERAGE(OFFSET($H$3,0,0,'Données projet'!$E$10+1,1))</f>
        <v>195.53935591077345</v>
      </c>
      <c r="AO25" s="62">
        <f t="shared" si="36"/>
        <v>189.8782192260071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13.155999999999995</v>
      </c>
      <c r="D26" s="12">
        <f t="shared" si="32"/>
        <v>4.4916914128654293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136.22779336246995</v>
      </c>
      <c r="H26" s="70">
        <f t="shared" si="1"/>
        <v>324.0697292107406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11.725999999999999</v>
      </c>
      <c r="N26" s="14">
        <f>IF('Données projet'!$A$36&gt;35,N25+M26-V25,IF(A26&lt;'Données projet'!$A$36,$K$205^A26,IF(A26='Données projet'!$A$36,'Données projet'!$B$36,N25+M26-V25)))</f>
        <v>134.928</v>
      </c>
      <c r="O26" s="14">
        <f>N26*VLOOKUP('Données projet'!$B$9,Paramètres!$A$1:$I$89,3,0)*VLOOKUP('Données projet'!$B$9,Paramètres!$A$1:$I$89,5,0)</f>
        <v>80.686944000000011</v>
      </c>
      <c r="P26" s="14">
        <f t="shared" si="33"/>
        <v>22.305061835892413</v>
      </c>
      <c r="Q26" s="22">
        <f t="shared" si="2"/>
        <v>179.37774349751263</v>
      </c>
      <c r="R26" s="62">
        <f t="shared" si="0"/>
        <v>472.71107683084597</v>
      </c>
      <c r="S26" s="62">
        <f ca="1">AVERAGE(OFFSET($R$3,0,0,'Données projet'!$E$9+1,1))-AVERAGE(OFFSET($H$3,0,0,'Données projet'!$E$9+1,1))</f>
        <v>183.65324264438817</v>
      </c>
      <c r="T26" s="62">
        <f t="shared" si="34"/>
        <v>208.38613882433765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4.1373004571123353</v>
      </c>
      <c r="AB26" s="23">
        <f>EXP(-LN(2)/2)*AB25+(1-EXP(-LN(2)/2))/(LN(2)/2)*V26*Y26*VLOOKUP('Données projet'!$B$9,Paramètres!$A$1:$I$89,3,0)*0.475*44/12</f>
        <v>2.3783093529022201</v>
      </c>
      <c r="AC26" s="24">
        <f t="shared" si="3"/>
        <v>6.5156098100145554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8</v>
      </c>
      <c r="AI26" s="14">
        <f>IF('Données projet'!$A$62&gt;35,AI25+AH26-AQ25,IF(A26&lt;'Données projet'!$A$62,$AF$205^A26,IF(A26='Données projet'!$A$62,'Données projet'!$B$62,AI25+AH26-AQ25)))</f>
        <v>82</v>
      </c>
      <c r="AJ26" s="14">
        <f>AI26*VLOOKUP('Données projet'!$B$10,Paramètres!$A$1:$I$89,3,0)*VLOOKUP('Données projet'!$B$10,Paramètres!$A$1:$I$89,5,0)</f>
        <v>71.635200000000012</v>
      </c>
      <c r="AK26" s="14">
        <f t="shared" si="35"/>
        <v>20.078988020012648</v>
      </c>
      <c r="AL26" s="22">
        <f t="shared" si="4"/>
        <v>159.73554413485536</v>
      </c>
      <c r="AM26" s="62">
        <f t="shared" si="5"/>
        <v>453.0688774681887</v>
      </c>
      <c r="AN26" s="62">
        <f ca="1">AVERAGE(OFFSET($AM$3,0,0,'Données projet'!$E$10+1,1))-AVERAGE(OFFSET($H$3,0,0,'Données projet'!$E$10+1,1))</f>
        <v>195.53935591077345</v>
      </c>
      <c r="AO26" s="62">
        <f t="shared" si="36"/>
        <v>189.8782192260071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13.727999999999994</v>
      </c>
      <c r="D27" s="12">
        <f t="shared" si="32"/>
        <v>4.6638207366437294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141.97194954602173</v>
      </c>
      <c r="H27" s="70">
        <f t="shared" si="1"/>
        <v>325.36575444965445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11.725999999999999</v>
      </c>
      <c r="N27" s="14">
        <f>IF('Données projet'!$A$36&gt;35,N26+M27-V26,IF(A27&lt;'Données projet'!$A$36,$K$205^A27,IF(A27='Données projet'!$A$36,'Données projet'!$B$36,N26+M27-V26)))</f>
        <v>146.654</v>
      </c>
      <c r="O27" s="14">
        <f>N27*VLOOKUP('Données projet'!$B$9,Paramètres!$A$1:$I$89,3,0)*VLOOKUP('Données projet'!$B$9,Paramètres!$A$1:$I$89,5,0)</f>
        <v>87.699092000000007</v>
      </c>
      <c r="P27" s="14">
        <f t="shared" si="33"/>
        <v>24.009467744465564</v>
      </c>
      <c r="Q27" s="22">
        <f t="shared" si="2"/>
        <v>194.55907488827754</v>
      </c>
      <c r="R27" s="62">
        <f t="shared" si="0"/>
        <v>487.89240822161082</v>
      </c>
      <c r="S27" s="62">
        <f ca="1">AVERAGE(OFFSET($R$3,0,0,'Données projet'!$E$9+1,1))-AVERAGE(OFFSET($H$3,0,0,'Données projet'!$E$9+1,1))</f>
        <v>183.65324264438817</v>
      </c>
      <c r="T27" s="62">
        <f t="shared" si="34"/>
        <v>208.38613882433765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4.0241657585414234</v>
      </c>
      <c r="AB27" s="23">
        <f>EXP(-LN(2)/2)*AB26+(1-EXP(-LN(2)/2))/(LN(2)/2)*V27*Y27*VLOOKUP('Données projet'!$B$9,Paramètres!$A$1:$I$89,3,0)*0.475*44/12</f>
        <v>1.6817186711965497</v>
      </c>
      <c r="AC27" s="24">
        <f t="shared" si="3"/>
        <v>5.7058844297379734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8</v>
      </c>
      <c r="AI27" s="14">
        <f>IF('Données projet'!$A$62&gt;35,AI26+AH27-AQ26,IF(A27&lt;'Données projet'!$A$62,$AF$205^A27,IF(A27='Données projet'!$A$62,'Données projet'!$B$62,AI26+AH27-AQ26)))</f>
        <v>90</v>
      </c>
      <c r="AJ27" s="14">
        <f>AI27*VLOOKUP('Données projet'!$B$10,Paramètres!$A$1:$I$89,3,0)*VLOOKUP('Données projet'!$B$10,Paramètres!$A$1:$I$89,5,0)</f>
        <v>78.624000000000009</v>
      </c>
      <c r="AK27" s="14">
        <f t="shared" si="35"/>
        <v>21.800406010684462</v>
      </c>
      <c r="AL27" s="22">
        <f t="shared" si="4"/>
        <v>174.90584046860877</v>
      </c>
      <c r="AM27" s="62">
        <f t="shared" si="5"/>
        <v>468.23917380194212</v>
      </c>
      <c r="AN27" s="62">
        <f ca="1">AVERAGE(OFFSET($AM$3,0,0,'Données projet'!$E$10+1,1))-AVERAGE(OFFSET($H$3,0,0,'Données projet'!$E$10+1,1))</f>
        <v>195.53935591077345</v>
      </c>
      <c r="AO27" s="62">
        <f t="shared" si="36"/>
        <v>189.8782192260071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14.299999999999994</v>
      </c>
      <c r="D28" s="12">
        <f t="shared" si="32"/>
        <v>4.8351169998231045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147.70967508635374</v>
      </c>
      <c r="H28" s="70">
        <f t="shared" si="1"/>
        <v>326.66032877469189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158.38</v>
      </c>
      <c r="L28" s="13">
        <f>VLOOKUP(A28,'Données projet'!$A$35:$I$55,9,0)</f>
        <v>11.725999999999999</v>
      </c>
      <c r="M28" s="13">
        <f t="array" ref="M28">INDEX(L:L,MIN(IF(ISNUMBER(L28:L224),ROW(L28:L224),"")))</f>
        <v>11.725999999999999</v>
      </c>
      <c r="N28" s="14">
        <f>IF('Données projet'!$A$36&gt;35,N27+M28-V27,IF(A28&lt;'Données projet'!$A$36,$K$205^A28,IF(A28='Données projet'!$A$36,'Données projet'!$B$36,N27+M28-V27)))</f>
        <v>158.38</v>
      </c>
      <c r="O28" s="14">
        <f>N28*VLOOKUP('Données projet'!$B$9,Paramètres!$A$1:$I$89,3,0)*VLOOKUP('Données projet'!$B$9,Paramètres!$A$1:$I$89,5,0)</f>
        <v>94.711240000000004</v>
      </c>
      <c r="P28" s="14">
        <f t="shared" si="33"/>
        <v>25.698066596476011</v>
      </c>
      <c r="Q28" s="22">
        <f t="shared" si="2"/>
        <v>209.71287565552905</v>
      </c>
      <c r="R28" s="62">
        <f t="shared" si="0"/>
        <v>503.04620898886236</v>
      </c>
      <c r="S28" s="62">
        <f ca="1">AVERAGE(OFFSET($R$3,0,0,'Données projet'!$E$9+1,1))-AVERAGE(OFFSET($H$3,0,0,'Données projet'!$E$9+1,1))</f>
        <v>183.65324264438817</v>
      </c>
      <c r="T28" s="62">
        <f t="shared" si="34"/>
        <v>208.38613882433765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19.72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0.25200000000000006</v>
      </c>
      <c r="Y28" s="17">
        <f>IF(ISNA(VLOOKUP(A28,'Données projet'!$A$35:$I$55,7,0)),0%,VLOOKUP(A28,'Données projet'!$A$35:$I$55,7,0))</f>
        <v>0.44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7.8407877656785798</v>
      </c>
      <c r="AB28" s="23">
        <f>EXP(-LN(2)/2)*AB27+(1-EXP(-LN(2)/2))/(LN(2)/2)*V28*Y28*VLOOKUP('Données projet'!$B$9,Paramètres!$A$1:$I$89,3,0)*0.475*44/12</f>
        <v>7.063998289559339</v>
      </c>
      <c r="AC28" s="24">
        <f t="shared" si="3"/>
        <v>14.904786055237919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98</v>
      </c>
      <c r="AG28" s="13">
        <f>VLOOKUP(A28,'Données projet'!$A$61:$I$81,9,0)</f>
        <v>8</v>
      </c>
      <c r="AH28" s="13">
        <f t="array" ref="AH28">INDEX(AG:AG,MIN(IF(ISNUMBER(AG28:AG224),ROW(AG28:AG224),"")))</f>
        <v>8</v>
      </c>
      <c r="AI28" s="14">
        <f>IF('Données projet'!$A$62&gt;35,AI27+AH28-AQ27,IF(A28&lt;'Données projet'!$A$62,$AF$205^A28,IF(A28='Données projet'!$A$62,'Données projet'!$B$62,AI27+AH28-AQ27)))</f>
        <v>98</v>
      </c>
      <c r="AJ28" s="14">
        <f>AI28*VLOOKUP('Données projet'!$B$10,Paramètres!$A$1:$I$89,3,0)*VLOOKUP('Données projet'!$B$10,Paramètres!$A$1:$I$89,5,0)</f>
        <v>85.612800000000007</v>
      </c>
      <c r="AK28" s="14">
        <f t="shared" si="35"/>
        <v>23.504080242391282</v>
      </c>
      <c r="AL28" s="22">
        <f t="shared" si="4"/>
        <v>190.04523308883151</v>
      </c>
      <c r="AM28" s="62">
        <f t="shared" si="5"/>
        <v>483.37856642216479</v>
      </c>
      <c r="AN28" s="62">
        <f ca="1">AVERAGE(OFFSET($AM$3,0,0,'Données projet'!$E$10+1,1))-AVERAGE(OFFSET($H$3,0,0,'Données projet'!$E$10+1,1))</f>
        <v>195.53935591077345</v>
      </c>
      <c r="AO28" s="62">
        <f t="shared" si="36"/>
        <v>189.8782192260071</v>
      </c>
      <c r="AP28" s="16">
        <f>IF(ISNA(VLOOKUP(A28,'Données projet'!$A$61:$I$81,3,0)),0,VLOOKUP(A28,'Données projet'!$A$61:$I$81,3,0))</f>
        <v>4</v>
      </c>
      <c r="AQ28" s="16">
        <f>IF(ISNA(VLOOKUP(A28,'Données projet'!$A$61:$I$81,4,0)),0,VLOOKUP(A28,'Données projet'!$A$61:$I$81,4,0))</f>
        <v>19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14.871999999999993</v>
      </c>
      <c r="D29" s="12">
        <f t="shared" si="32"/>
        <v>5.0056173372676955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153.4412566385576</v>
      </c>
      <c r="H29" s="70">
        <f t="shared" si="1"/>
        <v>327.95351686240787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9.9120000000000008</v>
      </c>
      <c r="N29" s="14">
        <f>IF('Données projet'!$A$36&gt;35,N28+M29-V28,IF(A29&lt;'Données projet'!$A$36,$K$205^A29,IF(A29='Données projet'!$A$36,'Données projet'!$B$36,N28+M29-V28)))</f>
        <v>148.572</v>
      </c>
      <c r="O29" s="14">
        <f>N29*VLOOKUP('Données projet'!$B$9,Paramètres!$A$1:$I$89,3,0)*VLOOKUP('Données projet'!$B$9,Paramètres!$A$1:$I$89,5,0)</f>
        <v>88.846056000000004</v>
      </c>
      <c r="P29" s="14">
        <f t="shared" si="33"/>
        <v>24.286712815516552</v>
      </c>
      <c r="Q29" s="22">
        <f t="shared" si="2"/>
        <v>197.03957235369134</v>
      </c>
      <c r="R29" s="62">
        <f t="shared" si="0"/>
        <v>490.37290568702463</v>
      </c>
      <c r="S29" s="62">
        <f ca="1">AVERAGE(OFFSET($R$3,0,0,'Données projet'!$E$9+1,1))-AVERAGE(OFFSET($H$3,0,0,'Données projet'!$E$9+1,1))</f>
        <v>183.65324264438817</v>
      </c>
      <c r="T29" s="62">
        <f t="shared" si="34"/>
        <v>208.38613882433765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7.6263810118969912</v>
      </c>
      <c r="AB29" s="23">
        <f>EXP(-LN(2)/2)*AB28+(1-EXP(-LN(2)/2))/(LN(2)/2)*V29*Y29*VLOOKUP('Données projet'!$B$9,Paramètres!$A$1:$I$89,3,0)*0.475*44/12</f>
        <v>4.9950010928375814</v>
      </c>
      <c r="AC29" s="24">
        <f t="shared" si="3"/>
        <v>12.621382104734572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8</v>
      </c>
      <c r="AI29" s="14">
        <f>IF('Données projet'!$A$62&gt;35,AI28+AH29-AQ28,IF(A29&lt;'Données projet'!$A$62,$AF$205^A29,IF(A29='Données projet'!$A$62,'Données projet'!$B$62,AI28+AH29-AQ28)))</f>
        <v>87</v>
      </c>
      <c r="AJ29" s="14">
        <f>AI29*VLOOKUP('Données projet'!$B$10,Paramètres!$A$1:$I$89,3,0)*VLOOKUP('Données projet'!$B$10,Paramètres!$A$1:$I$89,5,0)</f>
        <v>76.003200000000007</v>
      </c>
      <c r="AK29" s="14">
        <f t="shared" si="35"/>
        <v>21.157049992000456</v>
      </c>
      <c r="AL29" s="22">
        <f t="shared" si="4"/>
        <v>169.22076873606747</v>
      </c>
      <c r="AM29" s="62">
        <f t="shared" si="5"/>
        <v>462.55410206940076</v>
      </c>
      <c r="AN29" s="62">
        <f ca="1">AVERAGE(OFFSET($AM$3,0,0,'Données projet'!$E$10+1,1))-AVERAGE(OFFSET($H$3,0,0,'Données projet'!$E$10+1,1))</f>
        <v>195.53935591077345</v>
      </c>
      <c r="AO29" s="62">
        <f t="shared" si="36"/>
        <v>189.8782192260071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15.443999999999992</v>
      </c>
      <c r="D30" s="12">
        <f t="shared" si="32"/>
        <v>5.17535586554484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159.16695755859169</v>
      </c>
      <c r="H30" s="70">
        <f t="shared" si="1"/>
        <v>329.24537813249054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9.9120000000000008</v>
      </c>
      <c r="N30" s="14">
        <f>IF('Données projet'!$A$36&gt;35,N29+M30-V29,IF(A30&lt;'Données projet'!$A$36,$K$205^A30,IF(A30='Données projet'!$A$36,'Données projet'!$B$36,N29+M30-V29)))</f>
        <v>158.48400000000001</v>
      </c>
      <c r="O30" s="14">
        <f>N30*VLOOKUP('Données projet'!$B$9,Paramètres!$A$1:$I$89,3,0)*VLOOKUP('Données projet'!$B$9,Paramètres!$A$1:$I$89,5,0)</f>
        <v>94.773432000000014</v>
      </c>
      <c r="P30" s="14">
        <f t="shared" si="33"/>
        <v>25.712976422107072</v>
      </c>
      <c r="Q30" s="22">
        <f t="shared" si="2"/>
        <v>209.84716133516986</v>
      </c>
      <c r="R30" s="62">
        <f t="shared" si="0"/>
        <v>503.18049466850317</v>
      </c>
      <c r="S30" s="62">
        <f ca="1">AVERAGE(OFFSET($R$3,0,0,'Données projet'!$E$9+1,1))-AVERAGE(OFFSET($H$3,0,0,'Données projet'!$E$9+1,1))</f>
        <v>183.65324264438817</v>
      </c>
      <c r="T30" s="62">
        <f t="shared" si="34"/>
        <v>208.38613882433765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7.4178372220727207</v>
      </c>
      <c r="AB30" s="23">
        <f>EXP(-LN(2)/2)*AB29+(1-EXP(-LN(2)/2))/(LN(2)/2)*V30*Y30*VLOOKUP('Données projet'!$B$9,Paramètres!$A$1:$I$89,3,0)*0.475*44/12</f>
        <v>3.5319991447796695</v>
      </c>
      <c r="AC30" s="24">
        <f t="shared" si="3"/>
        <v>10.94983636685239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8</v>
      </c>
      <c r="AI30" s="14">
        <f>IF('Données projet'!$A$62&gt;35,AI29+AH30-AQ29,IF(A30&lt;'Données projet'!$A$62,$AF$205^A30,IF(A30='Données projet'!$A$62,'Données projet'!$B$62,AI29+AH30-AQ29)))</f>
        <v>95</v>
      </c>
      <c r="AJ30" s="14">
        <f>AI30*VLOOKUP('Données projet'!$B$10,Paramètres!$A$1:$I$89,3,0)*VLOOKUP('Données projet'!$B$10,Paramètres!$A$1:$I$89,5,0)</f>
        <v>82.992000000000004</v>
      </c>
      <c r="AK30" s="14">
        <f t="shared" si="35"/>
        <v>22.867173045817324</v>
      </c>
      <c r="AL30" s="22">
        <f t="shared" si="4"/>
        <v>184.37139305479852</v>
      </c>
      <c r="AM30" s="62">
        <f t="shared" si="5"/>
        <v>477.7047263881318</v>
      </c>
      <c r="AN30" s="62">
        <f ca="1">AVERAGE(OFFSET($AM$3,0,0,'Données projet'!$E$10+1,1))-AVERAGE(OFFSET($H$3,0,0,'Données projet'!$E$10+1,1))</f>
        <v>195.53935591077345</v>
      </c>
      <c r="AO30" s="62">
        <f t="shared" si="36"/>
        <v>189.8782192260071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16.015999999999991</v>
      </c>
      <c r="D31" s="12">
        <f t="shared" si="32"/>
        <v>5.3443640308809153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164.88702058925614</v>
      </c>
      <c r="H31" s="70">
        <f t="shared" si="1"/>
        <v>330.5359673537842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9.9120000000000008</v>
      </c>
      <c r="N31" s="14">
        <f>IF('Données projet'!$A$36&gt;35,N30+M31-V30,IF(A31&lt;'Données projet'!$A$36,$K$205^A31,IF(A31='Données projet'!$A$36,'Données projet'!$B$36,N30+M31-V30)))</f>
        <v>168.39600000000002</v>
      </c>
      <c r="O31" s="14">
        <f>N31*VLOOKUP('Données projet'!$B$9,Paramètres!$A$1:$I$89,3,0)*VLOOKUP('Données projet'!$B$9,Paramètres!$A$1:$I$89,5,0)</f>
        <v>100.70080800000002</v>
      </c>
      <c r="P31" s="14">
        <f t="shared" si="33"/>
        <v>27.12888747024483</v>
      </c>
      <c r="Q31" s="22">
        <f t="shared" si="2"/>
        <v>222.63671961067644</v>
      </c>
      <c r="R31" s="62">
        <f t="shared" si="0"/>
        <v>515.97005294400969</v>
      </c>
      <c r="S31" s="62">
        <f ca="1">AVERAGE(OFFSET($R$3,0,0,'Données projet'!$E$9+1,1))-AVERAGE(OFFSET($H$3,0,0,'Données projet'!$E$9+1,1))</f>
        <v>183.65324264438817</v>
      </c>
      <c r="T31" s="62">
        <f t="shared" si="34"/>
        <v>208.38613882433765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7.2149960731480363</v>
      </c>
      <c r="AB31" s="23">
        <f>EXP(-LN(2)/2)*AB30+(1-EXP(-LN(2)/2))/(LN(2)/2)*V31*Y31*VLOOKUP('Données projet'!$B$9,Paramètres!$A$1:$I$89,3,0)*0.475*44/12</f>
        <v>2.4975005464187907</v>
      </c>
      <c r="AC31" s="24">
        <f t="shared" si="3"/>
        <v>9.7124966195668279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8</v>
      </c>
      <c r="AI31" s="14">
        <f>IF('Données projet'!$A$62&gt;35,AI30+AH31-AQ30,IF(A31&lt;'Données projet'!$A$62,$AF$205^A31,IF(A31='Données projet'!$A$62,'Données projet'!$B$62,AI30+AH31-AQ30)))</f>
        <v>103</v>
      </c>
      <c r="AJ31" s="14">
        <f>AI31*VLOOKUP('Données projet'!$B$10,Paramètres!$A$1:$I$89,3,0)*VLOOKUP('Données projet'!$B$10,Paramètres!$A$1:$I$89,5,0)</f>
        <v>89.980800000000016</v>
      </c>
      <c r="AK31" s="14">
        <f t="shared" si="35"/>
        <v>24.560594358746648</v>
      </c>
      <c r="AL31" s="22">
        <f t="shared" si="4"/>
        <v>199.49292850815041</v>
      </c>
      <c r="AM31" s="62">
        <f t="shared" si="5"/>
        <v>492.82626184148376</v>
      </c>
      <c r="AN31" s="62">
        <f ca="1">AVERAGE(OFFSET($AM$3,0,0,'Données projet'!$E$10+1,1))-AVERAGE(OFFSET($H$3,0,0,'Données projet'!$E$10+1,1))</f>
        <v>195.53935591077345</v>
      </c>
      <c r="AO31" s="62">
        <f t="shared" si="36"/>
        <v>189.8782192260071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16.58799999999999</v>
      </c>
      <c r="D32" s="12">
        <f t="shared" si="32"/>
        <v>5.5126709060123593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170.60167015167431</v>
      </c>
      <c r="H32" s="70">
        <f t="shared" si="1"/>
        <v>331.82533516130485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9.9120000000000008</v>
      </c>
      <c r="N32" s="14">
        <f>IF('Données projet'!$A$36&gt;35,N31+M32-V31,IF(A32&lt;'Données projet'!$A$36,$K$205^A32,IF(A32='Données projet'!$A$36,'Données projet'!$B$36,N31+M32-V31)))</f>
        <v>178.30800000000002</v>
      </c>
      <c r="O32" s="14">
        <f>N32*VLOOKUP('Données projet'!$B$9,Paramètres!$A$1:$I$89,3,0)*VLOOKUP('Données projet'!$B$9,Paramètres!$A$1:$I$89,5,0)</f>
        <v>106.62818400000003</v>
      </c>
      <c r="P32" s="14">
        <f t="shared" si="33"/>
        <v>28.53512473587913</v>
      </c>
      <c r="Q32" s="22">
        <f t="shared" si="2"/>
        <v>235.40942938165617</v>
      </c>
      <c r="R32" s="62">
        <f t="shared" si="0"/>
        <v>528.74276271498945</v>
      </c>
      <c r="S32" s="62">
        <f ca="1">AVERAGE(OFFSET($R$3,0,0,'Données projet'!$E$9+1,1))-AVERAGE(OFFSET($H$3,0,0,'Données projet'!$E$9+1,1))</f>
        <v>183.65324264438817</v>
      </c>
      <c r="T32" s="62">
        <f t="shared" si="34"/>
        <v>208.38613882433765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7.0177016261076499</v>
      </c>
      <c r="AB32" s="23">
        <f>EXP(-LN(2)/2)*AB31+(1-EXP(-LN(2)/2))/(LN(2)/2)*V32*Y32*VLOOKUP('Données projet'!$B$9,Paramètres!$A$1:$I$89,3,0)*0.475*44/12</f>
        <v>1.7659995723898347</v>
      </c>
      <c r="AC32" s="24">
        <f t="shared" si="3"/>
        <v>8.783701198497484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8</v>
      </c>
      <c r="AI32" s="14">
        <f>IF('Données projet'!$A$62&gt;35,AI31+AH32-AQ31,IF(A32&lt;'Données projet'!$A$62,$AF$205^A32,IF(A32='Données projet'!$A$62,'Données projet'!$B$62,AI31+AH32-AQ31)))</f>
        <v>111</v>
      </c>
      <c r="AJ32" s="14">
        <f>AI32*VLOOKUP('Données projet'!$B$10,Paramètres!$A$1:$I$89,3,0)*VLOOKUP('Données projet'!$B$10,Paramètres!$A$1:$I$89,5,0)</f>
        <v>96.969600000000014</v>
      </c>
      <c r="AK32" s="14">
        <f t="shared" si="35"/>
        <v>26.238758642904337</v>
      </c>
      <c r="AL32" s="22">
        <f t="shared" si="4"/>
        <v>214.58789130305843</v>
      </c>
      <c r="AM32" s="62">
        <f t="shared" si="5"/>
        <v>507.92122463639174</v>
      </c>
      <c r="AN32" s="62">
        <f ca="1">AVERAGE(OFFSET($AM$3,0,0,'Données projet'!$E$10+1,1))-AVERAGE(OFFSET($H$3,0,0,'Données projet'!$E$10+1,1))</f>
        <v>195.53935591077345</v>
      </c>
      <c r="AO32" s="62">
        <f t="shared" si="36"/>
        <v>189.8782192260071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17.159999999999989</v>
      </c>
      <c r="D33" s="12">
        <f t="shared" si="32"/>
        <v>5.6803034449413801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176.31111431182811</v>
      </c>
      <c r="H33" s="70">
        <f t="shared" si="1"/>
        <v>333.11352849993955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188.22</v>
      </c>
      <c r="L33" s="13">
        <f>VLOOKUP(A33,'Données projet'!$A$35:$I$55,9,0)</f>
        <v>9.9120000000000008</v>
      </c>
      <c r="M33" s="13">
        <f t="array" ref="M33">INDEX(L:L,MIN(IF(ISNUMBER(L33:L229),ROW(L33:L229),"")))</f>
        <v>9.9120000000000008</v>
      </c>
      <c r="N33" s="14">
        <f>IF('Données projet'!$A$36&gt;35,N32+M33-V32,IF(A33&lt;'Données projet'!$A$36,$K$205^A33,IF(A33='Données projet'!$A$36,'Données projet'!$B$36,N32+M33-V32)))</f>
        <v>188.22000000000003</v>
      </c>
      <c r="O33" s="14">
        <f>N33*VLOOKUP('Données projet'!$B$9,Paramètres!$A$1:$I$89,3,0)*VLOOKUP('Données projet'!$B$9,Paramètres!$A$1:$I$89,5,0)</f>
        <v>112.55556000000001</v>
      </c>
      <c r="P33" s="14">
        <f t="shared" si="33"/>
        <v>29.932287267527578</v>
      </c>
      <c r="Q33" s="22">
        <f t="shared" si="2"/>
        <v>248.16633399094391</v>
      </c>
      <c r="R33" s="62">
        <f t="shared" si="0"/>
        <v>541.4996673242772</v>
      </c>
      <c r="S33" s="62">
        <f ca="1">AVERAGE(OFFSET($R$3,0,0,'Données projet'!$E$9+1,1))-AVERAGE(OFFSET($H$3,0,0,'Données projet'!$E$9+1,1))</f>
        <v>183.65324264438817</v>
      </c>
      <c r="T33" s="62">
        <f t="shared" si="34"/>
        <v>208.38613882433765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24.2</v>
      </c>
      <c r="W33" s="17">
        <f>IF(ISNA(VLOOKUP(A33,'Données projet'!$A$35:$I$55,5,0)),0%,VLOOKUP(A33,'Données projet'!$A$35:$I$55,5,0)*VLOOKUP('Données projet'!$B$9,Paramètres!$A$1:$I$89,7,0))</f>
        <v>9.0000000000000011E-2</v>
      </c>
      <c r="X33" s="17">
        <f>IF(ISNA(VLOOKUP(A33,'Données projet'!$A$35:$I$55,6,0)),0%,VLOOKUP(A33,'Données projet'!$A$35:$I$55,6,0)*VLOOKUP('Données projet'!$B$9,Paramètres!$A$1:$I$89,7,0))</f>
        <v>0.20250000000000001</v>
      </c>
      <c r="Y33" s="17">
        <f>IF(ISNA(VLOOKUP(A33,'Données projet'!$A$35:$I$55,7,0)),0%,VLOOKUP(A33,'Données projet'!$A$35:$I$55,7,0))</f>
        <v>0.35</v>
      </c>
      <c r="Z33" s="23">
        <f>EXP(-LN(2)/35)*Z32+(1-EXP(-LN(2)/35))/(LN(2)/35)*V33*W33*VLOOKUP('Données projet'!$B$9,Paramètres!$A$1:$I$89,3,0)*0.475*44/12</f>
        <v>1.7277759156004964</v>
      </c>
      <c r="AA33" s="23">
        <f>EXP(-LN(2)/25)*AA32+(1-EXP(-LN(2)/25))/(LN(2)/25)*Calculateur!V33*Calculateur!X33*VLOOKUP('Données projet'!$B$9,Paramètres!$A$1:$I$89,3,0)*0.475*44/12</f>
        <v>10.697991463941564</v>
      </c>
      <c r="AB33" s="23">
        <f>EXP(-LN(2)/2)*AB32+(1-EXP(-LN(2)/2))/(LN(2)/2)*V33*Y33*VLOOKUP('Données projet'!$B$9,Paramètres!$A$1:$I$89,3,0)*0.475*44/12</f>
        <v>6.9835747941187964</v>
      </c>
      <c r="AC33" s="24">
        <f t="shared" si="3"/>
        <v>19.409342173660857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119</v>
      </c>
      <c r="AG33" s="13">
        <f>VLOOKUP(A33,'Données projet'!$A$61:$I$81,9,0)</f>
        <v>8</v>
      </c>
      <c r="AH33" s="13">
        <f t="array" ref="AH33">INDEX(AG:AG,MIN(IF(ISNUMBER(AG33:AG229),ROW(AG33:AG229),"")))</f>
        <v>8</v>
      </c>
      <c r="AI33" s="14">
        <f>IF('Données projet'!$A$62&gt;35,AI32+AH33-AQ32,IF(A33&lt;'Données projet'!$A$62,$AF$205^A33,IF(A33='Données projet'!$A$62,'Données projet'!$B$62,AI32+AH33-AQ32)))</f>
        <v>119</v>
      </c>
      <c r="AJ33" s="14">
        <f>AI33*VLOOKUP('Données projet'!$B$10,Paramètres!$A$1:$I$89,3,0)*VLOOKUP('Données projet'!$B$10,Paramètres!$A$1:$I$89,5,0)</f>
        <v>103.9584</v>
      </c>
      <c r="AK33" s="14">
        <f t="shared" si="35"/>
        <v>27.902890560352166</v>
      </c>
      <c r="AL33" s="22">
        <f t="shared" si="4"/>
        <v>229.65841439261331</v>
      </c>
      <c r="AM33" s="62">
        <f t="shared" si="5"/>
        <v>522.99174772594665</v>
      </c>
      <c r="AN33" s="62">
        <f ca="1">AVERAGE(OFFSET($AM$3,0,0,'Données projet'!$E$10+1,1))-AVERAGE(OFFSET($H$3,0,0,'Données projet'!$E$10+1,1))</f>
        <v>195.53935591077345</v>
      </c>
      <c r="AO33" s="62">
        <f t="shared" si="36"/>
        <v>189.8782192260071</v>
      </c>
      <c r="AP33" s="16">
        <f>IF(ISNA(VLOOKUP(A33,'Données projet'!$A$61:$I$81,3,0)),0,VLOOKUP(A33,'Données projet'!$A$61:$I$81,3,0))</f>
        <v>5</v>
      </c>
      <c r="AQ33" s="16">
        <f>IF(ISNA(VLOOKUP(A33,'Données projet'!$A$61:$I$81,4,0)),0,VLOOKUP(A33,'Données projet'!$A$61:$I$81,4,0))</f>
        <v>20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17.731999999999989</v>
      </c>
      <c r="D34" s="12">
        <f t="shared" si="32"/>
        <v>5.847286702770063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182.01554647752323</v>
      </c>
      <c r="H34" s="70">
        <f t="shared" si="1"/>
        <v>334.40059100732446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10.776</v>
      </c>
      <c r="N34" s="14">
        <f>IF('Données projet'!$A$36&gt;35,N33+M34-V33,IF(A34&lt;'Données projet'!$A$36,$K$205^A34,IF(A34='Données projet'!$A$36,'Données projet'!$B$36,N33+M34-V33)))</f>
        <v>174.79600000000005</v>
      </c>
      <c r="O34" s="14">
        <f>N34*VLOOKUP('Données projet'!$B$9,Paramètres!$A$1:$I$89,3,0)*VLOOKUP('Données projet'!$B$9,Paramètres!$A$1:$I$89,5,0)</f>
        <v>104.52800800000004</v>
      </c>
      <c r="P34" s="14">
        <f t="shared" si="33"/>
        <v>28.037937007861458</v>
      </c>
      <c r="Q34" s="22">
        <f t="shared" si="2"/>
        <v>230.8856875553588</v>
      </c>
      <c r="R34" s="62">
        <f t="shared" si="0"/>
        <v>524.21902088869206</v>
      </c>
      <c r="S34" s="62">
        <f ca="1">AVERAGE(OFFSET($R$3,0,0,'Données projet'!$E$9+1,1))-AVERAGE(OFFSET($H$3,0,0,'Données projet'!$E$9+1,1))</f>
        <v>183.65324264438817</v>
      </c>
      <c r="T34" s="62">
        <f t="shared" si="34"/>
        <v>208.38613882433765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1.6938952837348211</v>
      </c>
      <c r="AA34" s="23">
        <f>EXP(-LN(2)/25)*AA33+(1-EXP(-LN(2)/25))/(LN(2)/25)*Calculateur!V34*Calculateur!X34*VLOOKUP('Données projet'!$B$9,Paramètres!$A$1:$I$89,3,0)*0.475*44/12</f>
        <v>10.405454324777162</v>
      </c>
      <c r="AB34" s="23">
        <f>EXP(-LN(2)/2)*AB33+(1-EXP(-LN(2)/2))/(LN(2)/2)*V34*Y34*VLOOKUP('Données projet'!$B$9,Paramètres!$A$1:$I$89,3,0)*0.475*44/12</f>
        <v>4.9381330938448489</v>
      </c>
      <c r="AC34" s="24">
        <f t="shared" si="3"/>
        <v>17.037482702356833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7.2</v>
      </c>
      <c r="AI34" s="14">
        <f>IF('Données projet'!$A$62&gt;35,AI33+AH34-AQ33,IF(A34&lt;'Données projet'!$A$62,$AF$205^A34,IF(A34='Données projet'!$A$62,'Données projet'!$B$62,AI33+AH34-AQ33)))</f>
        <v>106.2</v>
      </c>
      <c r="AJ34" s="14">
        <f>AI34*VLOOKUP('Données projet'!$B$10,Paramètres!$A$1:$I$89,3,0)*VLOOKUP('Données projet'!$B$10,Paramètres!$A$1:$I$89,5,0)</f>
        <v>92.776320000000013</v>
      </c>
      <c r="AK34" s="14">
        <f t="shared" si="35"/>
        <v>25.233617967655977</v>
      </c>
      <c r="AL34" s="22">
        <f t="shared" si="4"/>
        <v>205.53397529366751</v>
      </c>
      <c r="AM34" s="62">
        <f t="shared" si="5"/>
        <v>498.86730862700085</v>
      </c>
      <c r="AN34" s="62">
        <f ca="1">AVERAGE(OFFSET($AM$3,0,0,'Données projet'!$E$10+1,1))-AVERAGE(OFFSET($H$3,0,0,'Données projet'!$E$10+1,1))</f>
        <v>195.53935591077345</v>
      </c>
      <c r="AO34" s="62">
        <f t="shared" si="36"/>
        <v>189.8782192260071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18.303999999999988</v>
      </c>
      <c r="D35" s="12">
        <f t="shared" si="32"/>
        <v>6.0136440263719546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187.71514687023955</v>
      </c>
      <c r="H35" s="70">
        <f t="shared" si="1"/>
        <v>335.68656334593112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10.776</v>
      </c>
      <c r="N35" s="14">
        <f>IF('Données projet'!$A$36&gt;35,N34+M35-V34,IF(A35&lt;'Données projet'!$A$36,$K$205^A35,IF(A35='Données projet'!$A$36,'Données projet'!$B$36,N34+M35-V34)))</f>
        <v>185.57200000000006</v>
      </c>
      <c r="O35" s="14">
        <f>N35*VLOOKUP('Données projet'!$B$9,Paramètres!$A$1:$I$89,3,0)*VLOOKUP('Données projet'!$B$9,Paramètres!$A$1:$I$89,5,0)</f>
        <v>110.97205600000005</v>
      </c>
      <c r="P35" s="14">
        <f t="shared" si="33"/>
        <v>29.559891145058231</v>
      </c>
      <c r="Q35" s="22">
        <f t="shared" ref="Q35:Q66" si="53">(O35+P35)*0.475*44/12</f>
        <v>244.75980794430984</v>
      </c>
      <c r="R35" s="62">
        <f t="shared" si="0"/>
        <v>538.0931412776431</v>
      </c>
      <c r="S35" s="62">
        <f ca="1">AVERAGE(OFFSET($R$3,0,0,'Données projet'!$E$9+1,1))-AVERAGE(OFFSET($H$3,0,0,'Données projet'!$E$9+1,1))</f>
        <v>183.65324264438817</v>
      </c>
      <c r="T35" s="62">
        <f t="shared" si="34"/>
        <v>208.38613882433765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1.6606790303948868</v>
      </c>
      <c r="AA35" s="23">
        <f>EXP(-LN(2)/25)*AA34+(1-EXP(-LN(2)/25))/(LN(2)/25)*Calculateur!V35*Calculateur!X35*VLOOKUP('Données projet'!$B$9,Paramètres!$A$1:$I$89,3,0)*0.475*44/12</f>
        <v>10.12091662906707</v>
      </c>
      <c r="AB35" s="23">
        <f>EXP(-LN(2)/2)*AB34+(1-EXP(-LN(2)/2))/(LN(2)/2)*V35*Y35*VLOOKUP('Données projet'!$B$9,Paramètres!$A$1:$I$89,3,0)*0.475*44/12</f>
        <v>3.4917873970593987</v>
      </c>
      <c r="AC35" s="24">
        <f t="shared" si="3"/>
        <v>15.273383056521356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7.2</v>
      </c>
      <c r="AI35" s="14">
        <f>IF('Données projet'!$A$62&gt;35,AI34+AH35-AQ34,IF(A35&lt;'Données projet'!$A$62,$AF$205^A35,IF(A35='Données projet'!$A$62,'Données projet'!$B$62,AI34+AH35-AQ34)))</f>
        <v>113.4</v>
      </c>
      <c r="AJ35" s="14">
        <f>AI35*VLOOKUP('Données projet'!$B$10,Paramètres!$A$1:$I$89,3,0)*VLOOKUP('Données projet'!$B$10,Paramètres!$A$1:$I$89,5,0)</f>
        <v>99.066240000000022</v>
      </c>
      <c r="AK35" s="14">
        <f t="shared" si="35"/>
        <v>26.739420789378705</v>
      </c>
      <c r="AL35" s="22">
        <f t="shared" si="4"/>
        <v>219.11152587483457</v>
      </c>
      <c r="AM35" s="62">
        <f t="shared" si="5"/>
        <v>512.44485920816783</v>
      </c>
      <c r="AN35" s="62">
        <f ca="1">AVERAGE(OFFSET($AM$3,0,0,'Données projet'!$E$10+1,1))-AVERAGE(OFFSET($H$3,0,0,'Données projet'!$E$10+1,1))</f>
        <v>195.53935591077345</v>
      </c>
      <c r="AO35" s="62">
        <f t="shared" si="36"/>
        <v>189.8782192260071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18.875999999999987</v>
      </c>
      <c r="D36" s="12">
        <f t="shared" si="32"/>
        <v>6.1793972205601451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193.41008380783262</v>
      </c>
      <c r="H36" s="70">
        <f t="shared" si="1"/>
        <v>336.97148349247556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10.776</v>
      </c>
      <c r="N36" s="14">
        <f>IF('Données projet'!$A$36&gt;35,N35+M36-V35,IF(A36&lt;'Données projet'!$A$36,$K$205^A36,IF(A36='Données projet'!$A$36,'Données projet'!$B$36,N35+M36-V35)))</f>
        <v>196.34800000000007</v>
      </c>
      <c r="O36" s="14">
        <f>N36*VLOOKUP('Données projet'!$B$9,Paramètres!$A$1:$I$89,3,0)*VLOOKUP('Données projet'!$B$9,Paramètres!$A$1:$I$89,5,0)</f>
        <v>117.41610400000005</v>
      </c>
      <c r="P36" s="14">
        <f t="shared" si="33"/>
        <v>31.071586626628243</v>
      </c>
      <c r="Q36" s="22">
        <f t="shared" si="53"/>
        <v>258.61606117471092</v>
      </c>
      <c r="R36" s="62">
        <f t="shared" si="0"/>
        <v>551.94939450804418</v>
      </c>
      <c r="S36" s="62">
        <f ca="1">AVERAGE(OFFSET($R$3,0,0,'Données projet'!$E$9+1,1))-AVERAGE(OFFSET($H$3,0,0,'Données projet'!$E$9+1,1))</f>
        <v>183.65324264438817</v>
      </c>
      <c r="T36" s="62">
        <f t="shared" si="34"/>
        <v>208.38613882433765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1.6281141275230346</v>
      </c>
      <c r="AA36" s="23">
        <f>EXP(-LN(2)/25)*AA35+(1-EXP(-LN(2)/25))/(LN(2)/25)*Calculateur!V36*Calculateur!X36*VLOOKUP('Données projet'!$B$9,Paramètres!$A$1:$I$89,3,0)*0.475*44/12</f>
        <v>9.8441596316093563</v>
      </c>
      <c r="AB36" s="23">
        <f>EXP(-LN(2)/2)*AB35+(1-EXP(-LN(2)/2))/(LN(2)/2)*V36*Y36*VLOOKUP('Données projet'!$B$9,Paramètres!$A$1:$I$89,3,0)*0.475*44/12</f>
        <v>2.4690665469224249</v>
      </c>
      <c r="AC36" s="24">
        <f t="shared" si="3"/>
        <v>13.941340306054816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7.2</v>
      </c>
      <c r="AI36" s="14">
        <f>IF('Données projet'!$A$62&gt;35,AI35+AH36-AQ35,IF(A36&lt;'Données projet'!$A$62,$AF$205^A36,IF(A36='Données projet'!$A$62,'Données projet'!$B$62,AI35+AH36-AQ35)))</f>
        <v>120.60000000000001</v>
      </c>
      <c r="AJ36" s="14">
        <f>AI36*VLOOKUP('Données projet'!$B$10,Paramètres!$A$1:$I$89,3,0)*VLOOKUP('Données projet'!$B$10,Paramètres!$A$1:$I$89,5,0)</f>
        <v>105.35616000000003</v>
      </c>
      <c r="AK36" s="14">
        <f t="shared" si="35"/>
        <v>28.234128165723941</v>
      </c>
      <c r="AL36" s="22">
        <f t="shared" si="4"/>
        <v>232.66975188863589</v>
      </c>
      <c r="AM36" s="62">
        <f t="shared" si="5"/>
        <v>526.00308522196917</v>
      </c>
      <c r="AN36" s="62">
        <f ca="1">AVERAGE(OFFSET($AM$3,0,0,'Données projet'!$E$10+1,1))-AVERAGE(OFFSET($H$3,0,0,'Données projet'!$E$10+1,1))</f>
        <v>195.53935591077345</v>
      </c>
      <c r="AO36" s="62">
        <f t="shared" si="36"/>
        <v>189.8782192260071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19.447999999999986</v>
      </c>
      <c r="D37" s="12">
        <f t="shared" si="32"/>
        <v>6.3445666935478897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199.10051482738712</v>
      </c>
      <c r="H37" s="70">
        <f t="shared" si="1"/>
        <v>338.25538699126253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10.776</v>
      </c>
      <c r="N37" s="14">
        <f>IF('Données projet'!$A$36&gt;35,N36+M37-V36,IF(A37&lt;'Données projet'!$A$36,$K$205^A37,IF(A37='Données projet'!$A$36,'Données projet'!$B$36,N36+M37-V36)))</f>
        <v>207.12400000000008</v>
      </c>
      <c r="O37" s="14">
        <f>N37*VLOOKUP('Données projet'!$B$9,Paramètres!$A$1:$I$89,3,0)*VLOOKUP('Données projet'!$B$9,Paramètres!$A$1:$I$89,5,0)</f>
        <v>123.86015200000006</v>
      </c>
      <c r="P37" s="14">
        <f t="shared" si="33"/>
        <v>32.573650647917894</v>
      </c>
      <c r="Q37" s="22">
        <f t="shared" si="53"/>
        <v>272.45553961179047</v>
      </c>
      <c r="R37" s="62">
        <f t="shared" si="0"/>
        <v>565.78887294512379</v>
      </c>
      <c r="S37" s="62">
        <f ca="1">AVERAGE(OFFSET($R$3,0,0,'Données projet'!$E$9+1,1))-AVERAGE(OFFSET($H$3,0,0,'Données projet'!$E$9+1,1))</f>
        <v>183.65324264438817</v>
      </c>
      <c r="T37" s="62">
        <f t="shared" si="34"/>
        <v>208.38613882433765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1.59618780253387</v>
      </c>
      <c r="AA37" s="23">
        <f>EXP(-LN(2)/25)*AA36+(1-EXP(-LN(2)/25))/(LN(2)/25)*Calculateur!V37*Calculateur!X37*VLOOKUP('Données projet'!$B$9,Paramètres!$A$1:$I$89,3,0)*0.475*44/12</f>
        <v>9.5749705688011417</v>
      </c>
      <c r="AB37" s="23">
        <f>EXP(-LN(2)/2)*AB36+(1-EXP(-LN(2)/2))/(LN(2)/2)*V37*Y37*VLOOKUP('Données projet'!$B$9,Paramètres!$A$1:$I$89,3,0)*0.475*44/12</f>
        <v>1.7458936985296998</v>
      </c>
      <c r="AC37" s="24">
        <f t="shared" si="3"/>
        <v>12.917052069864711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7.2</v>
      </c>
      <c r="AI37" s="14">
        <f>IF('Données projet'!$A$62&gt;35,AI36+AH37-AQ36,IF(A37&lt;'Données projet'!$A$62,$AF$205^A37,IF(A37='Données projet'!$A$62,'Données projet'!$B$62,AI36+AH37-AQ36)))</f>
        <v>127.80000000000001</v>
      </c>
      <c r="AJ37" s="14">
        <f>AI37*VLOOKUP('Données projet'!$B$10,Paramètres!$A$1:$I$89,3,0)*VLOOKUP('Données projet'!$B$10,Paramètres!$A$1:$I$89,5,0)</f>
        <v>111.64608000000003</v>
      </c>
      <c r="AK37" s="14">
        <f t="shared" si="35"/>
        <v>29.718477955114288</v>
      </c>
      <c r="AL37" s="22">
        <f t="shared" si="4"/>
        <v>246.20993843849078</v>
      </c>
      <c r="AM37" s="62">
        <f t="shared" si="5"/>
        <v>539.54327177182404</v>
      </c>
      <c r="AN37" s="62">
        <f ca="1">AVERAGE(OFFSET($AM$3,0,0,'Données projet'!$E$10+1,1))-AVERAGE(OFFSET($H$3,0,0,'Données projet'!$E$10+1,1))</f>
        <v>195.53935591077345</v>
      </c>
      <c r="AO37" s="62">
        <f t="shared" si="36"/>
        <v>189.8782192260071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20.019999999999985</v>
      </c>
      <c r="D38" s="12">
        <f t="shared" si="32"/>
        <v>6.5091715848152907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204.78658767225829</v>
      </c>
      <c r="H38" s="70">
        <f t="shared" si="1"/>
        <v>339.53830717688658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217.9</v>
      </c>
      <c r="L38" s="13">
        <f>VLOOKUP(A38,'Données projet'!$A$35:$I$55,9,0)</f>
        <v>10.776</v>
      </c>
      <c r="M38" s="13">
        <f t="array" ref="M38">INDEX(L:L,MIN(IF(ISNUMBER(L38:L234),ROW(L38:L234),"")))</f>
        <v>10.776</v>
      </c>
      <c r="N38" s="14">
        <f>IF('Données projet'!$A$36&gt;35,N37+M38-V37,IF(A38&lt;'Données projet'!$A$36,$K$205^A38,IF(A38='Données projet'!$A$36,'Données projet'!$B$36,N37+M38-V37)))</f>
        <v>217.90000000000009</v>
      </c>
      <c r="O38" s="14">
        <f>N38*VLOOKUP('Données projet'!$B$9,Paramètres!$A$1:$I$89,3,0)*VLOOKUP('Données projet'!$B$9,Paramètres!$A$1:$I$89,5,0)</f>
        <v>130.30420000000007</v>
      </c>
      <c r="P38" s="14">
        <f t="shared" si="33"/>
        <v>34.066641456259198</v>
      </c>
      <c r="Q38" s="22">
        <f t="shared" si="53"/>
        <v>286.27921553631819</v>
      </c>
      <c r="R38" s="62">
        <f t="shared" si="0"/>
        <v>579.6125488696515</v>
      </c>
      <c r="S38" s="62">
        <f ca="1">AVERAGE(OFFSET($R$3,0,0,'Données projet'!$E$9+1,1))-AVERAGE(OFFSET($H$3,0,0,'Données projet'!$E$9+1,1))</f>
        <v>183.65324264438817</v>
      </c>
      <c r="T38" s="62">
        <f t="shared" si="34"/>
        <v>208.38613882433765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25.3</v>
      </c>
      <c r="W38" s="17">
        <f>IF(ISNA(VLOOKUP(A38,'Données projet'!$A$35:$I$55,5,0)),0%,VLOOKUP(A38,'Données projet'!$A$35:$I$55,5,0)*VLOOKUP('Données projet'!$B$9,Paramètres!$A$1:$I$89,7,0))</f>
        <v>0.18000000000000002</v>
      </c>
      <c r="X38" s="17">
        <f>IF(ISNA(VLOOKUP(A38,'Données projet'!$A$35:$I$55,6,0)),0%,VLOOKUP(A38,'Données projet'!$A$35:$I$55,6,0)*VLOOKUP('Données projet'!$B$9,Paramètres!$A$1:$I$89,7,0))</f>
        <v>0.15300000000000002</v>
      </c>
      <c r="Y38" s="17">
        <f>IF(ISNA(VLOOKUP(A38,'Données projet'!$A$35:$I$55,7,0)),0%,VLOOKUP(A38,'Données projet'!$A$35:$I$55,7,0))</f>
        <v>0.26</v>
      </c>
      <c r="Z38" s="23">
        <f>EXP(-LN(2)/35)*Z37+(1-EXP(-LN(2)/35))/(LN(2)/35)*V38*W38*VLOOKUP('Données projet'!$B$9,Paramètres!$A$1:$I$89,3,0)*0.475*44/12</f>
        <v>5.177509902287464</v>
      </c>
      <c r="AA38" s="23">
        <f>EXP(-LN(2)/25)*AA37+(1-EXP(-LN(2)/25))/(LN(2)/25)*Calculateur!V38*Calculateur!X38*VLOOKUP('Données projet'!$B$9,Paramètres!$A$1:$I$89,3,0)*0.475*44/12</f>
        <v>12.371780878540719</v>
      </c>
      <c r="AB38" s="23">
        <f>EXP(-LN(2)/2)*AB37+(1-EXP(-LN(2)/2))/(LN(2)/2)*V38*Y38*VLOOKUP('Données projet'!$B$9,Paramètres!$A$1:$I$89,3,0)*0.475*44/12</f>
        <v>5.6883320572324108</v>
      </c>
      <c r="AC38" s="24">
        <f t="shared" si="3"/>
        <v>23.237622838060595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135</v>
      </c>
      <c r="AG38" s="13">
        <f>VLOOKUP(A38,'Données projet'!$A$61:$I$81,9,0)</f>
        <v>7.2</v>
      </c>
      <c r="AH38" s="13">
        <f t="array" ref="AH38">INDEX(AG:AG,MIN(IF(ISNUMBER(AG38:AG234),ROW(AG38:AG234),"")))</f>
        <v>7.2</v>
      </c>
      <c r="AI38" s="14">
        <f>IF('Données projet'!$A$62&gt;35,AI37+AH38-AQ37,IF(A38&lt;'Données projet'!$A$62,$AF$205^A38,IF(A38='Données projet'!$A$62,'Données projet'!$B$62,AI37+AH38-AQ37)))</f>
        <v>135</v>
      </c>
      <c r="AJ38" s="14">
        <f>AI38*VLOOKUP('Données projet'!$B$10,Paramètres!$A$1:$I$89,3,0)*VLOOKUP('Données projet'!$B$10,Paramètres!$A$1:$I$89,5,0)</f>
        <v>117.93600000000002</v>
      </c>
      <c r="AK38" s="14">
        <f t="shared" si="35"/>
        <v>31.1931201812605</v>
      </c>
      <c r="AL38" s="22">
        <f t="shared" si="4"/>
        <v>259.73321764902875</v>
      </c>
      <c r="AM38" s="62">
        <f t="shared" si="5"/>
        <v>553.06655098236206</v>
      </c>
      <c r="AN38" s="62">
        <f ca="1">AVERAGE(OFFSET($AM$3,0,0,'Données projet'!$E$10+1,1))-AVERAGE(OFFSET($H$3,0,0,'Données projet'!$E$10+1,1))</f>
        <v>195.53935591077345</v>
      </c>
      <c r="AO38" s="62">
        <f t="shared" si="36"/>
        <v>189.8782192260071</v>
      </c>
      <c r="AP38" s="16">
        <f>IF(ISNA(VLOOKUP(A38,'Données projet'!$A$61:$I$81,3,0)),0,VLOOKUP(A38,'Données projet'!$A$61:$I$81,3,0))</f>
        <v>6</v>
      </c>
      <c r="AQ38" s="16">
        <f>IF(ISNA(VLOOKUP(A38,'Données projet'!$A$61:$I$81,4,0)),0,VLOOKUP(A38,'Données projet'!$A$61:$I$81,4,0))</f>
        <v>20</v>
      </c>
      <c r="AR38" s="17">
        <f>IF(ISNA(VLOOKUP(A38,'Données projet'!$A$61:$I$81,5,0)),0%,VLOOKUP(A38,'Données projet'!$A$61:$I$81,5,0)*VLOOKUP('Données projet'!$B$10,Paramètres!$A$1:$I$89,7,0))</f>
        <v>8.6000000000000007E-2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1.6610709485231749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1.6610709485231749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20.591999999999985</v>
      </c>
      <c r="D39" s="12">
        <f t="shared" si="32"/>
        <v>6.673229877951945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210.46844116313773</v>
      </c>
      <c r="H39" s="70">
        <f t="shared" si="1"/>
        <v>340.82027537076624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11.012</v>
      </c>
      <c r="N39" s="14">
        <f>IF('Données projet'!$A$36&gt;35,N38+M39-V38,IF(A39&lt;'Données projet'!$A$36,$K$205^A39,IF(A39='Données projet'!$A$36,'Données projet'!$B$36,N38+M39-V38)))</f>
        <v>203.61200000000008</v>
      </c>
      <c r="O39" s="14">
        <f>N39*VLOOKUP('Données projet'!$B$9,Paramètres!$A$1:$I$89,3,0)*VLOOKUP('Données projet'!$B$9,Paramètres!$A$1:$I$89,5,0)</f>
        <v>121.75997600000005</v>
      </c>
      <c r="P39" s="14">
        <f t="shared" si="33"/>
        <v>32.085136306048895</v>
      </c>
      <c r="Q39" s="22">
        <f t="shared" si="53"/>
        <v>267.94690393303523</v>
      </c>
      <c r="R39" s="62">
        <f t="shared" si="0"/>
        <v>561.28023726636854</v>
      </c>
      <c r="S39" s="62">
        <f ca="1">AVERAGE(OFFSET($R$3,0,0,'Données projet'!$E$9+1,1))-AVERAGE(OFFSET($H$3,0,0,'Données projet'!$E$9+1,1))</f>
        <v>183.65324264438817</v>
      </c>
      <c r="T39" s="62">
        <f t="shared" si="34"/>
        <v>208.38613882433765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5.0759820910728237</v>
      </c>
      <c r="AA39" s="23">
        <f>EXP(-LN(2)/25)*AA38+(1-EXP(-LN(2)/25))/(LN(2)/25)*Calculateur!V39*Calculateur!X39*VLOOKUP('Données projet'!$B$9,Paramètres!$A$1:$I$89,3,0)*0.475*44/12</f>
        <v>12.033473879813343</v>
      </c>
      <c r="AB39" s="23">
        <f>EXP(-LN(2)/2)*AB38+(1-EXP(-LN(2)/2))/(LN(2)/2)*V39*Y39*VLOOKUP('Données projet'!$B$9,Paramètres!$A$1:$I$89,3,0)*0.475*44/12</f>
        <v>4.0222581713098622</v>
      </c>
      <c r="AC39" s="24">
        <f t="shared" si="3"/>
        <v>21.131714142196028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</v>
      </c>
      <c r="AI39" s="14">
        <f>IF('Données projet'!$A$62&gt;35,AI38+AH39-AQ38,IF(A39&lt;'Données projet'!$A$62,$AF$205^A39,IF(A39='Données projet'!$A$62,'Données projet'!$B$62,AI38+AH39-AQ38)))</f>
        <v>122</v>
      </c>
      <c r="AJ39" s="14">
        <f>AI39*VLOOKUP('Données projet'!$B$10,Paramètres!$A$1:$I$89,3,0)*VLOOKUP('Données projet'!$B$10,Paramètres!$A$1:$I$89,5,0)</f>
        <v>106.57920000000001</v>
      </c>
      <c r="AK39" s="14">
        <f t="shared" si="35"/>
        <v>28.523541515222938</v>
      </c>
      <c r="AL39" s="22">
        <f t="shared" si="4"/>
        <v>235.30394147234665</v>
      </c>
      <c r="AM39" s="62">
        <f t="shared" si="5"/>
        <v>528.63727480567991</v>
      </c>
      <c r="AN39" s="62">
        <f ca="1">AVERAGE(OFFSET($AM$3,0,0,'Données projet'!$E$10+1,1))-AVERAGE(OFFSET($H$3,0,0,'Données projet'!$E$10+1,1))</f>
        <v>195.53935591077345</v>
      </c>
      <c r="AO39" s="62">
        <f t="shared" si="36"/>
        <v>189.8782192260071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1.6284983603758736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1.6284983603758736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21.163999999999984</v>
      </c>
      <c r="D40" s="12">
        <f t="shared" si="32"/>
        <v>6.836758500609017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216.14620596961336</v>
      </c>
      <c r="H40" s="70">
        <f t="shared" si="1"/>
        <v>342.10132105522734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11.012</v>
      </c>
      <c r="N40" s="14">
        <f>IF('Données projet'!$A$36&gt;35,N39+M40-V39,IF(A40&lt;'Données projet'!$A$36,$K$205^A40,IF(A40='Données projet'!$A$36,'Données projet'!$B$36,N39+M40-V39)))</f>
        <v>214.62400000000008</v>
      </c>
      <c r="O40" s="14">
        <f>N40*VLOOKUP('Données projet'!$B$9,Paramètres!$A$1:$I$89,3,0)*VLOOKUP('Données projet'!$B$9,Paramètres!$A$1:$I$89,5,0)</f>
        <v>128.34515200000007</v>
      </c>
      <c r="P40" s="14">
        <f t="shared" si="33"/>
        <v>33.613687899853517</v>
      </c>
      <c r="Q40" s="22">
        <f t="shared" si="53"/>
        <v>282.07831282557834</v>
      </c>
      <c r="R40" s="62">
        <f t="shared" si="0"/>
        <v>575.41164615891171</v>
      </c>
      <c r="S40" s="62">
        <f ca="1">AVERAGE(OFFSET($R$3,0,0,'Données projet'!$E$9+1,1))-AVERAGE(OFFSET($H$3,0,0,'Données projet'!$E$9+1,1))</f>
        <v>183.65324264438817</v>
      </c>
      <c r="T40" s="62">
        <f t="shared" si="34"/>
        <v>208.38613882433765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4.9764451783102519</v>
      </c>
      <c r="AA40" s="23">
        <f>EXP(-LN(2)/25)*AA39+(1-EXP(-LN(2)/25))/(LN(2)/25)*Calculateur!V40*Calculateur!X40*VLOOKUP('Données projet'!$B$9,Paramètres!$A$1:$I$89,3,0)*0.475*44/12</f>
        <v>11.704417903756958</v>
      </c>
      <c r="AB40" s="23">
        <f>EXP(-LN(2)/2)*AB39+(1-EXP(-LN(2)/2))/(LN(2)/2)*V40*Y40*VLOOKUP('Données projet'!$B$9,Paramètres!$A$1:$I$89,3,0)*0.475*44/12</f>
        <v>2.8441660286162058</v>
      </c>
      <c r="AC40" s="24">
        <f t="shared" si="3"/>
        <v>19.52502911068342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</v>
      </c>
      <c r="AI40" s="14">
        <f>IF('Données projet'!$A$62&gt;35,AI39+AH40-AQ39,IF(A40&lt;'Données projet'!$A$62,$AF$205^A40,IF(A40='Données projet'!$A$62,'Données projet'!$B$62,AI39+AH40-AQ39)))</f>
        <v>129</v>
      </c>
      <c r="AJ40" s="14">
        <f>AI40*VLOOKUP('Données projet'!$B$10,Paramètres!$A$1:$I$89,3,0)*VLOOKUP('Données projet'!$B$10,Paramètres!$A$1:$I$89,5,0)</f>
        <v>112.69440000000002</v>
      </c>
      <c r="AK40" s="14">
        <f t="shared" si="35"/>
        <v>29.964909381330632</v>
      </c>
      <c r="AL40" s="22">
        <f t="shared" si="4"/>
        <v>248.46496383915087</v>
      </c>
      <c r="AM40" s="62">
        <f t="shared" si="5"/>
        <v>541.79829717248413</v>
      </c>
      <c r="AN40" s="62">
        <f ca="1">AVERAGE(OFFSET($AM$3,0,0,'Données projet'!$E$10+1,1))-AVERAGE(OFFSET($H$3,0,0,'Données projet'!$E$10+1,1))</f>
        <v>195.53935591077345</v>
      </c>
      <c r="AO40" s="62">
        <f t="shared" si="36"/>
        <v>189.8782192260071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1.5965645008148237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1.5965645008148237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21.735999999999983</v>
      </c>
      <c r="D41" s="12">
        <f t="shared" si="32"/>
        <v>6.999773413341785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221.82000529597155</v>
      </c>
      <c r="H41" s="70">
        <f t="shared" si="1"/>
        <v>343.38147202823689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11.012</v>
      </c>
      <c r="N41" s="14">
        <f>IF('Données projet'!$A$36&gt;35,N40+M41-V40,IF(A41&lt;'Données projet'!$A$36,$K$205^A41,IF(A41='Données projet'!$A$36,'Données projet'!$B$36,N40+M41-V40)))</f>
        <v>225.63600000000008</v>
      </c>
      <c r="O41" s="14">
        <f>N41*VLOOKUP('Données projet'!$B$9,Paramètres!$A$1:$I$89,3,0)*VLOOKUP('Données projet'!$B$9,Paramètres!$A$1:$I$89,5,0)</f>
        <v>134.93032800000006</v>
      </c>
      <c r="P41" s="14">
        <f t="shared" si="33"/>
        <v>35.133133528312094</v>
      </c>
      <c r="Q41" s="22">
        <f t="shared" si="53"/>
        <v>296.19386216181033</v>
      </c>
      <c r="R41" s="62">
        <f t="shared" si="0"/>
        <v>589.52719549514359</v>
      </c>
      <c r="S41" s="62">
        <f ca="1">AVERAGE(OFFSET($R$3,0,0,'Données projet'!$E$9+1,1))-AVERAGE(OFFSET($H$3,0,0,'Données projet'!$E$9+1,1))</f>
        <v>183.65324264438817</v>
      </c>
      <c r="T41" s="62">
        <f t="shared" si="34"/>
        <v>208.38613882433765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4.8788601236954321</v>
      </c>
      <c r="AA41" s="23">
        <f>EXP(-LN(2)/25)*AA40+(1-EXP(-LN(2)/25))/(LN(2)/25)*Calculateur!V41*Calculateur!X41*VLOOKUP('Données projet'!$B$9,Paramètres!$A$1:$I$89,3,0)*0.475*44/12</f>
        <v>11.384359980670137</v>
      </c>
      <c r="AB41" s="23">
        <f>EXP(-LN(2)/2)*AB40+(1-EXP(-LN(2)/2))/(LN(2)/2)*V41*Y41*VLOOKUP('Données projet'!$B$9,Paramètres!$A$1:$I$89,3,0)*0.475*44/12</f>
        <v>2.0111290856549315</v>
      </c>
      <c r="AC41" s="24">
        <f t="shared" si="3"/>
        <v>18.274349190020502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</v>
      </c>
      <c r="AI41" s="14">
        <f>IF('Données projet'!$A$62&gt;35,AI40+AH41-AQ40,IF(A41&lt;'Données projet'!$A$62,$AF$205^A41,IF(A41='Données projet'!$A$62,'Données projet'!$B$62,AI40+AH41-AQ40)))</f>
        <v>136</v>
      </c>
      <c r="AJ41" s="14">
        <f>AI41*VLOOKUP('Données projet'!$B$10,Paramètres!$A$1:$I$89,3,0)*VLOOKUP('Données projet'!$B$10,Paramètres!$A$1:$I$89,5,0)</f>
        <v>118.80960000000002</v>
      </c>
      <c r="AK41" s="14">
        <f t="shared" si="35"/>
        <v>31.397197153337217</v>
      </c>
      <c r="AL41" s="22">
        <f t="shared" si="4"/>
        <v>261.61017170872896</v>
      </c>
      <c r="AM41" s="62">
        <f t="shared" si="5"/>
        <v>554.94350504206227</v>
      </c>
      <c r="AN41" s="62">
        <f ca="1">AVERAGE(OFFSET($AM$3,0,0,'Données projet'!$E$10+1,1))-AVERAGE(OFFSET($H$3,0,0,'Données projet'!$E$10+1,1))</f>
        <v>195.53935591077345</v>
      </c>
      <c r="AO41" s="62">
        <f t="shared" si="36"/>
        <v>189.8782192260071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1.565256844762035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1.565256844762035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22.307999999999982</v>
      </c>
      <c r="D42" s="12">
        <f t="shared" si="32"/>
        <v>7.1622896888373182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227.48995549277916</v>
      </c>
      <c r="H42" s="70">
        <f t="shared" si="1"/>
        <v>344.66075454139161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11.012</v>
      </c>
      <c r="N42" s="14">
        <f>IF('Données projet'!$A$36&gt;35,N41+M42-V41,IF(A42&lt;'Données projet'!$A$36,$K$205^A42,IF(A42='Données projet'!$A$36,'Données projet'!$B$36,N41+M42-V41)))</f>
        <v>236.64800000000008</v>
      </c>
      <c r="O42" s="14">
        <f>N42*VLOOKUP('Données projet'!$B$9,Paramètres!$A$1:$I$89,3,0)*VLOOKUP('Données projet'!$B$9,Paramètres!$A$1:$I$89,5,0)</f>
        <v>141.51550400000005</v>
      </c>
      <c r="P42" s="14">
        <f t="shared" si="33"/>
        <v>36.643968326492356</v>
      </c>
      <c r="Q42" s="22">
        <f t="shared" si="53"/>
        <v>310.29441430197426</v>
      </c>
      <c r="R42" s="62">
        <f t="shared" si="0"/>
        <v>603.62774763530751</v>
      </c>
      <c r="S42" s="62">
        <f ca="1">AVERAGE(OFFSET($R$3,0,0,'Données projet'!$E$9+1,1))-AVERAGE(OFFSET($H$3,0,0,'Données projet'!$E$9+1,1))</f>
        <v>183.65324264438817</v>
      </c>
      <c r="T42" s="62">
        <f t="shared" si="34"/>
        <v>208.38613882433765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4.7831886524806029</v>
      </c>
      <c r="AA42" s="23">
        <f>EXP(-LN(2)/25)*AA41+(1-EXP(-LN(2)/25))/(LN(2)/25)*Calculateur!V42*Calculateur!X42*VLOOKUP('Données projet'!$B$9,Paramètres!$A$1:$I$89,3,0)*0.475*44/12</f>
        <v>11.07305405832124</v>
      </c>
      <c r="AB42" s="23">
        <f>EXP(-LN(2)/2)*AB41+(1-EXP(-LN(2)/2))/(LN(2)/2)*V42*Y42*VLOOKUP('Données projet'!$B$9,Paramètres!$A$1:$I$89,3,0)*0.475*44/12</f>
        <v>1.4220830143081031</v>
      </c>
      <c r="AC42" s="24">
        <f t="shared" si="3"/>
        <v>17.278325725109948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</v>
      </c>
      <c r="AI42" s="14">
        <f>IF('Données projet'!$A$62&gt;35,AI41+AH42-AQ41,IF(A42&lt;'Données projet'!$A$62,$AF$205^A42,IF(A42='Données projet'!$A$62,'Données projet'!$B$62,AI41+AH42-AQ41)))</f>
        <v>143</v>
      </c>
      <c r="AJ42" s="14">
        <f>AI42*VLOOKUP('Données projet'!$B$10,Paramètres!$A$1:$I$89,3,0)*VLOOKUP('Données projet'!$B$10,Paramètres!$A$1:$I$89,5,0)</f>
        <v>124.92480000000002</v>
      </c>
      <c r="AK42" s="14">
        <f t="shared" si="35"/>
        <v>32.820925500842712</v>
      </c>
      <c r="AL42" s="22">
        <f t="shared" si="4"/>
        <v>274.74047191396772</v>
      </c>
      <c r="AM42" s="62">
        <f t="shared" si="5"/>
        <v>568.07380524730104</v>
      </c>
      <c r="AN42" s="62">
        <f ca="1">AVERAGE(OFFSET($AM$3,0,0,'Données projet'!$E$10+1,1))-AVERAGE(OFFSET($H$3,0,0,'Données projet'!$E$10+1,1))</f>
        <v>195.53935591077345</v>
      </c>
      <c r="AO42" s="62">
        <f t="shared" si="36"/>
        <v>189.8782192260071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1.5345631127486568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1.5345631127486568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22.879999999999981</v>
      </c>
      <c r="D43" s="12">
        <f t="shared" si="32"/>
        <v>7.324321582787543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233.1561666039739</v>
      </c>
      <c r="H43" s="70">
        <f t="shared" si="1"/>
        <v>345.93919342335494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247.66</v>
      </c>
      <c r="L43" s="13">
        <f>VLOOKUP(A43,'Données projet'!$A$35:$I$55,9,0)</f>
        <v>11.012</v>
      </c>
      <c r="M43" s="13">
        <f t="array" ref="M43">INDEX(L:L,MIN(IF(ISNUMBER(L43:L239),ROW(L43:L239),"")))</f>
        <v>11.012</v>
      </c>
      <c r="N43" s="14">
        <f>IF('Données projet'!$A$36&gt;35,N42+M43-V42,IF(A43&lt;'Données projet'!$A$36,$K$205^A43,IF(A43='Données projet'!$A$36,'Données projet'!$B$36,N42+M43-V42)))</f>
        <v>247.66000000000008</v>
      </c>
      <c r="O43" s="14">
        <f>N43*VLOOKUP('Données projet'!$B$9,Paramètres!$A$1:$I$89,3,0)*VLOOKUP('Données projet'!$B$9,Paramètres!$A$1:$I$89,5,0)</f>
        <v>148.10068000000004</v>
      </c>
      <c r="P43" s="14">
        <f t="shared" si="33"/>
        <v>38.14663874472501</v>
      </c>
      <c r="Q43" s="22">
        <f t="shared" si="53"/>
        <v>324.38074681372944</v>
      </c>
      <c r="R43" s="62">
        <f t="shared" si="0"/>
        <v>617.71408014706276</v>
      </c>
      <c r="S43" s="62">
        <f ca="1">AVERAGE(OFFSET($R$3,0,0,'Données projet'!$E$9+1,1))-AVERAGE(OFFSET($H$3,0,0,'Données projet'!$E$9+1,1))</f>
        <v>183.65324264438817</v>
      </c>
      <c r="T43" s="62">
        <f t="shared" si="34"/>
        <v>208.38613882433765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31.9</v>
      </c>
      <c r="W43" s="17">
        <f>IF(ISNA(VLOOKUP(A43,'Données projet'!$A$35:$I$55,5,0)),0%,VLOOKUP(A43,'Données projet'!$A$35:$I$55,5,0)*VLOOKUP('Données projet'!$B$9,Paramètres!$A$1:$I$89,7,0))</f>
        <v>0.27</v>
      </c>
      <c r="X43" s="17">
        <f>IF(ISNA(VLOOKUP(A43,'Données projet'!$A$35:$I$55,6,0)),0%,VLOOKUP(A43,'Données projet'!$A$35:$I$55,6,0)*VLOOKUP('Données projet'!$B$9,Paramètres!$A$1:$I$89,7,0))</f>
        <v>9.9000000000000005E-2</v>
      </c>
      <c r="Y43" s="17">
        <f>IF(ISNA(VLOOKUP(A43,'Données projet'!$A$35:$I$55,7,0)),0%,VLOOKUP(A43,'Données projet'!$A$35:$I$55,7,0))</f>
        <v>0.18</v>
      </c>
      <c r="Z43" s="23">
        <f>EXP(-LN(2)/35)*Z42+(1-EXP(-LN(2)/35))/(LN(2)/35)*V43*W43*VLOOKUP('Données projet'!$B$9,Paramètres!$A$1:$I$89,3,0)*0.475*44/12</f>
        <v>11.521961633973518</v>
      </c>
      <c r="AA43" s="23">
        <f>EXP(-LN(2)/25)*AA42+(1-EXP(-LN(2)/25))/(LN(2)/25)*Calculateur!V43*Calculateur!X43*VLOOKUP('Données projet'!$B$9,Paramètres!$A$1:$I$89,3,0)*0.475*44/12</f>
        <v>13.265671667845325</v>
      </c>
      <c r="AB43" s="23">
        <f>EXP(-LN(2)/2)*AB42+(1-EXP(-LN(2)/2))/(LN(2)/2)*V43*Y43*VLOOKUP('Données projet'!$B$9,Paramètres!$A$1:$I$89,3,0)*0.475*44/12</f>
        <v>4.8933286985608513</v>
      </c>
      <c r="AC43" s="24">
        <f t="shared" si="3"/>
        <v>29.680962000379694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150</v>
      </c>
      <c r="AG43" s="13">
        <f>VLOOKUP(A43,'Données projet'!$A$61:$I$81,9,0)</f>
        <v>7</v>
      </c>
      <c r="AH43" s="13">
        <f t="array" ref="AH43">INDEX(AG:AG,MIN(IF(ISNUMBER(AG43:AG239),ROW(AG43:AG239),"")))</f>
        <v>7</v>
      </c>
      <c r="AI43" s="14">
        <f>IF('Données projet'!$A$62&gt;35,AI42+AH43-AQ42,IF(A43&lt;'Données projet'!$A$62,$AF$205^A43,IF(A43='Données projet'!$A$62,'Données projet'!$B$62,AI42+AH43-AQ42)))</f>
        <v>150</v>
      </c>
      <c r="AJ43" s="14">
        <f>AI43*VLOOKUP('Données projet'!$B$10,Paramètres!$A$1:$I$89,3,0)*VLOOKUP('Données projet'!$B$10,Paramètres!$A$1:$I$89,5,0)</f>
        <v>131.04000000000002</v>
      </c>
      <c r="AK43" s="14">
        <f t="shared" si="35"/>
        <v>34.236561238949918</v>
      </c>
      <c r="AL43" s="22">
        <f t="shared" si="4"/>
        <v>287.85667749117118</v>
      </c>
      <c r="AM43" s="62">
        <f t="shared" si="5"/>
        <v>581.1900108245045</v>
      </c>
      <c r="AN43" s="62">
        <f ca="1">AVERAGE(OFFSET($AM$3,0,0,'Données projet'!$E$10+1,1))-AVERAGE(OFFSET($H$3,0,0,'Données projet'!$E$10+1,1))</f>
        <v>195.53935591077345</v>
      </c>
      <c r="AO43" s="62">
        <f t="shared" si="36"/>
        <v>189.8782192260071</v>
      </c>
      <c r="AP43" s="16">
        <f>IF(ISNA(VLOOKUP(A43,'Données projet'!$A$61:$I$81,3,0)),0,VLOOKUP(A43,'Données projet'!$A$61:$I$81,3,0))</f>
        <v>7</v>
      </c>
      <c r="AQ43" s="16">
        <f>IF(ISNA(VLOOKUP(A43,'Données projet'!$A$61:$I$81,4,0)),0,VLOOKUP(A43,'Données projet'!$A$61:$I$81,4,0))</f>
        <v>20</v>
      </c>
      <c r="AR43" s="17">
        <f>IF(ISNA(VLOOKUP(A43,'Données projet'!$A$61:$I$81,5,0)),0%,VLOOKUP(A43,'Données projet'!$A$61:$I$81,5,0)*VLOOKUP('Données projet'!$B$10,Paramètres!$A$1:$I$89,7,0))</f>
        <v>0.129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3.9960776888834952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3.9960776888834952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23.45199999999998</v>
      </c>
      <c r="D44" s="12">
        <f t="shared" si="32"/>
        <v>7.4858825974755305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238.8187428577057</v>
      </c>
      <c r="H44" s="70">
        <f t="shared" si="1"/>
        <v>347.21681219060315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10.791000000000002</v>
      </c>
      <c r="N44" s="14">
        <f>IF('Données projet'!$A$36&gt;35,N43+M44-V43,IF(A44&lt;'Données projet'!$A$36,$K$205^A44,IF(A44='Données projet'!$A$36,'Données projet'!$B$36,N43+M44-V43)))</f>
        <v>226.55100000000007</v>
      </c>
      <c r="O44" s="14">
        <f>N44*VLOOKUP('Données projet'!$B$9,Paramètres!$A$1:$I$89,3,0)*VLOOKUP('Données projet'!$B$9,Paramètres!$A$1:$I$89,5,0)</f>
        <v>135.47749800000005</v>
      </c>
      <c r="P44" s="14">
        <f t="shared" si="33"/>
        <v>35.258992140525656</v>
      </c>
      <c r="Q44" s="22">
        <f t="shared" si="53"/>
        <v>297.36605366141561</v>
      </c>
      <c r="R44" s="62">
        <f t="shared" si="0"/>
        <v>590.69938699474892</v>
      </c>
      <c r="S44" s="62">
        <f ca="1">AVERAGE(OFFSET($R$3,0,0,'Données projet'!$E$9+1,1))-AVERAGE(OFFSET($H$3,0,0,'Données projet'!$E$9+1,1))</f>
        <v>183.65324264438817</v>
      </c>
      <c r="T44" s="62">
        <f t="shared" si="34"/>
        <v>208.38613882433765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11.296022994033967</v>
      </c>
      <c r="AA44" s="23">
        <f>EXP(-LN(2)/25)*AA43+(1-EXP(-LN(2)/25))/(LN(2)/25)*Calculateur!V44*Calculateur!X44*VLOOKUP('Données projet'!$B$9,Paramètres!$A$1:$I$89,3,0)*0.475*44/12</f>
        <v>12.90292117847674</v>
      </c>
      <c r="AB44" s="23">
        <f>EXP(-LN(2)/2)*AB43+(1-EXP(-LN(2)/2))/(LN(2)/2)*V44*Y44*VLOOKUP('Données projet'!$B$9,Paramètres!$A$1:$I$89,3,0)*0.475*44/12</f>
        <v>3.4601059053271213</v>
      </c>
      <c r="AC44" s="24">
        <f t="shared" si="3"/>
        <v>27.659050077837829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6.4</v>
      </c>
      <c r="AI44" s="14">
        <f>IF('Données projet'!$A$62&gt;35,AI43+AH44-AQ43,IF(A44&lt;'Données projet'!$A$62,$AF$205^A44,IF(A44='Données projet'!$A$62,'Données projet'!$B$62,AI43+AH44-AQ43)))</f>
        <v>136.4</v>
      </c>
      <c r="AJ44" s="14">
        <f>AI44*VLOOKUP('Données projet'!$B$10,Paramètres!$A$1:$I$89,3,0)*VLOOKUP('Données projet'!$B$10,Paramètres!$A$1:$I$89,5,0)</f>
        <v>119.15904000000003</v>
      </c>
      <c r="AK44" s="14">
        <f t="shared" si="35"/>
        <v>31.478778976043767</v>
      </c>
      <c r="AL44" s="22">
        <f t="shared" si="4"/>
        <v>262.36086804994295</v>
      </c>
      <c r="AM44" s="62">
        <f t="shared" si="5"/>
        <v>555.69420138327632</v>
      </c>
      <c r="AN44" s="62">
        <f ca="1">AVERAGE(OFFSET($AM$3,0,0,'Données projet'!$E$10+1,1))-AVERAGE(OFFSET($H$3,0,0,'Données projet'!$E$10+1,1))</f>
        <v>195.53935591077345</v>
      </c>
      <c r="AO44" s="62">
        <f t="shared" si="36"/>
        <v>189.8782192260071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3.9177170427712102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3.9177170427712102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</v>
      </c>
      <c r="D45" s="12">
        <f t="shared" si="32"/>
        <v>7.6469855389835546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244.47778310794308</v>
      </c>
      <c r="H45" s="70">
        <f t="shared" si="1"/>
        <v>348.49363314706295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10.791000000000002</v>
      </c>
      <c r="N45" s="14">
        <f>IF('Données projet'!$A$36&gt;35,N44+M45-V44,IF(A45&lt;'Données projet'!$A$36,$K$205^A45,IF(A45='Données projet'!$A$36,'Données projet'!$B$36,N44+M45-V44)))</f>
        <v>237.34200000000007</v>
      </c>
      <c r="O45" s="14">
        <f>N45*VLOOKUP('Données projet'!$B$9,Paramètres!$A$1:$I$89,3,0)*VLOOKUP('Données projet'!$B$9,Paramètres!$A$1:$I$89,5,0)</f>
        <v>141.93051600000004</v>
      </c>
      <c r="P45" s="14">
        <f t="shared" si="33"/>
        <v>36.738906481574851</v>
      </c>
      <c r="Q45" s="22">
        <f t="shared" si="53"/>
        <v>311.18257748874288</v>
      </c>
      <c r="R45" s="62">
        <f t="shared" si="0"/>
        <v>604.51591082207619</v>
      </c>
      <c r="S45" s="62">
        <f ca="1">AVERAGE(OFFSET($R$3,0,0,'Données projet'!$E$9+1,1))-AVERAGE(OFFSET($H$3,0,0,'Données projet'!$E$9+1,1))</f>
        <v>183.65324264438817</v>
      </c>
      <c r="T45" s="62">
        <f t="shared" si="34"/>
        <v>208.38613882433765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11.074514873014667</v>
      </c>
      <c r="AA45" s="23">
        <f>EXP(-LN(2)/25)*AA44+(1-EXP(-LN(2)/25))/(LN(2)/25)*Calculateur!V45*Calculateur!X45*VLOOKUP('Données projet'!$B$9,Paramètres!$A$1:$I$89,3,0)*0.475*44/12</f>
        <v>12.55009012031616</v>
      </c>
      <c r="AB45" s="23">
        <f>EXP(-LN(2)/2)*AB44+(1-EXP(-LN(2)/2))/(LN(2)/2)*V45*Y45*VLOOKUP('Données projet'!$B$9,Paramètres!$A$1:$I$89,3,0)*0.475*44/12</f>
        <v>2.4466643492804256</v>
      </c>
      <c r="AC45" s="24">
        <f t="shared" si="3"/>
        <v>26.071269342611252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6.4</v>
      </c>
      <c r="AI45" s="14">
        <f>IF('Données projet'!$A$62&gt;35,AI44+AH45-AQ44,IF(A45&lt;'Données projet'!$A$62,$AF$205^A45,IF(A45='Données projet'!$A$62,'Données projet'!$B$62,AI44+AH45-AQ44)))</f>
        <v>142.80000000000001</v>
      </c>
      <c r="AJ45" s="14">
        <f>AI45*VLOOKUP('Données projet'!$B$10,Paramètres!$A$1:$I$89,3,0)*VLOOKUP('Données projet'!$B$10,Paramètres!$A$1:$I$89,5,0)</f>
        <v>124.75008000000003</v>
      </c>
      <c r="AK45" s="14">
        <f t="shared" si="35"/>
        <v>32.780361960132396</v>
      </c>
      <c r="AL45" s="22">
        <f t="shared" si="4"/>
        <v>274.36551974723062</v>
      </c>
      <c r="AM45" s="62">
        <f t="shared" si="5"/>
        <v>567.69885308056394</v>
      </c>
      <c r="AN45" s="62">
        <f ca="1">AVERAGE(OFFSET($AM$3,0,0,'Données projet'!$E$10+1,1))-AVERAGE(OFFSET($H$3,0,0,'Données projet'!$E$10+1,1))</f>
        <v>195.53935591077345</v>
      </c>
      <c r="AO45" s="62">
        <f t="shared" si="36"/>
        <v>189.8782192260071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3.8408930011339124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3.8408930011339124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24.595999999999979</v>
      </c>
      <c r="D46" s="12">
        <f t="shared" si="32"/>
        <v>7.8076425687993192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250.13338123283668</v>
      </c>
      <c r="H46" s="70">
        <f t="shared" si="1"/>
        <v>349.76967747399209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10.791000000000002</v>
      </c>
      <c r="N46" s="14">
        <f>IF('Données projet'!$A$36&gt;35,N45+M46-V45,IF(A46&lt;'Données projet'!$A$36,$K$205^A46,IF(A46='Données projet'!$A$36,'Données projet'!$B$36,N45+M46-V45)))</f>
        <v>248.13300000000007</v>
      </c>
      <c r="O46" s="14">
        <f>N46*VLOOKUP('Données projet'!$B$9,Paramètres!$A$1:$I$89,3,0)*VLOOKUP('Données projet'!$B$9,Paramètres!$A$1:$I$89,5,0)</f>
        <v>148.38353400000005</v>
      </c>
      <c r="P46" s="14">
        <f t="shared" si="33"/>
        <v>38.211006596263942</v>
      </c>
      <c r="Q46" s="22">
        <f t="shared" si="53"/>
        <v>324.98549153849314</v>
      </c>
      <c r="R46" s="62">
        <f t="shared" si="0"/>
        <v>618.31882487182645</v>
      </c>
      <c r="S46" s="62">
        <f ca="1">AVERAGE(OFFSET($R$3,0,0,'Données projet'!$E$9+1,1))-AVERAGE(OFFSET($H$3,0,0,'Données projet'!$E$9+1,1))</f>
        <v>183.65324264438817</v>
      </c>
      <c r="T46" s="62">
        <f t="shared" si="34"/>
        <v>208.38613882433765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10.857350391141942</v>
      </c>
      <c r="AA46" s="23">
        <f>EXP(-LN(2)/25)*AA45+(1-EXP(-LN(2)/25))/(LN(2)/25)*Calculateur!V46*Calculateur!X46*VLOOKUP('Données projet'!$B$9,Paramètres!$A$1:$I$89,3,0)*0.475*44/12</f>
        <v>12.206907245995559</v>
      </c>
      <c r="AB46" s="23">
        <f>EXP(-LN(2)/2)*AB45+(1-EXP(-LN(2)/2))/(LN(2)/2)*V46*Y46*VLOOKUP('Données projet'!$B$9,Paramètres!$A$1:$I$89,3,0)*0.475*44/12</f>
        <v>1.7300529526635606</v>
      </c>
      <c r="AC46" s="24">
        <f t="shared" si="3"/>
        <v>24.794310589801061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6.4</v>
      </c>
      <c r="AI46" s="14">
        <f>IF('Données projet'!$A$62&gt;35,AI45+AH46-AQ45,IF(A46&lt;'Données projet'!$A$62,$AF$205^A46,IF(A46='Données projet'!$A$62,'Données projet'!$B$62,AI45+AH46-AQ45)))</f>
        <v>149.20000000000002</v>
      </c>
      <c r="AJ46" s="14">
        <f>AI46*VLOOKUP('Données projet'!$B$10,Paramètres!$A$1:$I$89,3,0)*VLOOKUP('Données projet'!$B$10,Paramètres!$A$1:$I$89,5,0)</f>
        <v>130.34112000000005</v>
      </c>
      <c r="AK46" s="14">
        <f t="shared" si="35"/>
        <v>34.075170122989917</v>
      </c>
      <c r="AL46" s="22">
        <f t="shared" si="4"/>
        <v>286.35837196420749</v>
      </c>
      <c r="AM46" s="62">
        <f t="shared" si="5"/>
        <v>579.69170529754081</v>
      </c>
      <c r="AN46" s="62">
        <f ca="1">AVERAGE(OFFSET($AM$3,0,0,'Données projet'!$E$10+1,1))-AVERAGE(OFFSET($H$3,0,0,'Données projet'!$E$10+1,1))</f>
        <v>195.53935591077345</v>
      </c>
      <c r="AO46" s="62">
        <f t="shared" si="36"/>
        <v>189.8782192260071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3.7655754320950834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3.7655754320950834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25.167999999999978</v>
      </c>
      <c r="D47" s="12">
        <f t="shared" si="32"/>
        <v>7.9678652504862955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255.78562649498178</v>
      </c>
      <c r="H47" s="70">
        <f t="shared" si="1"/>
        <v>351.04496531126358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10.791000000000002</v>
      </c>
      <c r="N47" s="14">
        <f>IF('Données projet'!$A$36&gt;35,N46+M47-V46,IF(A47&lt;'Données projet'!$A$36,$K$205^A47,IF(A47='Données projet'!$A$36,'Données projet'!$B$36,N46+M47-V46)))</f>
        <v>258.92400000000009</v>
      </c>
      <c r="O47" s="14">
        <f>N47*VLOOKUP('Données projet'!$B$9,Paramètres!$A$1:$I$89,3,0)*VLOOKUP('Données projet'!$B$9,Paramètres!$A$1:$I$89,5,0)</f>
        <v>154.83655200000007</v>
      </c>
      <c r="P47" s="14">
        <f t="shared" si="33"/>
        <v>39.675671157100012</v>
      </c>
      <c r="Q47" s="22">
        <f t="shared" si="53"/>
        <v>338.77545533194933</v>
      </c>
      <c r="R47" s="62">
        <f t="shared" si="0"/>
        <v>632.10878866528265</v>
      </c>
      <c r="S47" s="62">
        <f ca="1">AVERAGE(OFFSET($R$3,0,0,'Données projet'!$E$9+1,1))-AVERAGE(OFFSET($H$3,0,0,'Données projet'!$E$9+1,1))</f>
        <v>183.65324264438817</v>
      </c>
      <c r="T47" s="62">
        <f t="shared" si="34"/>
        <v>208.38613882433765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10.644444372301487</v>
      </c>
      <c r="AA47" s="23">
        <f>EXP(-LN(2)/25)*AA46+(1-EXP(-LN(2)/25))/(LN(2)/25)*Calculateur!V47*Calculateur!X47*VLOOKUP('Données projet'!$B$9,Paramètres!$A$1:$I$89,3,0)*0.475*44/12</f>
        <v>11.873108725420458</v>
      </c>
      <c r="AB47" s="23">
        <f>EXP(-LN(2)/2)*AB46+(1-EXP(-LN(2)/2))/(LN(2)/2)*V47*Y47*VLOOKUP('Données projet'!$B$9,Paramètres!$A$1:$I$89,3,0)*0.475*44/12</f>
        <v>1.2233321746402128</v>
      </c>
      <c r="AC47" s="24">
        <f t="shared" si="3"/>
        <v>23.740885272362156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6.4</v>
      </c>
      <c r="AI47" s="14">
        <f>IF('Données projet'!$A$62&gt;35,AI46+AH47-AQ46,IF(A47&lt;'Données projet'!$A$62,$AF$205^A47,IF(A47='Données projet'!$A$62,'Données projet'!$B$62,AI46+AH47-AQ46)))</f>
        <v>155.60000000000002</v>
      </c>
      <c r="AJ47" s="14">
        <f>AI47*VLOOKUP('Données projet'!$B$10,Paramètres!$A$1:$I$89,3,0)*VLOOKUP('Données projet'!$B$10,Paramètres!$A$1:$I$89,5,0)</f>
        <v>135.93216000000004</v>
      </c>
      <c r="AK47" s="14">
        <f t="shared" si="35"/>
        <v>35.36352729450968</v>
      </c>
      <c r="AL47" s="22">
        <f t="shared" si="4"/>
        <v>298.33998870460442</v>
      </c>
      <c r="AM47" s="62">
        <f t="shared" si="5"/>
        <v>591.67332203793774</v>
      </c>
      <c r="AN47" s="62">
        <f ca="1">AVERAGE(OFFSET($AM$3,0,0,'Données projet'!$E$10+1,1))-AVERAGE(OFFSET($H$3,0,0,'Données projet'!$E$10+1,1))</f>
        <v>195.53935591077345</v>
      </c>
      <c r="AO47" s="62">
        <f t="shared" si="36"/>
        <v>189.8782192260071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3.6917347946459249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3.6917347946459249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25.739999999999977</v>
      </c>
      <c r="D48" s="12">
        <f t="shared" si="32"/>
        <v>8.1276645919917652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261.43460386800643</v>
      </c>
      <c r="H48" s="70">
        <f t="shared" si="1"/>
        <v>352.31951583105229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10.791000000000002</v>
      </c>
      <c r="N48" s="14">
        <f>IF('Données projet'!$A$36&gt;35,N47+M48-V47,IF(A48&lt;'Données projet'!$A$36,$K$205^A48,IF(A48='Données projet'!$A$36,'Données projet'!$B$36,N47+M48-V47)))</f>
        <v>269.71500000000009</v>
      </c>
      <c r="O48" s="14">
        <f>N48*VLOOKUP('Données projet'!$B$9,Paramètres!$A$1:$I$89,3,0)*VLOOKUP('Données projet'!$B$9,Paramètres!$A$1:$I$89,5,0)</f>
        <v>161.28957000000005</v>
      </c>
      <c r="P48" s="14">
        <f t="shared" si="33"/>
        <v>41.133245487513967</v>
      </c>
      <c r="Q48" s="22">
        <f t="shared" si="53"/>
        <v>352.55307030742023</v>
      </c>
      <c r="R48" s="62">
        <f t="shared" si="0"/>
        <v>645.88640364075354</v>
      </c>
      <c r="S48" s="62">
        <f ca="1">AVERAGE(OFFSET($R$3,0,0,'Données projet'!$E$9+1,1))-AVERAGE(OFFSET($H$3,0,0,'Données projet'!$E$9+1,1))</f>
        <v>183.65324264438817</v>
      </c>
      <c r="T48" s="62">
        <f t="shared" si="34"/>
        <v>208.38613882433765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10.435713310630645</v>
      </c>
      <c r="AA48" s="23">
        <f>EXP(-LN(2)/25)*AA47+(1-EXP(-LN(2)/25))/(LN(2)/25)*Calculateur!V48*Calculateur!X48*VLOOKUP('Données projet'!$B$9,Paramètres!$A$1:$I$89,3,0)*0.475*44/12</f>
        <v>11.548437942944185</v>
      </c>
      <c r="AB48" s="23">
        <f>EXP(-LN(2)/2)*AB47+(1-EXP(-LN(2)/2))/(LN(2)/2)*V48*Y48*VLOOKUP('Données projet'!$B$9,Paramètres!$A$1:$I$89,3,0)*0.475*44/12</f>
        <v>0.86502647633178031</v>
      </c>
      <c r="AC48" s="24">
        <f t="shared" si="3"/>
        <v>22.849177729906611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162</v>
      </c>
      <c r="AG48" s="13">
        <f>VLOOKUP(A48,'Données projet'!$A$61:$I$81,9,0)</f>
        <v>6.4</v>
      </c>
      <c r="AH48" s="13">
        <f t="array" ref="AH48">INDEX(AG:AG,MIN(IF(ISNUMBER(AG48:AG244),ROW(AG48:AG244),"")))</f>
        <v>6.4</v>
      </c>
      <c r="AI48" s="14">
        <f>IF('Données projet'!$A$62&gt;35,AI47+AH48-AQ47,IF(A48&lt;'Données projet'!$A$62,$AF$205^A48,IF(A48='Données projet'!$A$62,'Données projet'!$B$62,AI47+AH48-AQ47)))</f>
        <v>162.00000000000003</v>
      </c>
      <c r="AJ48" s="14">
        <f>AI48*VLOOKUP('Données projet'!$B$10,Paramètres!$A$1:$I$89,3,0)*VLOOKUP('Données projet'!$B$10,Paramètres!$A$1:$I$89,5,0)</f>
        <v>141.52320000000006</v>
      </c>
      <c r="AK48" s="14">
        <f t="shared" si="35"/>
        <v>36.645729158274158</v>
      </c>
      <c r="AL48" s="22">
        <f t="shared" si="4"/>
        <v>310.31088495066086</v>
      </c>
      <c r="AM48" s="62">
        <f t="shared" si="5"/>
        <v>603.64421828399418</v>
      </c>
      <c r="AN48" s="62">
        <f ca="1">AVERAGE(OFFSET($AM$3,0,0,'Données projet'!$E$10+1,1))-AVERAGE(OFFSET($H$3,0,0,'Données projet'!$E$10+1,1))</f>
        <v>195.53935591077345</v>
      </c>
      <c r="AO48" s="62">
        <f t="shared" si="36"/>
        <v>189.8782192260071</v>
      </c>
      <c r="AP48" s="16">
        <f>IF(ISNA(VLOOKUP(A48,'Données projet'!$A$61:$I$81,3,0)),0,VLOOKUP(A48,'Données projet'!$A$61:$I$81,3,0))</f>
        <v>8</v>
      </c>
      <c r="AQ48" s="16">
        <f>IF(ISNA(VLOOKUP(A48,'Données projet'!$A$61:$I$81,4,0)),0,VLOOKUP(A48,'Données projet'!$A$61:$I$81,4,0))</f>
        <v>19</v>
      </c>
      <c r="AR48" s="17">
        <f>IF(ISNA(VLOOKUP(A48,'Données projet'!$A$61:$I$81,5,0)),0%,VLOOKUP(A48,'Données projet'!$A$61:$I$81,5,0)*VLOOKUP('Données projet'!$B$10,Paramètres!$A$1:$I$89,7,0))</f>
        <v>0.129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5.9863682287043272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5.9863682287043272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26.311999999999976</v>
      </c>
      <c r="D49" s="12">
        <f t="shared" si="32"/>
        <v>8.2870510840880396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267.08039433331101</v>
      </c>
      <c r="H49" s="70">
        <f t="shared" si="1"/>
        <v>353.59334730478662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10.791000000000002</v>
      </c>
      <c r="N49" s="14">
        <f>IF('Données projet'!$A$36&gt;35,N48+M49-V48,IF(A49&lt;'Données projet'!$A$36,$K$205^A49,IF(A49='Données projet'!$A$36,'Données projet'!$B$36,N48+M49-V48)))</f>
        <v>280.50600000000009</v>
      </c>
      <c r="O49" s="14">
        <f>N49*VLOOKUP('Données projet'!$B$9,Paramètres!$A$1:$I$89,3,0)*VLOOKUP('Données projet'!$B$9,Paramètres!$A$1:$I$89,5,0)</f>
        <v>167.74258800000007</v>
      </c>
      <c r="P49" s="14">
        <f t="shared" si="33"/>
        <v>42.58404571486026</v>
      </c>
      <c r="Q49" s="22">
        <f t="shared" si="53"/>
        <v>366.31888705338173</v>
      </c>
      <c r="R49" s="62">
        <f t="shared" si="0"/>
        <v>659.65222038671504</v>
      </c>
      <c r="S49" s="62">
        <f ca="1">AVERAGE(OFFSET($R$3,0,0,'Données projet'!$E$9+1,1))-AVERAGE(OFFSET($H$3,0,0,'Données projet'!$E$9+1,1))</f>
        <v>183.65324264438817</v>
      </c>
      <c r="T49" s="62">
        <f t="shared" si="34"/>
        <v>208.38613882433765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10.231075337765789</v>
      </c>
      <c r="AA49" s="23">
        <f>EXP(-LN(2)/25)*AA48+(1-EXP(-LN(2)/25))/(LN(2)/25)*Calculateur!V49*Calculateur!X49*VLOOKUP('Données projet'!$B$9,Paramètres!$A$1:$I$89,3,0)*0.475*44/12</f>
        <v>11.23264530008842</v>
      </c>
      <c r="AB49" s="23">
        <f>EXP(-LN(2)/2)*AB48+(1-EXP(-LN(2)/2))/(LN(2)/2)*V49*Y49*VLOOKUP('Données projet'!$B$9,Paramètres!$A$1:$I$89,3,0)*0.475*44/12</f>
        <v>0.61166608732010641</v>
      </c>
      <c r="AC49" s="24">
        <f t="shared" si="3"/>
        <v>22.075386725174315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6</v>
      </c>
      <c r="AI49" s="14">
        <f>IF('Données projet'!$A$62&gt;35,AI48+AH49-AQ48,IF(A49&lt;'Données projet'!$A$62,$AF$205^A49,IF(A49='Données projet'!$A$62,'Données projet'!$B$62,AI48+AH49-AQ48)))</f>
        <v>149.00000000000003</v>
      </c>
      <c r="AJ49" s="14">
        <f>AI49*VLOOKUP('Données projet'!$B$10,Paramètres!$A$1:$I$89,3,0)*VLOOKUP('Données projet'!$B$10,Paramètres!$A$1:$I$89,5,0)</f>
        <v>130.16640000000004</v>
      </c>
      <c r="AK49" s="14">
        <f t="shared" si="35"/>
        <v>34.034806623706302</v>
      </c>
      <c r="AL49" s="22">
        <f t="shared" si="4"/>
        <v>285.98376820295522</v>
      </c>
      <c r="AM49" s="62">
        <f t="shared" si="5"/>
        <v>579.31710153628853</v>
      </c>
      <c r="AN49" s="62">
        <f ca="1">AVERAGE(OFFSET($AM$3,0,0,'Données projet'!$E$10+1,1))-AVERAGE(OFFSET($H$3,0,0,'Données projet'!$E$10+1,1))</f>
        <v>195.53935591077345</v>
      </c>
      <c r="AO49" s="62">
        <f t="shared" si="36"/>
        <v>189.8782192260071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5.8689791990635163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5.8689791990635163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26.883999999999975</v>
      </c>
      <c r="D50" s="12">
        <f t="shared" si="32"/>
        <v>8.44603473537674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272.72307515027643</v>
      </c>
      <c r="H50" s="70">
        <f t="shared" si="1"/>
        <v>354.86647716411443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10.791000000000002</v>
      </c>
      <c r="N50" s="14">
        <f>IF('Données projet'!$A$36&gt;35,N49+M50-V49,IF(A50&lt;'Données projet'!$A$36,$K$205^A50,IF(A50='Données projet'!$A$36,'Données projet'!$B$36,N49+M50-V49)))</f>
        <v>291.29700000000008</v>
      </c>
      <c r="O50" s="14">
        <f>N50*VLOOKUP('Données projet'!$B$9,Paramètres!$A$1:$I$89,3,0)*VLOOKUP('Données projet'!$B$9,Paramètres!$A$1:$I$89,5,0)</f>
        <v>174.19560600000005</v>
      </c>
      <c r="P50" s="14">
        <f t="shared" si="33"/>
        <v>44.028362266382302</v>
      </c>
      <c r="Q50" s="22">
        <f t="shared" si="53"/>
        <v>380.0734113972826</v>
      </c>
      <c r="R50" s="62">
        <f t="shared" si="0"/>
        <v>673.40674473061586</v>
      </c>
      <c r="S50" s="62">
        <f ca="1">AVERAGE(OFFSET($R$3,0,0,'Données projet'!$E$9+1,1))-AVERAGE(OFFSET($H$3,0,0,'Données projet'!$E$9+1,1))</f>
        <v>183.65324264438817</v>
      </c>
      <c r="T50" s="62">
        <f t="shared" si="34"/>
        <v>208.38613882433765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10.030450190731976</v>
      </c>
      <c r="AA50" s="23">
        <f>EXP(-LN(2)/25)*AA49+(1-EXP(-LN(2)/25))/(LN(2)/25)*Calculateur!V50*Calculateur!X50*VLOOKUP('Données projet'!$B$9,Paramètres!$A$1:$I$89,3,0)*0.475*44/12</f>
        <v>10.925488023658358</v>
      </c>
      <c r="AB50" s="23">
        <f>EXP(-LN(2)/2)*AB49+(1-EXP(-LN(2)/2))/(LN(2)/2)*V50*Y50*VLOOKUP('Données projet'!$B$9,Paramètres!$A$1:$I$89,3,0)*0.475*44/12</f>
        <v>0.43251323816589016</v>
      </c>
      <c r="AC50" s="24">
        <f t="shared" si="3"/>
        <v>21.388451452556225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6</v>
      </c>
      <c r="AI50" s="14">
        <f>IF('Données projet'!$A$62&gt;35,AI49+AH50-AQ49,IF(A50&lt;'Données projet'!$A$62,$AF$205^A50,IF(A50='Données projet'!$A$62,'Données projet'!$B$62,AI49+AH50-AQ49)))</f>
        <v>155.00000000000003</v>
      </c>
      <c r="AJ50" s="14">
        <f>AI50*VLOOKUP('Données projet'!$B$10,Paramètres!$A$1:$I$89,3,0)*VLOOKUP('Données projet'!$B$10,Paramètres!$A$1:$I$89,5,0)</f>
        <v>135.40800000000004</v>
      </c>
      <c r="AK50" s="14">
        <f t="shared" si="35"/>
        <v>35.243009677478732</v>
      </c>
      <c r="AL50" s="22">
        <f t="shared" si="4"/>
        <v>297.21717518827558</v>
      </c>
      <c r="AM50" s="62">
        <f t="shared" si="5"/>
        <v>590.55050852160889</v>
      </c>
      <c r="AN50" s="62">
        <f ca="1">AVERAGE(OFFSET($AM$3,0,0,'Données projet'!$E$10+1,1))-AVERAGE(OFFSET($H$3,0,0,'Données projet'!$E$10+1,1))</f>
        <v>195.53935591077345</v>
      </c>
      <c r="AO50" s="62">
        <f t="shared" si="36"/>
        <v>189.8782192260071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5.7538920966937237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5.7538920966937237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27.455999999999975</v>
      </c>
      <c r="D51" s="12">
        <f t="shared" si="32"/>
        <v>8.6046251042298891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278.36272010282704</v>
      </c>
      <c r="H51" s="70">
        <f t="shared" si="1"/>
        <v>356.13892205653366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10.791000000000002</v>
      </c>
      <c r="N51" s="14">
        <f>IF('Données projet'!$A$36&gt;35,N50+M51-V50,IF(A51&lt;'Données projet'!$A$36,$K$205^A51,IF(A51='Données projet'!$A$36,'Données projet'!$B$36,N50+M51-V50)))</f>
        <v>302.08800000000008</v>
      </c>
      <c r="O51" s="14">
        <f>N51*VLOOKUP('Données projet'!$B$9,Paramètres!$A$1:$I$89,3,0)*VLOOKUP('Données projet'!$B$9,Paramètres!$A$1:$I$89,5,0)</f>
        <v>180.64862400000007</v>
      </c>
      <c r="P51" s="14">
        <f t="shared" si="33"/>
        <v>45.466462832587325</v>
      </c>
      <c r="Q51" s="22">
        <f t="shared" si="53"/>
        <v>393.81710956675641</v>
      </c>
      <c r="R51" s="62">
        <f t="shared" si="0"/>
        <v>687.15044290008973</v>
      </c>
      <c r="S51" s="62">
        <f ca="1">AVERAGE(OFFSET($R$3,0,0,'Données projet'!$E$9+1,1))-AVERAGE(OFFSET($H$3,0,0,'Données projet'!$E$9+1,1))</f>
        <v>183.65324264438817</v>
      </c>
      <c r="T51" s="62">
        <f t="shared" si="34"/>
        <v>208.38613882433765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9.8337591804622395</v>
      </c>
      <c r="AA51" s="23">
        <f>EXP(-LN(2)/25)*AA50+(1-EXP(-LN(2)/25))/(LN(2)/25)*Calculateur!V51*Calculateur!X51*VLOOKUP('Données projet'!$B$9,Paramètres!$A$1:$I$89,3,0)*0.475*44/12</f>
        <v>10.626729979104976</v>
      </c>
      <c r="AB51" s="23">
        <f>EXP(-LN(2)/2)*AB50+(1-EXP(-LN(2)/2))/(LN(2)/2)*V51*Y51*VLOOKUP('Données projet'!$B$9,Paramètres!$A$1:$I$89,3,0)*0.475*44/12</f>
        <v>0.30583304366005321</v>
      </c>
      <c r="AC51" s="24">
        <f t="shared" si="3"/>
        <v>20.766322203227272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6</v>
      </c>
      <c r="AI51" s="14">
        <f>IF('Données projet'!$A$62&gt;35,AI50+AH51-AQ50,IF(A51&lt;'Données projet'!$A$62,$AF$205^A51,IF(A51='Données projet'!$A$62,'Données projet'!$B$62,AI50+AH51-AQ50)))</f>
        <v>161.00000000000003</v>
      </c>
      <c r="AJ51" s="14">
        <f>AI51*VLOOKUP('Données projet'!$B$10,Paramètres!$A$1:$I$89,3,0)*VLOOKUP('Données projet'!$B$10,Paramètres!$A$1:$I$89,5,0)</f>
        <v>140.64960000000005</v>
      </c>
      <c r="AK51" s="14">
        <f t="shared" si="35"/>
        <v>36.445779615258637</v>
      </c>
      <c r="AL51" s="22">
        <f t="shared" si="4"/>
        <v>308.44111949657554</v>
      </c>
      <c r="AM51" s="62">
        <f t="shared" si="5"/>
        <v>601.7744528299088</v>
      </c>
      <c r="AN51" s="62">
        <f ca="1">AVERAGE(OFFSET($AM$3,0,0,'Données projet'!$E$10+1,1))-AVERAGE(OFFSET($H$3,0,0,'Données projet'!$E$10+1,1))</f>
        <v>195.53935591077345</v>
      </c>
      <c r="AO51" s="62">
        <f t="shared" si="36"/>
        <v>189.8782192260071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5.6410617822052016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5.6410617822052016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28.027999999999974</v>
      </c>
      <c r="D52" s="12">
        <f t="shared" si="32"/>
        <v>8.7628313279941104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283.99939972486663</v>
      </c>
      <c r="H52" s="70">
        <f t="shared" si="1"/>
        <v>357.41069789625635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10.791000000000002</v>
      </c>
      <c r="N52" s="14">
        <f>IF('Données projet'!$A$36&gt;35,N51+M52-V51,IF(A52&lt;'Données projet'!$A$36,$K$205^A52,IF(A52='Données projet'!$A$36,'Données projet'!$B$36,N51+M52-V51)))</f>
        <v>312.87900000000008</v>
      </c>
      <c r="O52" s="14">
        <f>N52*VLOOKUP('Données projet'!$B$9,Paramètres!$A$1:$I$89,3,0)*VLOOKUP('Données projet'!$B$9,Paramètres!$A$1:$I$89,5,0)</f>
        <v>187.10164200000006</v>
      </c>
      <c r="P52" s="14">
        <f t="shared" si="33"/>
        <v>46.898594895299297</v>
      </c>
      <c r="Q52" s="22">
        <f t="shared" si="53"/>
        <v>407.5504125926463</v>
      </c>
      <c r="R52" s="62">
        <f t="shared" si="0"/>
        <v>700.88374592597961</v>
      </c>
      <c r="S52" s="62">
        <f ca="1">AVERAGE(OFFSET($R$3,0,0,'Données projet'!$E$9+1,1))-AVERAGE(OFFSET($H$3,0,0,'Données projet'!$E$9+1,1))</f>
        <v>183.65324264438817</v>
      </c>
      <c r="T52" s="62">
        <f t="shared" si="34"/>
        <v>208.38613882433765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9.6409251609342217</v>
      </c>
      <c r="AA52" s="23">
        <f>EXP(-LN(2)/25)*AA51+(1-EXP(-LN(2)/25))/(LN(2)/25)*Calculateur!V52*Calculateur!X52*VLOOKUP('Données projet'!$B$9,Paramètres!$A$1:$I$89,3,0)*0.475*44/12</f>
        <v>10.336141488990908</v>
      </c>
      <c r="AB52" s="23">
        <f>EXP(-LN(2)/2)*AB51+(1-EXP(-LN(2)/2))/(LN(2)/2)*V52*Y52*VLOOKUP('Données projet'!$B$9,Paramètres!$A$1:$I$89,3,0)*0.475*44/12</f>
        <v>0.21625661908294508</v>
      </c>
      <c r="AC52" s="24">
        <f t="shared" si="3"/>
        <v>20.193323269008072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6</v>
      </c>
      <c r="AI52" s="14">
        <f>IF('Données projet'!$A$62&gt;35,AI51+AH52-AQ51,IF(A52&lt;'Données projet'!$A$62,$AF$205^A52,IF(A52='Données projet'!$A$62,'Données projet'!$B$62,AI51+AH52-AQ51)))</f>
        <v>167.00000000000003</v>
      </c>
      <c r="AJ52" s="14">
        <f>AI52*VLOOKUP('Données projet'!$B$10,Paramètres!$A$1:$I$89,3,0)*VLOOKUP('Données projet'!$B$10,Paramètres!$A$1:$I$89,5,0)</f>
        <v>145.89120000000005</v>
      </c>
      <c r="AK52" s="14">
        <f t="shared" si="35"/>
        <v>37.643342098399685</v>
      </c>
      <c r="AL52" s="22">
        <f t="shared" si="4"/>
        <v>319.65599415471291</v>
      </c>
      <c r="AM52" s="62">
        <f t="shared" si="5"/>
        <v>612.98932748804623</v>
      </c>
      <c r="AN52" s="62">
        <f ca="1">AVERAGE(OFFSET($AM$3,0,0,'Données projet'!$E$10+1,1))-AVERAGE(OFFSET($H$3,0,0,'Données projet'!$E$10+1,1))</f>
        <v>195.53935591077345</v>
      </c>
      <c r="AO52" s="62">
        <f t="shared" si="36"/>
        <v>189.8782192260071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5.5304440013641027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5.5304440013641027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28.599999999999973</v>
      </c>
      <c r="D53" s="12">
        <f t="shared" si="32"/>
        <v>8.9206621497435066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289.6331815067918</v>
      </c>
      <c r="H53" s="70">
        <f t="shared" si="1"/>
        <v>358.6818199108032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323.67</v>
      </c>
      <c r="L53" s="13">
        <f>VLOOKUP(A53,'Données projet'!$A$35:$I$55,9,0)</f>
        <v>10.791000000000002</v>
      </c>
      <c r="M53" s="13">
        <f t="array" ref="M53">INDEX(L:L,MIN(IF(ISNUMBER(L53:L249),ROW(L53:L249),"")))</f>
        <v>10.791000000000002</v>
      </c>
      <c r="N53" s="14">
        <f>IF('Données projet'!$A$36&gt;35,N52+M53-V52,IF(A53&lt;'Données projet'!$A$36,$K$205^A53,IF(A53='Données projet'!$A$36,'Données projet'!$B$36,N52+M53-V52)))</f>
        <v>323.67000000000007</v>
      </c>
      <c r="O53" s="14">
        <f>N53*VLOOKUP('Données projet'!$B$9,Paramètres!$A$1:$I$89,3,0)*VLOOKUP('Données projet'!$B$9,Paramètres!$A$1:$I$89,5,0)</f>
        <v>193.55466000000007</v>
      </c>
      <c r="P53" s="14">
        <f t="shared" si="33"/>
        <v>48.324987897150052</v>
      </c>
      <c r="Q53" s="22">
        <f t="shared" si="53"/>
        <v>421.27372008753645</v>
      </c>
      <c r="R53" s="62">
        <f t="shared" si="0"/>
        <v>714.60705342086976</v>
      </c>
      <c r="S53" s="62">
        <f ca="1">AVERAGE(OFFSET($R$3,0,0,'Données projet'!$E$9+1,1))-AVERAGE(OFFSET($H$3,0,0,'Données projet'!$E$9+1,1))</f>
        <v>183.65324264438817</v>
      </c>
      <c r="T53" s="62">
        <f t="shared" si="34"/>
        <v>208.38613882433765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41.01</v>
      </c>
      <c r="W53" s="17">
        <f>IF(ISNA(VLOOKUP(A53,'Données projet'!$A$35:$I$55,5,0)),0%,VLOOKUP(A53,'Données projet'!$A$35:$I$55,5,0)*VLOOKUP('Données projet'!$B$9,Paramètres!$A$1:$I$89,7,0))</f>
        <v>0.36000000000000004</v>
      </c>
      <c r="X53" s="17">
        <f>IF(ISNA(VLOOKUP(A53,'Données projet'!$A$35:$I$55,6,0)),0%,VLOOKUP(A53,'Données projet'!$A$35:$I$55,6,0)*VLOOKUP('Données projet'!$B$9,Paramètres!$A$1:$I$89,7,0))</f>
        <v>4.9500000000000002E-2</v>
      </c>
      <c r="Y53" s="17">
        <f>IF(ISNA(VLOOKUP(A53,'Données projet'!$A$35:$I$55,7,0)),0%,VLOOKUP(A53,'Données projet'!$A$35:$I$55,7,0))</f>
        <v>0.09</v>
      </c>
      <c r="Z53" s="23">
        <f>EXP(-LN(2)/35)*Z52+(1-EXP(-LN(2)/35))/(LN(2)/35)*V53*W53*VLOOKUP('Données projet'!$B$9,Paramètres!$A$1:$I$89,3,0)*0.475*44/12</f>
        <v>21.163622961519671</v>
      </c>
      <c r="AA53" s="23">
        <f>EXP(-LN(2)/25)*AA52+(1-EXP(-LN(2)/25))/(LN(2)/25)*Calculateur!V53*Calculateur!X53*VLOOKUP('Données projet'!$B$9,Paramètres!$A$1:$I$89,3,0)*0.475*44/12</f>
        <v>11.657524221715462</v>
      </c>
      <c r="AB53" s="23">
        <f>EXP(-LN(2)/2)*AB52+(1-EXP(-LN(2)/2))/(LN(2)/2)*V53*Y53*VLOOKUP('Données projet'!$B$9,Paramètres!$A$1:$I$89,3,0)*0.475*44/12</f>
        <v>2.6519323216204049</v>
      </c>
      <c r="AC53" s="24">
        <f t="shared" si="3"/>
        <v>35.473079504855541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173</v>
      </c>
      <c r="AG53" s="13">
        <f>VLOOKUP(A53,'Données projet'!$A$61:$I$81,9,0)</f>
        <v>6</v>
      </c>
      <c r="AH53" s="13">
        <f t="array" ref="AH53">INDEX(AG:AG,MIN(IF(ISNUMBER(AG53:AG249),ROW(AG53:AG249),"")))</f>
        <v>6</v>
      </c>
      <c r="AI53" s="14">
        <f>IF('Données projet'!$A$62&gt;35,AI52+AH53-AQ52,IF(A53&lt;'Données projet'!$A$62,$AF$205^A53,IF(A53='Données projet'!$A$62,'Données projet'!$B$62,AI52+AH53-AQ52)))</f>
        <v>173.00000000000003</v>
      </c>
      <c r="AJ53" s="14">
        <f>AI53*VLOOKUP('Données projet'!$B$10,Paramètres!$A$1:$I$89,3,0)*VLOOKUP('Données projet'!$B$10,Paramètres!$A$1:$I$89,5,0)</f>
        <v>151.13280000000003</v>
      </c>
      <c r="AK53" s="14">
        <f t="shared" si="35"/>
        <v>38.835905653934425</v>
      </c>
      <c r="AL53" s="22">
        <f t="shared" si="4"/>
        <v>330.86216234726913</v>
      </c>
      <c r="AM53" s="62">
        <f t="shared" si="5"/>
        <v>624.19549568060245</v>
      </c>
      <c r="AN53" s="62">
        <f ca="1">AVERAGE(OFFSET($AM$3,0,0,'Données projet'!$E$10+1,1))-AVERAGE(OFFSET($H$3,0,0,'Données projet'!$E$10+1,1))</f>
        <v>195.53935591077345</v>
      </c>
      <c r="AO53" s="62">
        <f t="shared" si="36"/>
        <v>189.8782192260071</v>
      </c>
      <c r="AP53" s="16">
        <f>IF(ISNA(VLOOKUP(A53,'Données projet'!$A$61:$I$81,3,0)),0,VLOOKUP(A53,'Données projet'!$A$61:$I$81,3,0))</f>
        <v>9</v>
      </c>
      <c r="AQ53" s="16">
        <f>IF(ISNA(VLOOKUP(A53,'Données projet'!$A$61:$I$81,4,0)),0,VLOOKUP(A53,'Données projet'!$A$61:$I$81,4,0))</f>
        <v>18</v>
      </c>
      <c r="AR53" s="17">
        <f>IF(ISNA(VLOOKUP(A53,'Données projet'!$A$61:$I$81,5,0)),0%,VLOOKUP(A53,'Données projet'!$A$61:$I$81,5,0)*VLOOKUP('Données projet'!$B$10,Paramètres!$A$1:$I$89,7,0))</f>
        <v>0.17200000000000001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8.4119230750768281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8.4119230750768281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29.171999999999972</v>
      </c>
      <c r="D54" s="12">
        <f t="shared" si="32"/>
        <v>9.0781259428318464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295.26413008501754</v>
      </c>
      <c r="H54" s="70">
        <f t="shared" si="1"/>
        <v>359.95230268376542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11.054999999999996</v>
      </c>
      <c r="N54" s="14">
        <f>IF('Données projet'!$A$36&gt;35,N53+M54-V53,IF(A54&lt;'Données projet'!$A$36,$K$205^A54,IF(A54='Données projet'!$A$36,'Données projet'!$B$36,N53+M54-V53)))</f>
        <v>293.71500000000009</v>
      </c>
      <c r="O54" s="14">
        <f>N54*VLOOKUP('Données projet'!$B$9,Paramètres!$A$1:$I$89,3,0)*VLOOKUP('Données projet'!$B$9,Paramètres!$A$1:$I$89,5,0)</f>
        <v>175.64157000000006</v>
      </c>
      <c r="P54" s="14">
        <f t="shared" si="33"/>
        <v>44.351136833378654</v>
      </c>
      <c r="Q54" s="22">
        <f t="shared" si="53"/>
        <v>383.15396440146787</v>
      </c>
      <c r="R54" s="62">
        <f t="shared" si="0"/>
        <v>676.48729773480113</v>
      </c>
      <c r="S54" s="62">
        <f ca="1">AVERAGE(OFFSET($R$3,0,0,'Données projet'!$E$9+1,1))-AVERAGE(OFFSET($H$3,0,0,'Données projet'!$E$9+1,1))</f>
        <v>183.65324264438817</v>
      </c>
      <c r="T54" s="62">
        <f t="shared" si="34"/>
        <v>208.38613882433765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20.748617223779664</v>
      </c>
      <c r="AA54" s="23">
        <f>EXP(-LN(2)/25)*AA53+(1-EXP(-LN(2)/25))/(LN(2)/25)*Calculateur!V54*Calculateur!X54*VLOOKUP('Données projet'!$B$9,Paramètres!$A$1:$I$89,3,0)*0.475*44/12</f>
        <v>11.338748608830098</v>
      </c>
      <c r="AB54" s="23">
        <f>EXP(-LN(2)/2)*AB53+(1-EXP(-LN(2)/2))/(LN(2)/2)*V54*Y54*VLOOKUP('Données projet'!$B$9,Paramètres!$A$1:$I$89,3,0)*0.475*44/12</f>
        <v>1.8751993278655728</v>
      </c>
      <c r="AC54" s="24">
        <f t="shared" si="3"/>
        <v>33.962565160475336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5.2</v>
      </c>
      <c r="AI54" s="14">
        <f>IF('Données projet'!$A$62&gt;35,AI53+AH54-AQ53,IF(A54&lt;'Données projet'!$A$62,$AF$205^A54,IF(A54='Données projet'!$A$62,'Données projet'!$B$62,AI53+AH54-AQ53)))</f>
        <v>160.20000000000002</v>
      </c>
      <c r="AJ54" s="14">
        <f>AI54*VLOOKUP('Données projet'!$B$10,Paramètres!$A$1:$I$89,3,0)*VLOOKUP('Données projet'!$B$10,Paramètres!$A$1:$I$89,5,0)</f>
        <v>139.95072000000002</v>
      </c>
      <c r="AK54" s="14">
        <f t="shared" si="35"/>
        <v>36.285715907711918</v>
      </c>
      <c r="AL54" s="22">
        <f t="shared" si="4"/>
        <v>306.94512587259828</v>
      </c>
      <c r="AM54" s="62">
        <f t="shared" si="5"/>
        <v>600.27845920593154</v>
      </c>
      <c r="AN54" s="62">
        <f ca="1">AVERAGE(OFFSET($AM$3,0,0,'Données projet'!$E$10+1,1))-AVERAGE(OFFSET($H$3,0,0,'Données projet'!$E$10+1,1))</f>
        <v>195.53935591077345</v>
      </c>
      <c r="AO54" s="62">
        <f t="shared" si="36"/>
        <v>189.8782192260071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8.2469703943410266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8.2469703943410266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29.743999999999971</v>
      </c>
      <c r="D55" s="12">
        <f t="shared" si="32"/>
        <v>9.2352307334646664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300.89230741621827</v>
      </c>
      <c r="H55" s="70">
        <f t="shared" si="1"/>
        <v>361.22216019411758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11.054999999999996</v>
      </c>
      <c r="N55" s="14">
        <f>IF('Données projet'!$A$36&gt;35,N54+M55-V54,IF(A55&lt;'Données projet'!$A$36,$K$205^A55,IF(A55='Données projet'!$A$36,'Données projet'!$B$36,N54+M55-V54)))</f>
        <v>304.7700000000001</v>
      </c>
      <c r="O55" s="14">
        <f>N55*VLOOKUP('Données projet'!$B$9,Paramètres!$A$1:$I$89,3,0)*VLOOKUP('Données projet'!$B$9,Paramètres!$A$1:$I$89,5,0)</f>
        <v>182.25246000000007</v>
      </c>
      <c r="P55" s="14">
        <f t="shared" si="33"/>
        <v>45.822953734572543</v>
      </c>
      <c r="Q55" s="22">
        <f t="shared" si="53"/>
        <v>397.23134558771397</v>
      </c>
      <c r="R55" s="62">
        <f t="shared" si="0"/>
        <v>690.56467892104729</v>
      </c>
      <c r="S55" s="62">
        <f ca="1">AVERAGE(OFFSET($R$3,0,0,'Données projet'!$E$9+1,1))-AVERAGE(OFFSET($H$3,0,0,'Données projet'!$E$9+1,1))</f>
        <v>183.65324264438817</v>
      </c>
      <c r="T55" s="62">
        <f t="shared" si="34"/>
        <v>208.38613882433765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20.341749495428235</v>
      </c>
      <c r="AA55" s="23">
        <f>EXP(-LN(2)/25)*AA54+(1-EXP(-LN(2)/25))/(LN(2)/25)*Calculateur!V55*Calculateur!X55*VLOOKUP('Données projet'!$B$9,Paramètres!$A$1:$I$89,3,0)*0.475*44/12</f>
        <v>11.028689931842765</v>
      </c>
      <c r="AB55" s="23">
        <f>EXP(-LN(2)/2)*AB54+(1-EXP(-LN(2)/2))/(LN(2)/2)*V55*Y55*VLOOKUP('Données projet'!$B$9,Paramètres!$A$1:$I$89,3,0)*0.475*44/12</f>
        <v>1.3259661608102027</v>
      </c>
      <c r="AC55" s="24">
        <f t="shared" si="3"/>
        <v>32.696405588081205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5.2</v>
      </c>
      <c r="AI55" s="14">
        <f>IF('Données projet'!$A$62&gt;35,AI54+AH55-AQ54,IF(A55&lt;'Données projet'!$A$62,$AF$205^A55,IF(A55='Données projet'!$A$62,'Données projet'!$B$62,AI54+AH55-AQ54)))</f>
        <v>165.4</v>
      </c>
      <c r="AJ55" s="14">
        <f>AI55*VLOOKUP('Données projet'!$B$10,Paramètres!$A$1:$I$89,3,0)*VLOOKUP('Données projet'!$B$10,Paramètres!$A$1:$I$89,5,0)</f>
        <v>144.49344000000002</v>
      </c>
      <c r="AK55" s="14">
        <f t="shared" si="35"/>
        <v>37.324489208332842</v>
      </c>
      <c r="AL55" s="22">
        <f t="shared" si="4"/>
        <v>316.66622670451306</v>
      </c>
      <c r="AM55" s="62">
        <f t="shared" si="5"/>
        <v>609.99956003784632</v>
      </c>
      <c r="AN55" s="62">
        <f ca="1">AVERAGE(OFFSET($AM$3,0,0,'Données projet'!$E$10+1,1))-AVERAGE(OFFSET($H$3,0,0,'Données projet'!$E$10+1,1))</f>
        <v>195.53935591077345</v>
      </c>
      <c r="AO55" s="62">
        <f t="shared" si="36"/>
        <v>189.8782192260071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8.0852523350632524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8.0852523350632524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30.315999999999971</v>
      </c>
      <c r="D56" s="12">
        <f t="shared" si="32"/>
        <v>9.3919842214860001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306.5177729377865</v>
      </c>
      <c r="H56" s="70">
        <f t="shared" si="1"/>
        <v>362.49140585242139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11.054999999999996</v>
      </c>
      <c r="N56" s="14">
        <f>IF('Données projet'!$A$36&gt;35,N55+M56-V55,IF(A56&lt;'Données projet'!$A$36,$K$205^A56,IF(A56='Données projet'!$A$36,'Données projet'!$B$36,N55+M56-V55)))</f>
        <v>315.8250000000001</v>
      </c>
      <c r="O56" s="14">
        <f>N56*VLOOKUP('Données projet'!$B$9,Paramètres!$A$1:$I$89,3,0)*VLOOKUP('Données projet'!$B$9,Paramètres!$A$1:$I$89,5,0)</f>
        <v>188.86335000000005</v>
      </c>
      <c r="P56" s="14">
        <f t="shared" si="33"/>
        <v>47.288567984120647</v>
      </c>
      <c r="Q56" s="22">
        <f t="shared" si="53"/>
        <v>411.29792382234353</v>
      </c>
      <c r="R56" s="62">
        <f t="shared" si="0"/>
        <v>704.63125715567685</v>
      </c>
      <c r="S56" s="62">
        <f ca="1">AVERAGE(OFFSET($R$3,0,0,'Données projet'!$E$9+1,1))-AVERAGE(OFFSET($H$3,0,0,'Données projet'!$E$9+1,1))</f>
        <v>183.65324264438817</v>
      </c>
      <c r="T56" s="62">
        <f t="shared" si="34"/>
        <v>208.38613882433765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19.942860195064966</v>
      </c>
      <c r="AA56" s="23">
        <f>EXP(-LN(2)/25)*AA55+(1-EXP(-LN(2)/25))/(LN(2)/25)*Calculateur!V56*Calculateur!X56*VLOOKUP('Données projet'!$B$9,Paramètres!$A$1:$I$89,3,0)*0.475*44/12</f>
        <v>10.727109825682927</v>
      </c>
      <c r="AB56" s="23">
        <f>EXP(-LN(2)/2)*AB55+(1-EXP(-LN(2)/2))/(LN(2)/2)*V56*Y56*VLOOKUP('Données projet'!$B$9,Paramètres!$A$1:$I$89,3,0)*0.475*44/12</f>
        <v>0.9375996639327866</v>
      </c>
      <c r="AC56" s="24">
        <f t="shared" si="3"/>
        <v>31.60756968468068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5.2</v>
      </c>
      <c r="AI56" s="14">
        <f>IF('Données projet'!$A$62&gt;35,AI55+AH56-AQ55,IF(A56&lt;'Données projet'!$A$62,$AF$205^A56,IF(A56='Données projet'!$A$62,'Données projet'!$B$62,AI55+AH56-AQ55)))</f>
        <v>170.6</v>
      </c>
      <c r="AJ56" s="14">
        <f>AI56*VLOOKUP('Données projet'!$B$10,Paramètres!$A$1:$I$89,3,0)*VLOOKUP('Données projet'!$B$10,Paramètres!$A$1:$I$89,5,0)</f>
        <v>149.03616</v>
      </c>
      <c r="AK56" s="14">
        <f t="shared" si="35"/>
        <v>38.35946741279561</v>
      </c>
      <c r="AL56" s="22">
        <f t="shared" si="4"/>
        <v>326.38071774395229</v>
      </c>
      <c r="AM56" s="62">
        <f t="shared" si="5"/>
        <v>619.7140510772856</v>
      </c>
      <c r="AN56" s="62">
        <f ca="1">AVERAGE(OFFSET($AM$3,0,0,'Données projet'!$E$10+1,1))-AVERAGE(OFFSET($H$3,0,0,'Données projet'!$E$10+1,1))</f>
        <v>195.53935591077345</v>
      </c>
      <c r="AO56" s="62">
        <f t="shared" si="36"/>
        <v>189.8782192260071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7.9267054682896392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7.9267054682896392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30.88799999999997</v>
      </c>
      <c r="D57" s="12">
        <f t="shared" si="32"/>
        <v>9.5483937995518957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312.140583715839</v>
      </c>
      <c r="H57" s="70">
        <f t="shared" si="1"/>
        <v>363.76005253421948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11.054999999999996</v>
      </c>
      <c r="N57" s="14">
        <f>IF('Données projet'!$A$36&gt;35,N56+M57-V56,IF(A57&lt;'Données projet'!$A$36,$K$205^A57,IF(A57='Données projet'!$A$36,'Données projet'!$B$36,N56+M57-V56)))</f>
        <v>326.88000000000011</v>
      </c>
      <c r="O57" s="14">
        <f>N57*VLOOKUP('Données projet'!$B$9,Paramètres!$A$1:$I$89,3,0)*VLOOKUP('Données projet'!$B$9,Paramètres!$A$1:$I$89,5,0)</f>
        <v>195.47424000000009</v>
      </c>
      <c r="P57" s="14">
        <f t="shared" si="33"/>
        <v>48.748221576433252</v>
      </c>
      <c r="Q57" s="22">
        <f t="shared" si="53"/>
        <v>425.35412057895473</v>
      </c>
      <c r="R57" s="62">
        <f t="shared" si="0"/>
        <v>718.68745391228799</v>
      </c>
      <c r="S57" s="62">
        <f ca="1">AVERAGE(OFFSET($R$3,0,0,'Données projet'!$E$9+1,1))-AVERAGE(OFFSET($H$3,0,0,'Données projet'!$E$9+1,1))</f>
        <v>183.65324264438817</v>
      </c>
      <c r="T57" s="62">
        <f t="shared" si="34"/>
        <v>208.38613882433765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19.551792870583373</v>
      </c>
      <c r="AA57" s="23">
        <f>EXP(-LN(2)/25)*AA56+(1-EXP(-LN(2)/25))/(LN(2)/25)*Calculateur!V57*Calculateur!X57*VLOOKUP('Données projet'!$B$9,Paramètres!$A$1:$I$89,3,0)*0.475*44/12</f>
        <v>10.433776443385439</v>
      </c>
      <c r="AB57" s="23">
        <f>EXP(-LN(2)/2)*AB56+(1-EXP(-LN(2)/2))/(LN(2)/2)*V57*Y57*VLOOKUP('Données projet'!$B$9,Paramètres!$A$1:$I$89,3,0)*0.475*44/12</f>
        <v>0.66298308040510145</v>
      </c>
      <c r="AC57" s="24">
        <f t="shared" si="3"/>
        <v>30.648552394373912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5.2</v>
      </c>
      <c r="AI57" s="14">
        <f>IF('Données projet'!$A$62&gt;35,AI56+AH57-AQ56,IF(A57&lt;'Données projet'!$A$62,$AF$205^A57,IF(A57='Données projet'!$A$62,'Données projet'!$B$62,AI56+AH57-AQ56)))</f>
        <v>175.79999999999998</v>
      </c>
      <c r="AJ57" s="14">
        <f>AI57*VLOOKUP('Données projet'!$B$10,Paramètres!$A$1:$I$89,3,0)*VLOOKUP('Données projet'!$B$10,Paramètres!$A$1:$I$89,5,0)</f>
        <v>153.57888</v>
      </c>
      <c r="AK57" s="14">
        <f t="shared" si="35"/>
        <v>39.390779474606148</v>
      </c>
      <c r="AL57" s="22">
        <f t="shared" si="4"/>
        <v>336.08882358493901</v>
      </c>
      <c r="AM57" s="62">
        <f t="shared" si="5"/>
        <v>629.42215691827232</v>
      </c>
      <c r="AN57" s="62">
        <f ca="1">AVERAGE(OFFSET($AM$3,0,0,'Données projet'!$E$10+1,1))-AVERAGE(OFFSET($H$3,0,0,'Données projet'!$E$10+1,1))</f>
        <v>195.53935591077345</v>
      </c>
      <c r="AO57" s="62">
        <f t="shared" si="36"/>
        <v>189.8782192260071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7.771267608869417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7.771267608869417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31.459999999999969</v>
      </c>
      <c r="D58" s="12">
        <f t="shared" si="32"/>
        <v>9.7044665708435556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317.76079458195005</v>
      </c>
      <c r="H58" s="70">
        <f t="shared" si="1"/>
        <v>365.02811261088578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11.054999999999996</v>
      </c>
      <c r="N58" s="14">
        <f>IF('Données projet'!$A$36&gt;35,N57+M58-V57,IF(A58&lt;'Données projet'!$A$36,$K$205^A58,IF(A58='Données projet'!$A$36,'Données projet'!$B$36,N57+M58-V57)))</f>
        <v>337.93500000000012</v>
      </c>
      <c r="O58" s="14">
        <f>N58*VLOOKUP('Données projet'!$B$9,Paramètres!$A$1:$I$89,3,0)*VLOOKUP('Données projet'!$B$9,Paramètres!$A$1:$I$89,5,0)</f>
        <v>202.08513000000008</v>
      </c>
      <c r="P58" s="14">
        <f t="shared" si="33"/>
        <v>50.20213920891657</v>
      </c>
      <c r="Q58" s="22">
        <f t="shared" si="53"/>
        <v>439.40032720552978</v>
      </c>
      <c r="R58" s="62">
        <f t="shared" si="0"/>
        <v>732.73366053886309</v>
      </c>
      <c r="S58" s="62">
        <f ca="1">AVERAGE(OFFSET($R$3,0,0,'Données projet'!$E$9+1,1))-AVERAGE(OFFSET($H$3,0,0,'Données projet'!$E$9+1,1))</f>
        <v>183.65324264438817</v>
      </c>
      <c r="T58" s="62">
        <f t="shared" si="34"/>
        <v>208.38613882433765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19.168394137807347</v>
      </c>
      <c r="AA58" s="23">
        <f>EXP(-LN(2)/25)*AA57+(1-EXP(-LN(2)/25))/(LN(2)/25)*Calculateur!V58*Calculateur!X58*VLOOKUP('Données projet'!$B$9,Paramètres!$A$1:$I$89,3,0)*0.475*44/12</f>
        <v>10.148464277852607</v>
      </c>
      <c r="AB58" s="23">
        <f>EXP(-LN(2)/2)*AB57+(1-EXP(-LN(2)/2))/(LN(2)/2)*V58*Y58*VLOOKUP('Données projet'!$B$9,Paramètres!$A$1:$I$89,3,0)*0.475*44/12</f>
        <v>0.46879983196639335</v>
      </c>
      <c r="AC58" s="24">
        <f t="shared" si="3"/>
        <v>29.785658247626348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181</v>
      </c>
      <c r="AG58" s="13">
        <f>VLOOKUP(A58,'Données projet'!$A$61:$I$81,9,0)</f>
        <v>5.2</v>
      </c>
      <c r="AH58" s="13">
        <f t="array" ref="AH58">INDEX(AG:AG,MIN(IF(ISNUMBER(AG58:AG254),ROW(AG58:AG254),"")))</f>
        <v>5.2</v>
      </c>
      <c r="AI58" s="14">
        <f>IF('Données projet'!$A$62&gt;35,AI57+AH58-AQ57,IF(A58&lt;'Données projet'!$A$62,$AF$205^A58,IF(A58='Données projet'!$A$62,'Données projet'!$B$62,AI57+AH58-AQ57)))</f>
        <v>180.99999999999997</v>
      </c>
      <c r="AJ58" s="14">
        <f>AI58*VLOOKUP('Données projet'!$B$10,Paramètres!$A$1:$I$89,3,0)*VLOOKUP('Données projet'!$B$10,Paramètres!$A$1:$I$89,5,0)</f>
        <v>158.1216</v>
      </c>
      <c r="AK58" s="14">
        <f t="shared" si="35"/>
        <v>40.418546284954211</v>
      </c>
      <c r="AL58" s="22">
        <f t="shared" si="4"/>
        <v>345.79075477962851</v>
      </c>
      <c r="AM58" s="62">
        <f t="shared" si="5"/>
        <v>639.12408811296177</v>
      </c>
      <c r="AN58" s="62">
        <f ca="1">AVERAGE(OFFSET($AM$3,0,0,'Données projet'!$E$10+1,1))-AVERAGE(OFFSET($H$3,0,0,'Données projet'!$E$10+1,1))</f>
        <v>195.53935591077345</v>
      </c>
      <c r="AO58" s="62">
        <f t="shared" si="36"/>
        <v>189.8782192260071</v>
      </c>
      <c r="AP58" s="16">
        <f>IF(ISNA(VLOOKUP(A58,'Données projet'!$A$61:$I$81,3,0)),0,VLOOKUP(A58,'Données projet'!$A$61:$I$81,3,0))</f>
        <v>10</v>
      </c>
      <c r="AQ58" s="16">
        <f>IF(ISNA(VLOOKUP(A58,'Données projet'!$A$61:$I$81,4,0)),0,VLOOKUP(A58,'Données projet'!$A$61:$I$81,4,0))</f>
        <v>17</v>
      </c>
      <c r="AR58" s="17">
        <f>IF(ISNA(VLOOKUP(A58,'Données projet'!$A$61:$I$81,5,0)),0%,VLOOKUP(A58,'Données projet'!$A$61:$I$81,5,0)*VLOOKUP('Données projet'!$B$10,Paramètres!$A$1:$I$89,7,0))</f>
        <v>0.17200000000000001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10.44269840355409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10.44269840355409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32.031999999999968</v>
      </c>
      <c r="D59" s="12">
        <f t="shared" si="32"/>
        <v>9.8602093654557414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323.3784582596582</v>
      </c>
      <c r="H59" s="70">
        <f t="shared" si="1"/>
        <v>366.29559797816864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11.054999999999996</v>
      </c>
      <c r="N59" s="14">
        <f>IF('Données projet'!$A$36&gt;35,N58+M59-V58,IF(A59&lt;'Données projet'!$A$36,$K$205^A59,IF(A59='Données projet'!$A$36,'Données projet'!$B$36,N58+M59-V58)))</f>
        <v>348.99000000000012</v>
      </c>
      <c r="O59" s="14">
        <f>N59*VLOOKUP('Données projet'!$B$9,Paramètres!$A$1:$I$89,3,0)*VLOOKUP('Données projet'!$B$9,Paramètres!$A$1:$I$89,5,0)</f>
        <v>208.69602000000009</v>
      </c>
      <c r="P59" s="14">
        <f t="shared" si="33"/>
        <v>51.650530043297806</v>
      </c>
      <c r="Q59" s="22">
        <f t="shared" si="53"/>
        <v>453.43690799207712</v>
      </c>
      <c r="R59" s="62">
        <f t="shared" si="0"/>
        <v>746.77024132541044</v>
      </c>
      <c r="S59" s="62">
        <f ca="1">AVERAGE(OFFSET($R$3,0,0,'Données projet'!$E$9+1,1))-AVERAGE(OFFSET($H$3,0,0,'Données projet'!$E$9+1,1))</f>
        <v>183.65324264438817</v>
      </c>
      <c r="T59" s="62">
        <f t="shared" si="34"/>
        <v>208.38613882433765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18.792513620330922</v>
      </c>
      <c r="AA59" s="23">
        <f>EXP(-LN(2)/25)*AA58+(1-EXP(-LN(2)/25))/(LN(2)/25)*Calculateur!V59*Calculateur!X59*VLOOKUP('Données projet'!$B$9,Paramètres!$A$1:$I$89,3,0)*0.475*44/12</f>
        <v>9.8709539884901858</v>
      </c>
      <c r="AB59" s="23">
        <f>EXP(-LN(2)/2)*AB58+(1-EXP(-LN(2)/2))/(LN(2)/2)*V59*Y59*VLOOKUP('Données projet'!$B$9,Paramètres!$A$1:$I$89,3,0)*0.475*44/12</f>
        <v>0.33149154020255078</v>
      </c>
      <c r="AC59" s="24">
        <f t="shared" si="3"/>
        <v>28.994959149023657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</v>
      </c>
      <c r="AI59" s="14">
        <f>IF('Données projet'!$A$62&gt;35,AI58+AH59-AQ58,IF(A59&lt;'Données projet'!$A$62,$AF$205^A59,IF(A59='Données projet'!$A$62,'Données projet'!$B$62,AI58+AH59-AQ58)))</f>
        <v>168.99999999999997</v>
      </c>
      <c r="AJ59" s="14">
        <f>AI59*VLOOKUP('Données projet'!$B$10,Paramètres!$A$1:$I$89,3,0)*VLOOKUP('Données projet'!$B$10,Paramètres!$A$1:$I$89,5,0)</f>
        <v>147.63839999999999</v>
      </c>
      <c r="AK59" s="14">
        <f t="shared" si="35"/>
        <v>38.041408878951295</v>
      </c>
      <c r="AL59" s="22">
        <f t="shared" si="4"/>
        <v>323.39233379750681</v>
      </c>
      <c r="AM59" s="62">
        <f t="shared" si="5"/>
        <v>616.72566713084007</v>
      </c>
      <c r="AN59" s="62">
        <f ca="1">AVERAGE(OFFSET($AM$3,0,0,'Données projet'!$E$10+1,1))-AVERAGE(OFFSET($H$3,0,0,'Données projet'!$E$10+1,1))</f>
        <v>195.53935591077345</v>
      </c>
      <c r="AO59" s="62">
        <f t="shared" si="36"/>
        <v>189.8782192260071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10.237923457277493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10.237923457277493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32.603999999999971</v>
      </c>
      <c r="D60" s="12">
        <f t="shared" si="32"/>
        <v>10.015628755581472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328.99362548168136</v>
      </c>
      <c r="H60" s="70">
        <f t="shared" si="1"/>
        <v>367.56252008263766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11.054999999999996</v>
      </c>
      <c r="N60" s="14">
        <f>IF('Données projet'!$A$36&gt;35,N59+M60-V59,IF(A60&lt;'Données projet'!$A$36,$K$205^A60,IF(A60='Données projet'!$A$36,'Données projet'!$B$36,N59+M60-V59)))</f>
        <v>360.04500000000013</v>
      </c>
      <c r="O60" s="14">
        <f>N60*VLOOKUP('Données projet'!$B$9,Paramètres!$A$1:$I$89,3,0)*VLOOKUP('Données projet'!$B$9,Paramètres!$A$1:$I$89,5,0)</f>
        <v>215.30691000000007</v>
      </c>
      <c r="P60" s="14">
        <f t="shared" si="33"/>
        <v>53.093589237506016</v>
      </c>
      <c r="Q60" s="22">
        <f t="shared" si="53"/>
        <v>467.46420283865638</v>
      </c>
      <c r="R60" s="62">
        <f t="shared" si="0"/>
        <v>760.79753617198969</v>
      </c>
      <c r="S60" s="62">
        <f ca="1">AVERAGE(OFFSET($R$3,0,0,'Données projet'!$E$9+1,1))-AVERAGE(OFFSET($H$3,0,0,'Données projet'!$E$9+1,1))</f>
        <v>183.65324264438817</v>
      </c>
      <c r="T60" s="62">
        <f t="shared" si="34"/>
        <v>208.38613882433765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18.424003890537733</v>
      </c>
      <c r="AA60" s="23">
        <f>EXP(-LN(2)/25)*AA59+(1-EXP(-LN(2)/25))/(LN(2)/25)*Calculateur!V60*Calculateur!X60*VLOOKUP('Données projet'!$B$9,Paramètres!$A$1:$I$89,3,0)*0.475*44/12</f>
        <v>9.6010322325840125</v>
      </c>
      <c r="AB60" s="23">
        <f>EXP(-LN(2)/2)*AB59+(1-EXP(-LN(2)/2))/(LN(2)/2)*V60*Y60*VLOOKUP('Données projet'!$B$9,Paramètres!$A$1:$I$89,3,0)*0.475*44/12</f>
        <v>0.2343999159831967</v>
      </c>
      <c r="AC60" s="24">
        <f t="shared" si="3"/>
        <v>28.259436039104941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</v>
      </c>
      <c r="AI60" s="14">
        <f>IF('Données projet'!$A$62&gt;35,AI59+AH60-AQ59,IF(A60&lt;'Données projet'!$A$62,$AF$205^A60,IF(A60='Données projet'!$A$62,'Données projet'!$B$62,AI59+AH60-AQ59)))</f>
        <v>173.99999999999997</v>
      </c>
      <c r="AJ60" s="14">
        <f>AI60*VLOOKUP('Données projet'!$B$10,Paramètres!$A$1:$I$89,3,0)*VLOOKUP('Données projet'!$B$10,Paramètres!$A$1:$I$89,5,0)</f>
        <v>152.00640000000001</v>
      </c>
      <c r="AK60" s="14">
        <f t="shared" si="35"/>
        <v>39.03419401656145</v>
      </c>
      <c r="AL60" s="22">
        <f t="shared" si="4"/>
        <v>332.72903457884451</v>
      </c>
      <c r="AM60" s="62">
        <f t="shared" si="5"/>
        <v>626.06236791217782</v>
      </c>
      <c r="AN60" s="62">
        <f ca="1">AVERAGE(OFFSET($AM$3,0,0,'Données projet'!$E$10+1,1))-AVERAGE(OFFSET($H$3,0,0,'Données projet'!$E$10+1,1))</f>
        <v>195.53935591077345</v>
      </c>
      <c r="AO60" s="62">
        <f t="shared" si="36"/>
        <v>189.8782192260071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10.037164022796995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10.037164022796995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33.175999999999974</v>
      </c>
      <c r="D61" s="12">
        <f t="shared" si="32"/>
        <v>10.170731069600977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334.60634509867401</v>
      </c>
      <c r="H61" s="70">
        <f t="shared" si="1"/>
        <v>368.82888994622164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11.054999999999996</v>
      </c>
      <c r="N61" s="14">
        <f>IF('Données projet'!$A$36&gt;35,N60+M61-V60,IF(A61&lt;'Données projet'!$A$36,$K$205^A61,IF(A61='Données projet'!$A$36,'Données projet'!$B$36,N60+M61-V60)))</f>
        <v>371.10000000000014</v>
      </c>
      <c r="O61" s="14">
        <f>N61*VLOOKUP('Données projet'!$B$9,Paramètres!$A$1:$I$89,3,0)*VLOOKUP('Données projet'!$B$9,Paramètres!$A$1:$I$89,5,0)</f>
        <v>221.91780000000011</v>
      </c>
      <c r="P61" s="14">
        <f t="shared" si="33"/>
        <v>54.531499284124365</v>
      </c>
      <c r="Q61" s="22">
        <f t="shared" si="53"/>
        <v>481.48252958651682</v>
      </c>
      <c r="R61" s="62">
        <f t="shared" si="0"/>
        <v>774.81586291985013</v>
      </c>
      <c r="S61" s="62">
        <f ca="1">AVERAGE(OFFSET($R$3,0,0,'Données projet'!$E$9+1,1))-AVERAGE(OFFSET($H$3,0,0,'Données projet'!$E$9+1,1))</f>
        <v>183.65324264438817</v>
      </c>
      <c r="T61" s="62">
        <f t="shared" si="34"/>
        <v>208.38613882433765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18.062720411777047</v>
      </c>
      <c r="AA61" s="23">
        <f>EXP(-LN(2)/25)*AA60+(1-EXP(-LN(2)/25))/(LN(2)/25)*Calculateur!V61*Calculateur!X61*VLOOKUP('Données projet'!$B$9,Paramètres!$A$1:$I$89,3,0)*0.475*44/12</f>
        <v>9.3384915012876615</v>
      </c>
      <c r="AB61" s="23">
        <f>EXP(-LN(2)/2)*AB60+(1-EXP(-LN(2)/2))/(LN(2)/2)*V61*Y61*VLOOKUP('Données projet'!$B$9,Paramètres!$A$1:$I$89,3,0)*0.475*44/12</f>
        <v>0.16574577010127542</v>
      </c>
      <c r="AC61" s="24">
        <f t="shared" si="3"/>
        <v>27.566957683165981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</v>
      </c>
      <c r="AI61" s="14">
        <f>IF('Données projet'!$A$62&gt;35,AI60+AH61-AQ60,IF(A61&lt;'Données projet'!$A$62,$AF$205^A61,IF(A61='Données projet'!$A$62,'Données projet'!$B$62,AI60+AH61-AQ60)))</f>
        <v>178.99999999999997</v>
      </c>
      <c r="AJ61" s="14">
        <f>AI61*VLOOKUP('Données projet'!$B$10,Paramètres!$A$1:$I$89,3,0)*VLOOKUP('Données projet'!$B$10,Paramètres!$A$1:$I$89,5,0)</f>
        <v>156.37440000000001</v>
      </c>
      <c r="AK61" s="14">
        <f t="shared" si="35"/>
        <v>40.023663524293205</v>
      </c>
      <c r="AL61" s="22">
        <f t="shared" si="4"/>
        <v>342.05996063814399</v>
      </c>
      <c r="AM61" s="62">
        <f t="shared" si="5"/>
        <v>635.39329397147731</v>
      </c>
      <c r="AN61" s="62">
        <f ca="1">AVERAGE(OFFSET($AM$3,0,0,'Données projet'!$E$10+1,1))-AVERAGE(OFFSET($H$3,0,0,'Données projet'!$E$10+1,1))</f>
        <v>195.53935591077345</v>
      </c>
      <c r="AO61" s="62">
        <f t="shared" si="36"/>
        <v>189.8782192260071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9.8403413583754968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9.8403413583754968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33.747999999999976</v>
      </c>
      <c r="D62" s="12">
        <f t="shared" si="32"/>
        <v>10.32552240517143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340.21666418027053</v>
      </c>
      <c r="H62" s="70">
        <f t="shared" si="1"/>
        <v>370.09471818900681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11.054999999999996</v>
      </c>
      <c r="N62" s="14">
        <f>IF('Données projet'!$A$36&gt;35,N61+M62-V61,IF(A62&lt;'Données projet'!$A$36,$K$205^A62,IF(A62='Données projet'!$A$36,'Données projet'!$B$36,N61+M62-V61)))</f>
        <v>382.15500000000014</v>
      </c>
      <c r="O62" s="14">
        <f>N62*VLOOKUP('Données projet'!$B$9,Paramètres!$A$1:$I$89,3,0)*VLOOKUP('Données projet'!$B$9,Paramètres!$A$1:$I$89,5,0)</f>
        <v>228.5286900000001</v>
      </c>
      <c r="P62" s="14">
        <f t="shared" si="33"/>
        <v>55.964431184872865</v>
      </c>
      <c r="Q62" s="22">
        <f t="shared" si="53"/>
        <v>495.49218606365366</v>
      </c>
      <c r="R62" s="62">
        <f t="shared" si="0"/>
        <v>788.82551939698692</v>
      </c>
      <c r="S62" s="62">
        <f ca="1">AVERAGE(OFFSET($R$3,0,0,'Données projet'!$E$9+1,1))-AVERAGE(OFFSET($H$3,0,0,'Données projet'!$E$9+1,1))</f>
        <v>183.65324264438817</v>
      </c>
      <c r="T62" s="62">
        <f t="shared" si="34"/>
        <v>208.38613882433765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17.708521481673696</v>
      </c>
      <c r="AA62" s="23">
        <f>EXP(-LN(2)/25)*AA61+(1-EXP(-LN(2)/25))/(LN(2)/25)*Calculateur!V62*Calculateur!X62*VLOOKUP('Données projet'!$B$9,Paramètres!$A$1:$I$89,3,0)*0.475*44/12</f>
        <v>9.0831299600950253</v>
      </c>
      <c r="AB62" s="23">
        <f>EXP(-LN(2)/2)*AB61+(1-EXP(-LN(2)/2))/(LN(2)/2)*V62*Y62*VLOOKUP('Données projet'!$B$9,Paramètres!$A$1:$I$89,3,0)*0.475*44/12</f>
        <v>0.11719995799159838</v>
      </c>
      <c r="AC62" s="24">
        <f t="shared" si="3"/>
        <v>26.908851399760319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</v>
      </c>
      <c r="AI62" s="14">
        <f>IF('Données projet'!$A$62&gt;35,AI61+AH62-AQ61,IF(A62&lt;'Données projet'!$A$62,$AF$205^A62,IF(A62='Données projet'!$A$62,'Données projet'!$B$62,AI61+AH62-AQ61)))</f>
        <v>183.99999999999997</v>
      </c>
      <c r="AJ62" s="14">
        <f>AI62*VLOOKUP('Données projet'!$B$10,Paramètres!$A$1:$I$89,3,0)*VLOOKUP('Données projet'!$B$10,Paramètres!$A$1:$I$89,5,0)</f>
        <v>160.7424</v>
      </c>
      <c r="AK62" s="14">
        <f t="shared" si="35"/>
        <v>41.009920657227809</v>
      </c>
      <c r="AL62" s="22">
        <f t="shared" si="4"/>
        <v>351.38529181133845</v>
      </c>
      <c r="AM62" s="62">
        <f t="shared" si="5"/>
        <v>644.71862514467171</v>
      </c>
      <c r="AN62" s="62">
        <f ca="1">AVERAGE(OFFSET($AM$3,0,0,'Données projet'!$E$10+1,1))-AVERAGE(OFFSET($H$3,0,0,'Données projet'!$E$10+1,1))</f>
        <v>195.53935591077345</v>
      </c>
      <c r="AO62" s="62">
        <f t="shared" si="36"/>
        <v>189.8782192260071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9.6473782663533321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9.6473782663533321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34.319999999999979</v>
      </c>
      <c r="D63" s="12">
        <f t="shared" si="32"/>
        <v>10.480008641404149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345.82462810908447</v>
      </c>
      <c r="H63" s="70">
        <f t="shared" si="1"/>
        <v>371.3600150504455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393.21</v>
      </c>
      <c r="L63" s="13">
        <f>VLOOKUP(A63,'Données projet'!$A$35:$I$55,9,0)</f>
        <v>11.054999999999996</v>
      </c>
      <c r="M63" s="13">
        <f t="array" ref="M63">INDEX(L:L,MIN(IF(ISNUMBER(L63:L259),ROW(L63:L259),"")))</f>
        <v>11.054999999999996</v>
      </c>
      <c r="N63" s="14">
        <f>IF('Données projet'!$A$36&gt;35,N62+M63-V62,IF(A63&lt;'Données projet'!$A$36,$K$205^A63,IF(A63='Données projet'!$A$36,'Données projet'!$B$36,N62+M63-V62)))</f>
        <v>393.21000000000015</v>
      </c>
      <c r="O63" s="14">
        <f>N63*VLOOKUP('Données projet'!$B$9,Paramètres!$A$1:$I$89,3,0)*VLOOKUP('Données projet'!$B$9,Paramètres!$A$1:$I$89,5,0)</f>
        <v>235.13958000000011</v>
      </c>
      <c r="P63" s="14">
        <f t="shared" si="33"/>
        <v>57.392545485368792</v>
      </c>
      <c r="Q63" s="22">
        <f t="shared" si="53"/>
        <v>509.4934518870175</v>
      </c>
      <c r="R63" s="62">
        <f t="shared" si="0"/>
        <v>802.82678522035076</v>
      </c>
      <c r="S63" s="62">
        <f ca="1">AVERAGE(OFFSET($R$3,0,0,'Données projet'!$E$9+1,1))-AVERAGE(OFFSET($H$3,0,0,'Données projet'!$E$9+1,1))</f>
        <v>183.65324264438817</v>
      </c>
      <c r="T63" s="62">
        <f t="shared" si="34"/>
        <v>208.38613882433765</v>
      </c>
      <c r="U63" s="16">
        <f>IF(ISNA(VLOOKUP(A63,'Données projet'!$A$35:$I$55,3,0)),0,VLOOKUP(A63,'Données projet'!$A$35:$I$55,3,0))</f>
        <v>7</v>
      </c>
      <c r="V63" s="16">
        <f>IF(ISNA(VLOOKUP(A63,'Données projet'!$A$35:$I$55,4,0)),0,VLOOKUP(A63,'Données projet'!$A$35:$I$55,4,0))</f>
        <v>393.21</v>
      </c>
      <c r="W63" s="17">
        <f>IF(ISNA(VLOOKUP(A63,'Données projet'!$A$35:$I$55,5,0)),0%,VLOOKUP(A63,'Données projet'!$A$35:$I$55,5,0)*VLOOKUP('Données projet'!$B$9,Paramètres!$A$1:$I$89,7,0))</f>
        <v>0.40500000000000003</v>
      </c>
      <c r="X63" s="17">
        <f>IF(ISNA(VLOOKUP(A63,'Données projet'!$A$35:$I$55,6,0)),0%,VLOOKUP(A63,'Données projet'!$A$35:$I$55,6,0)*VLOOKUP('Données projet'!$B$9,Paramètres!$A$1:$I$89,7,0))</f>
        <v>2.7E-2</v>
      </c>
      <c r="Y63" s="17">
        <f>IF(ISNA(VLOOKUP(A63,'Données projet'!$A$35:$I$55,7,0)),0%,VLOOKUP(A63,'Données projet'!$A$35:$I$55,7,0))</f>
        <v>0.04</v>
      </c>
      <c r="Z63" s="23">
        <f>EXP(-LN(2)/35)*Z62+(1-EXP(-LN(2)/35))/(LN(2)/35)*V63*W63*VLOOKUP('Données projet'!$B$9,Paramètres!$A$1:$I$89,3,0)*0.475*44/12</f>
        <v>143.69203077901744</v>
      </c>
      <c r="AA63" s="23">
        <f>EXP(-LN(2)/25)*AA62+(1-EXP(-LN(2)/25))/(LN(2)/25)*Calculateur!V63*Calculateur!X63*VLOOKUP('Données projet'!$B$9,Paramètres!$A$1:$I$89,3,0)*0.475*44/12</f>
        <v>17.22364131062902</v>
      </c>
      <c r="AB63" s="23">
        <f>EXP(-LN(2)/2)*AB62+(1-EXP(-LN(2)/2))/(LN(2)/2)*V63*Y63*VLOOKUP('Données projet'!$B$9,Paramètres!$A$1:$I$89,3,0)*0.475*44/12</f>
        <v>10.732177961162966</v>
      </c>
      <c r="AC63" s="24">
        <f t="shared" si="3"/>
        <v>171.64785005080944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189</v>
      </c>
      <c r="AG63" s="13">
        <f>VLOOKUP(A63,'Données projet'!$A$61:$I$81,9,0)</f>
        <v>5</v>
      </c>
      <c r="AH63" s="13">
        <f t="array" ref="AH63">INDEX(AG:AG,MIN(IF(ISNUMBER(AG63:AG259),ROW(AG63:AG259),"")))</f>
        <v>5</v>
      </c>
      <c r="AI63" s="14">
        <f>IF('Données projet'!$A$62&gt;35,AI62+AH63-AQ62,IF(A63&lt;'Données projet'!$A$62,$AF$205^A63,IF(A63='Données projet'!$A$62,'Données projet'!$B$62,AI62+AH63-AQ62)))</f>
        <v>188.99999999999997</v>
      </c>
      <c r="AJ63" s="14">
        <f>AI63*VLOOKUP('Données projet'!$B$10,Paramètres!$A$1:$I$89,3,0)*VLOOKUP('Données projet'!$B$10,Paramètres!$A$1:$I$89,5,0)</f>
        <v>165.1104</v>
      </c>
      <c r="AK63" s="14">
        <f t="shared" si="35"/>
        <v>41.993062739333446</v>
      </c>
      <c r="AL63" s="22">
        <f t="shared" si="4"/>
        <v>360.70519760433905</v>
      </c>
      <c r="AM63" s="62">
        <f t="shared" si="5"/>
        <v>654.03853093767236</v>
      </c>
      <c r="AN63" s="62">
        <f ca="1">AVERAGE(OFFSET($AM$3,0,0,'Données projet'!$E$10+1,1))-AVERAGE(OFFSET($H$3,0,0,'Données projet'!$E$10+1,1))</f>
        <v>195.53935591077345</v>
      </c>
      <c r="AO63" s="62">
        <f t="shared" si="36"/>
        <v>189.8782192260071</v>
      </c>
      <c r="AP63" s="16">
        <f>IF(ISNA(VLOOKUP(A63,'Données projet'!$A$61:$I$81,3,0)),0,VLOOKUP(A63,'Données projet'!$A$61:$I$81,3,0))</f>
        <v>11</v>
      </c>
      <c r="AQ63" s="16">
        <f>IF(ISNA(VLOOKUP(A63,'Données projet'!$A$61:$I$81,4,0)),0,VLOOKUP(A63,'Données projet'!$A$61:$I$81,4,0))</f>
        <v>16</v>
      </c>
      <c r="AR63" s="17">
        <f>IF(ISNA(VLOOKUP(A63,'Données projet'!$A$61:$I$81,5,0)),0%,VLOOKUP(A63,'Données projet'!$A$61:$I$81,5,0)*VLOOKUP('Données projet'!$B$10,Paramètres!$A$1:$I$89,7,0))</f>
        <v>0.215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12.780340959916206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12.780340959916206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34.891999999999982</v>
      </c>
      <c r="D64" s="12">
        <f t="shared" si="32"/>
        <v>10.634195450206938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351.43028066826395</v>
      </c>
      <c r="H64" s="70">
        <f t="shared" si="1"/>
        <v>372.62479040911035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1.7053025658242404E-13</v>
      </c>
      <c r="O64" s="14">
        <f>N64*VLOOKUP('Données projet'!$B$9,Paramètres!$A$1:$I$89,3,0)*VLOOKUP('Données projet'!$B$9,Paramètres!$A$1:$I$89,5,0)</f>
        <v>1.0197709343628959E-13</v>
      </c>
      <c r="P64" s="14">
        <f t="shared" si="33"/>
        <v>1.5284983994279675E-12</v>
      </c>
      <c r="Q64" s="22">
        <f t="shared" si="53"/>
        <v>2.839744816738581E-12</v>
      </c>
      <c r="R64" s="62">
        <f t="shared" si="0"/>
        <v>293.33333333333616</v>
      </c>
      <c r="S64" s="62">
        <f ca="1">AVERAGE(OFFSET($R$3,0,0,'Données projet'!$E$9+1,1))-AVERAGE(OFFSET($H$3,0,0,'Données projet'!$E$9+1,1))</f>
        <v>183.65324264438817</v>
      </c>
      <c r="T64" s="62">
        <f t="shared" si="34"/>
        <v>208.38613882433765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140.87431769892561</v>
      </c>
      <c r="AA64" s="23">
        <f>EXP(-LN(2)/25)*AA63+(1-EXP(-LN(2)/25))/(LN(2)/25)*Calculateur!V64*Calculateur!X64*VLOOKUP('Données projet'!$B$9,Paramètres!$A$1:$I$89,3,0)*0.475*44/12</f>
        <v>16.75265993323794</v>
      </c>
      <c r="AB64" s="23">
        <f>EXP(-LN(2)/2)*AB63+(1-EXP(-LN(2)/2))/(LN(2)/2)*V64*Y64*VLOOKUP('Données projet'!$B$9,Paramètres!$A$1:$I$89,3,0)*0.475*44/12</f>
        <v>7.58879581323915</v>
      </c>
      <c r="AC64" s="24">
        <f t="shared" si="3"/>
        <v>165.2157734454027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4.4000000000000004</v>
      </c>
      <c r="AI64" s="14">
        <f>IF('Données projet'!$A$62&gt;35,AI63+AH64-AQ63,IF(A64&lt;'Données projet'!$A$62,$AF$205^A64,IF(A64='Données projet'!$A$62,'Données projet'!$B$62,AI63+AH64-AQ63)))</f>
        <v>177.39999999999998</v>
      </c>
      <c r="AJ64" s="14">
        <f>AI64*VLOOKUP('Données projet'!$B$10,Paramètres!$A$1:$I$89,3,0)*VLOOKUP('Données projet'!$B$10,Paramètres!$A$1:$I$89,5,0)</f>
        <v>154.97664</v>
      </c>
      <c r="AK64" s="14">
        <f t="shared" si="35"/>
        <v>39.707387607123913</v>
      </c>
      <c r="AL64" s="22">
        <f t="shared" si="4"/>
        <v>339.07468141574077</v>
      </c>
      <c r="AM64" s="62">
        <f t="shared" si="5"/>
        <v>632.40801474907403</v>
      </c>
      <c r="AN64" s="62">
        <f ca="1">AVERAGE(OFFSET($AM$3,0,0,'Données projet'!$E$10+1,1))-AVERAGE(OFFSET($H$3,0,0,'Données projet'!$E$10+1,1))</f>
        <v>195.53935591077345</v>
      </c>
      <c r="AO64" s="62">
        <f t="shared" si="36"/>
        <v>189.8782192260071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12.529726268930519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12.529726268930519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35.463999999999984</v>
      </c>
      <c r="D65" s="12">
        <f t="shared" si="32"/>
        <v>10.788088306861617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357.03366412314222</v>
      </c>
      <c r="H65" s="70">
        <f t="shared" si="1"/>
        <v>373.88905380111726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1.7053025658242404E-13</v>
      </c>
      <c r="O65" s="14">
        <f>N65*VLOOKUP('Données projet'!$B$9,Paramètres!$A$1:$I$89,3,0)*VLOOKUP('Données projet'!$B$9,Paramètres!$A$1:$I$89,5,0)</f>
        <v>1.0197709343628959E-13</v>
      </c>
      <c r="P65" s="14">
        <f t="shared" si="33"/>
        <v>1.5284983994279675E-12</v>
      </c>
      <c r="Q65" s="22">
        <f t="shared" si="53"/>
        <v>2.839744816738581E-12</v>
      </c>
      <c r="R65" s="62">
        <f t="shared" si="0"/>
        <v>293.33333333333616</v>
      </c>
      <c r="S65" s="62">
        <f ca="1">AVERAGE(OFFSET($R$3,0,0,'Données projet'!$E$9+1,1))-AVERAGE(OFFSET($H$3,0,0,'Données projet'!$E$9+1,1))</f>
        <v>183.65324264438817</v>
      </c>
      <c r="T65" s="62">
        <f t="shared" si="34"/>
        <v>208.38613882433765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138.1118582536991</v>
      </c>
      <c r="AA65" s="23">
        <f>EXP(-LN(2)/25)*AA64+(1-EXP(-LN(2)/25))/(LN(2)/25)*Calculateur!V65*Calculateur!X65*VLOOKUP('Données projet'!$B$9,Paramètres!$A$1:$I$89,3,0)*0.475*44/12</f>
        <v>16.294557566379453</v>
      </c>
      <c r="AB65" s="23">
        <f>EXP(-LN(2)/2)*AB64+(1-EXP(-LN(2)/2))/(LN(2)/2)*V65*Y65*VLOOKUP('Données projet'!$B$9,Paramètres!$A$1:$I$89,3,0)*0.475*44/12</f>
        <v>5.366088980581484</v>
      </c>
      <c r="AC65" s="24">
        <f t="shared" si="3"/>
        <v>159.77250480066004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4.4000000000000004</v>
      </c>
      <c r="AI65" s="14">
        <f>IF('Données projet'!$A$62&gt;35,AI64+AH65-AQ64,IF(A65&lt;'Données projet'!$A$62,$AF$205^A65,IF(A65='Données projet'!$A$62,'Données projet'!$B$62,AI64+AH65-AQ64)))</f>
        <v>181.79999999999998</v>
      </c>
      <c r="AJ65" s="14">
        <f>AI65*VLOOKUP('Données projet'!$B$10,Paramètres!$A$1:$I$89,3,0)*VLOOKUP('Données projet'!$B$10,Paramètres!$A$1:$I$89,5,0)</f>
        <v>158.82048</v>
      </c>
      <c r="AK65" s="14">
        <f t="shared" si="35"/>
        <v>40.57635691759311</v>
      </c>
      <c r="AL65" s="22">
        <f t="shared" si="4"/>
        <v>347.28282429814129</v>
      </c>
      <c r="AM65" s="62">
        <f t="shared" si="5"/>
        <v>640.61615763147461</v>
      </c>
      <c r="AN65" s="62">
        <f ca="1">AVERAGE(OFFSET($AM$3,0,0,'Données projet'!$E$10+1,1))-AVERAGE(OFFSET($H$3,0,0,'Données projet'!$E$10+1,1))</f>
        <v>195.53935591077345</v>
      </c>
      <c r="AO65" s="62">
        <f t="shared" si="36"/>
        <v>189.8782192260071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12.284025979175194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12.284025979175194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36.035999999999987</v>
      </c>
      <c r="D66" s="12">
        <f t="shared" si="32"/>
        <v>10.941692499899737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362.63481929747155</v>
      </c>
      <c r="H66" s="70">
        <f t="shared" si="1"/>
        <v>375.15281443732533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1.7053025658242404E-13</v>
      </c>
      <c r="O66" s="14">
        <f>N66*VLOOKUP('Données projet'!$B$9,Paramètres!$A$1:$I$89,3,0)*VLOOKUP('Données projet'!$B$9,Paramètres!$A$1:$I$89,5,0)</f>
        <v>1.0197709343628959E-13</v>
      </c>
      <c r="P66" s="14">
        <f t="shared" si="33"/>
        <v>1.5284983994279675E-12</v>
      </c>
      <c r="Q66" s="22">
        <f t="shared" si="53"/>
        <v>2.839744816738581E-12</v>
      </c>
      <c r="R66" s="62">
        <f t="shared" si="0"/>
        <v>293.33333333333616</v>
      </c>
      <c r="S66" s="62">
        <f ca="1">AVERAGE(OFFSET($R$3,0,0,'Données projet'!$E$9+1,1))-AVERAGE(OFFSET($H$3,0,0,'Données projet'!$E$9+1,1))</f>
        <v>183.65324264438817</v>
      </c>
      <c r="T66" s="62">
        <f t="shared" si="34"/>
        <v>208.38613882433765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135.40356895325959</v>
      </c>
      <c r="AA66" s="23">
        <f>EXP(-LN(2)/25)*AA65+(1-EXP(-LN(2)/25))/(LN(2)/25)*Calculateur!V66*Calculateur!X66*VLOOKUP('Données projet'!$B$9,Paramètres!$A$1:$I$89,3,0)*0.475*44/12</f>
        <v>15.848982032833266</v>
      </c>
      <c r="AB66" s="23">
        <f>EXP(-LN(2)/2)*AB65+(1-EXP(-LN(2)/2))/(LN(2)/2)*V66*Y66*VLOOKUP('Données projet'!$B$9,Paramètres!$A$1:$I$89,3,0)*0.475*44/12</f>
        <v>3.7943979066195754</v>
      </c>
      <c r="AC66" s="24">
        <f t="shared" si="3"/>
        <v>155.04694889271244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4.4000000000000004</v>
      </c>
      <c r="AI66" s="14">
        <f>IF('Données projet'!$A$62&gt;35,AI65+AH66-AQ65,IF(A66&lt;'Données projet'!$A$62,$AF$205^A66,IF(A66='Données projet'!$A$62,'Données projet'!$B$62,AI65+AH66-AQ65)))</f>
        <v>186.2</v>
      </c>
      <c r="AJ66" s="14">
        <f>AI66*VLOOKUP('Données projet'!$B$10,Paramètres!$A$1:$I$89,3,0)*VLOOKUP('Données projet'!$B$10,Paramètres!$A$1:$I$89,5,0)</f>
        <v>162.66432</v>
      </c>
      <c r="AK66" s="14">
        <f t="shared" si="35"/>
        <v>41.442881393745317</v>
      </c>
      <c r="AL66" s="22">
        <f t="shared" si="4"/>
        <v>355.4867090941064</v>
      </c>
      <c r="AM66" s="62">
        <f t="shared" si="5"/>
        <v>648.82004242743972</v>
      </c>
      <c r="AN66" s="62">
        <f ca="1">AVERAGE(OFFSET($AM$3,0,0,'Données projet'!$E$10+1,1))-AVERAGE(OFFSET($H$3,0,0,'Données projet'!$E$10+1,1))</f>
        <v>195.53935591077345</v>
      </c>
      <c r="AO66" s="62">
        <f t="shared" si="36"/>
        <v>189.8782192260071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12.043143722239591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12.043143722239591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36.60799999999999</v>
      </c>
      <c r="D67" s="12">
        <f t="shared" si="32"/>
        <v>11.095013140333551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368.23378564467998</v>
      </c>
      <c r="H67" s="70">
        <f t="shared" si="1"/>
        <v>376.4160812194142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1.7053025658242404E-13</v>
      </c>
      <c r="O67" s="14">
        <f>N67*VLOOKUP('Données projet'!$B$9,Paramètres!$A$1:$I$89,3,0)*VLOOKUP('Données projet'!$B$9,Paramètres!$A$1:$I$89,5,0)</f>
        <v>1.0197709343628959E-13</v>
      </c>
      <c r="P67" s="14">
        <f t="shared" si="33"/>
        <v>1.5284983994279675E-12</v>
      </c>
      <c r="Q67" s="22">
        <f t="shared" ref="Q67:Q98" si="54">(O67+P67)*0.475*44/12</f>
        <v>2.839744816738581E-12</v>
      </c>
      <c r="R67" s="62">
        <f t="shared" ref="R67:R130" si="55">Q67+(I67+J67)*44/12</f>
        <v>293.33333333333616</v>
      </c>
      <c r="S67" s="62">
        <f ca="1">AVERAGE(OFFSET($R$3,0,0,'Données projet'!$E$9+1,1))-AVERAGE(OFFSET($H$3,0,0,'Données projet'!$E$9+1,1))</f>
        <v>183.65324264438817</v>
      </c>
      <c r="T67" s="62">
        <f t="shared" si="34"/>
        <v>208.38613882433765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132.74838755410835</v>
      </c>
      <c r="AA67" s="23">
        <f>EXP(-LN(2)/25)*AA66+(1-EXP(-LN(2)/25))/(LN(2)/25)*Calculateur!V67*Calculateur!X67*VLOOKUP('Données projet'!$B$9,Paramètres!$A$1:$I$89,3,0)*0.475*44/12</f>
        <v>15.415590785683699</v>
      </c>
      <c r="AB67" s="23">
        <f>EXP(-LN(2)/2)*AB66+(1-EXP(-LN(2)/2))/(LN(2)/2)*V67*Y67*VLOOKUP('Données projet'!$B$9,Paramètres!$A$1:$I$89,3,0)*0.475*44/12</f>
        <v>2.6830444902907424</v>
      </c>
      <c r="AC67" s="24">
        <f t="shared" si="3"/>
        <v>150.84702283008278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4.4000000000000004</v>
      </c>
      <c r="AI67" s="14">
        <f>IF('Données projet'!$A$62&gt;35,AI66+AH67-AQ66,IF(A67&lt;'Données projet'!$A$62,$AF$205^A67,IF(A67='Données projet'!$A$62,'Données projet'!$B$62,AI66+AH67-AQ66)))</f>
        <v>190.6</v>
      </c>
      <c r="AJ67" s="14">
        <f>AI67*VLOOKUP('Données projet'!$B$10,Paramètres!$A$1:$I$89,3,0)*VLOOKUP('Données projet'!$B$10,Paramètres!$A$1:$I$89,5,0)</f>
        <v>166.50816</v>
      </c>
      <c r="AK67" s="14">
        <f t="shared" si="35"/>
        <v>42.307025456487715</v>
      </c>
      <c r="AL67" s="22">
        <f t="shared" si="4"/>
        <v>363.68644800338274</v>
      </c>
      <c r="AM67" s="62">
        <f t="shared" si="5"/>
        <v>657.01978133671605</v>
      </c>
      <c r="AN67" s="62">
        <f ca="1">AVERAGE(OFFSET($AM$3,0,0,'Données projet'!$E$10+1,1))-AVERAGE(OFFSET($H$3,0,0,'Données projet'!$E$10+1,1))</f>
        <v>195.53935591077345</v>
      </c>
      <c r="AO67" s="62">
        <f t="shared" si="36"/>
        <v>189.8782192260071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11.806985019438827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11.806985019438827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37.179999999999993</v>
      </c>
      <c r="D68" s="12">
        <f t="shared" si="32"/>
        <v>11.248055170293577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373.83060131454687</v>
      </c>
      <c r="H68" s="70">
        <f t="shared" ref="H68:H131" si="56">(B68+E68+F68)*44/12+(C68+D68)*0.475*44/12</f>
        <v>377.67886275492793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1.7053025658242404E-13</v>
      </c>
      <c r="O68" s="14">
        <f>N68*VLOOKUP('Données projet'!$B$9,Paramètres!$A$1:$I$89,3,0)*VLOOKUP('Données projet'!$B$9,Paramètres!$A$1:$I$89,5,0)</f>
        <v>1.0197709343628959E-13</v>
      </c>
      <c r="P68" s="14">
        <f t="shared" si="33"/>
        <v>1.5284983994279675E-12</v>
      </c>
      <c r="Q68" s="22">
        <f t="shared" si="54"/>
        <v>2.839744816738581E-12</v>
      </c>
      <c r="R68" s="62">
        <f t="shared" si="55"/>
        <v>293.33333333333616</v>
      </c>
      <c r="S68" s="62">
        <f ca="1">AVERAGE(OFFSET($R$3,0,0,'Données projet'!$E$9+1,1))-AVERAGE(OFFSET($H$3,0,0,'Données projet'!$E$9+1,1))</f>
        <v>183.65324264438817</v>
      </c>
      <c r="T68" s="62">
        <f t="shared" si="34"/>
        <v>208.38613882433765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130.14527264269373</v>
      </c>
      <c r="AA68" s="23">
        <f>EXP(-LN(2)/25)*AA67+(1-EXP(-LN(2)/25))/(LN(2)/25)*Calculateur!V68*Calculateur!X68*VLOOKUP('Données projet'!$B$9,Paramètres!$A$1:$I$89,3,0)*0.475*44/12</f>
        <v>14.994050644978492</v>
      </c>
      <c r="AB68" s="23">
        <f>EXP(-LN(2)/2)*AB67+(1-EXP(-LN(2)/2))/(LN(2)/2)*V68*Y68*VLOOKUP('Données projet'!$B$9,Paramètres!$A$1:$I$89,3,0)*0.475*44/12</f>
        <v>1.8971989533097882</v>
      </c>
      <c r="AC68" s="24">
        <f t="shared" ref="AC68:AC131" si="57">SUM(Z68:AB68)</f>
        <v>147.03652224098201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195</v>
      </c>
      <c r="AG68" s="13">
        <f>VLOOKUP(A68,'Données projet'!$A$61:$I$81,9,0)</f>
        <v>4.4000000000000004</v>
      </c>
      <c r="AH68" s="13">
        <f t="array" ref="AH68">INDEX(AG:AG,MIN(IF(ISNUMBER(AG68:AG264),ROW(AG68:AG264),"")))</f>
        <v>4.4000000000000004</v>
      </c>
      <c r="AI68" s="14">
        <f>IF('Données projet'!$A$62&gt;35,AI67+AH68-AQ67,IF(A68&lt;'Données projet'!$A$62,$AF$205^A68,IF(A68='Données projet'!$A$62,'Données projet'!$B$62,AI67+AH68-AQ67)))</f>
        <v>195</v>
      </c>
      <c r="AJ68" s="14">
        <f>AI68*VLOOKUP('Données projet'!$B$10,Paramètres!$A$1:$I$89,3,0)*VLOOKUP('Données projet'!$B$10,Paramètres!$A$1:$I$89,5,0)</f>
        <v>170.35200000000003</v>
      </c>
      <c r="AK68" s="14">
        <f t="shared" si="35"/>
        <v>43.168850382694487</v>
      </c>
      <c r="AL68" s="22">
        <f t="shared" ref="AL68:AL131" si="58">(AJ68+AK68)*0.475*44/12</f>
        <v>371.88214774985954</v>
      </c>
      <c r="AM68" s="62">
        <f t="shared" ref="AM68:AM131" si="59">AL68+(AD68+AE68)*44/12</f>
        <v>665.2154810831928</v>
      </c>
      <c r="AN68" s="62">
        <f ca="1">AVERAGE(OFFSET($AM$3,0,0,'Données projet'!$E$10+1,1))-AVERAGE(OFFSET($H$3,0,0,'Données projet'!$E$10+1,1))</f>
        <v>195.53935591077345</v>
      </c>
      <c r="AO68" s="62">
        <f t="shared" si="36"/>
        <v>189.8782192260071</v>
      </c>
      <c r="AP68" s="16">
        <f>IF(ISNA(VLOOKUP(A68,'Données projet'!$A$61:$I$81,3,0)),0,VLOOKUP(A68,'Données projet'!$A$61:$I$81,3,0))</f>
        <v>12</v>
      </c>
      <c r="AQ68" s="16">
        <f>IF(ISNA(VLOOKUP(A68,'Données projet'!$A$61:$I$81,4,0)),0,VLOOKUP(A68,'Données projet'!$A$61:$I$81,4,0))</f>
        <v>15</v>
      </c>
      <c r="AR68" s="17">
        <f>IF(ISNA(VLOOKUP(A68,'Données projet'!$A$61:$I$81,5,0)),0%,VLOOKUP(A68,'Données projet'!$A$61:$I$81,5,0)*VLOOKUP('Données projet'!$B$10,Paramètres!$A$1:$I$89,7,0))</f>
        <v>0.215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14.689965273238352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14.689965273238352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37.751999999999995</v>
      </c>
      <c r="D69" s="12">
        <f t="shared" ref="D69:D132" si="86">IFERROR(EXP(-1.0587+0.8836*LN(C69)+0.284),0)</f>
        <v>11.400823371119648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379.42530321566045</v>
      </c>
      <c r="H69" s="70">
        <f t="shared" si="56"/>
        <v>378.9411673713667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1.7053025658242404E-13</v>
      </c>
      <c r="O69" s="14">
        <f>N69*VLOOKUP('Données projet'!$B$9,Paramètres!$A$1:$I$89,3,0)*VLOOKUP('Données projet'!$B$9,Paramètres!$A$1:$I$89,5,0)</f>
        <v>1.0197709343628959E-13</v>
      </c>
      <c r="P69" s="14">
        <f t="shared" ref="P69:P132" si="87">EXP(-1.0587+0.8836*LN(O69)+0.284)</f>
        <v>1.5284983994279675E-12</v>
      </c>
      <c r="Q69" s="22">
        <f t="shared" si="54"/>
        <v>2.839744816738581E-12</v>
      </c>
      <c r="R69" s="62">
        <f t="shared" si="55"/>
        <v>293.33333333333616</v>
      </c>
      <c r="S69" s="62">
        <f ca="1">AVERAGE(OFFSET($R$3,0,0,'Données projet'!$E$9+1,1))-AVERAGE(OFFSET($H$3,0,0,'Données projet'!$E$9+1,1))</f>
        <v>183.65324264438817</v>
      </c>
      <c r="T69" s="62">
        <f t="shared" ref="T69:T132" si="88">$T$3</f>
        <v>208.38613882433765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127.59320322694862</v>
      </c>
      <c r="AA69" s="23">
        <f>EXP(-LN(2)/25)*AA68+(1-EXP(-LN(2)/25))/(LN(2)/25)*Calculateur!V69*Calculateur!X69*VLOOKUP('Données projet'!$B$9,Paramètres!$A$1:$I$89,3,0)*0.475*44/12</f>
        <v>14.584037541588701</v>
      </c>
      <c r="AB69" s="23">
        <f>EXP(-LN(2)/2)*AB68+(1-EXP(-LN(2)/2))/(LN(2)/2)*V69*Y69*VLOOKUP('Données projet'!$B$9,Paramètres!$A$1:$I$89,3,0)*0.475*44/12</f>
        <v>1.3415222451453714</v>
      </c>
      <c r="AC69" s="24">
        <f t="shared" si="57"/>
        <v>143.5187630136827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4.2</v>
      </c>
      <c r="AI69" s="14">
        <f>IF('Données projet'!$A$62&gt;35,AI68+AH69-AQ68,IF(A69&lt;'Données projet'!$A$62,$AF$205^A69,IF(A69='Données projet'!$A$62,'Données projet'!$B$62,AI68+AH69-AQ68)))</f>
        <v>184.2</v>
      </c>
      <c r="AJ69" s="14">
        <f>AI69*VLOOKUP('Données projet'!$B$10,Paramètres!$A$1:$I$89,3,0)*VLOOKUP('Données projet'!$B$10,Paramètres!$A$1:$I$89,5,0)</f>
        <v>160.91712000000001</v>
      </c>
      <c r="AK69" s="14">
        <f t="shared" ref="AK69:AK132" si="89">EXP(-1.0587+0.8836*LN(AJ69)+0.284)</f>
        <v>41.049305520788089</v>
      </c>
      <c r="AL69" s="22">
        <f t="shared" si="58"/>
        <v>351.75819111537254</v>
      </c>
      <c r="AM69" s="62">
        <f t="shared" si="59"/>
        <v>645.09152444870585</v>
      </c>
      <c r="AN69" s="62">
        <f ca="1">AVERAGE(OFFSET($AM$3,0,0,'Données projet'!$E$10+1,1))-AVERAGE(OFFSET($H$3,0,0,'Données projet'!$E$10+1,1))</f>
        <v>195.53935591077345</v>
      </c>
      <c r="AO69" s="62">
        <f t="shared" ref="AO69:AO132" si="90">$AO$3</f>
        <v>189.8782192260071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14.401904014224238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14.401904014224238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38.323999999999998</v>
      </c>
      <c r="D70" s="12">
        <f t="shared" si="86"/>
        <v>11.553322370947576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385.0179270739813</v>
      </c>
      <c r="H70" s="70">
        <f t="shared" si="56"/>
        <v>380.20300312940032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1.7053025658242404E-13</v>
      </c>
      <c r="O70" s="14">
        <f>N70*VLOOKUP('Données projet'!$B$9,Paramètres!$A$1:$I$89,3,0)*VLOOKUP('Données projet'!$B$9,Paramètres!$A$1:$I$89,5,0)</f>
        <v>1.0197709343628959E-13</v>
      </c>
      <c r="P70" s="14">
        <f t="shared" si="87"/>
        <v>1.5284983994279675E-12</v>
      </c>
      <c r="Q70" s="22">
        <f t="shared" si="54"/>
        <v>2.839744816738581E-12</v>
      </c>
      <c r="R70" s="62">
        <f t="shared" si="55"/>
        <v>293.33333333333616</v>
      </c>
      <c r="S70" s="62">
        <f ca="1">AVERAGE(OFFSET($R$3,0,0,'Données projet'!$E$9+1,1))-AVERAGE(OFFSET($H$3,0,0,'Données projet'!$E$9+1,1))</f>
        <v>183.65324264438817</v>
      </c>
      <c r="T70" s="62">
        <f t="shared" si="88"/>
        <v>208.38613882433765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125.09117833583763</v>
      </c>
      <c r="AA70" s="23">
        <f>EXP(-LN(2)/25)*AA69+(1-EXP(-LN(2)/25))/(LN(2)/25)*Calculateur!V70*Calculateur!X70*VLOOKUP('Données projet'!$B$9,Paramètres!$A$1:$I$89,3,0)*0.475*44/12</f>
        <v>14.185236268072757</v>
      </c>
      <c r="AB70" s="23">
        <f>EXP(-LN(2)/2)*AB69+(1-EXP(-LN(2)/2))/(LN(2)/2)*V70*Y70*VLOOKUP('Données projet'!$B$9,Paramètres!$A$1:$I$89,3,0)*0.475*44/12</f>
        <v>0.94859947665489419</v>
      </c>
      <c r="AC70" s="24">
        <f t="shared" si="57"/>
        <v>140.22501408056527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4.2</v>
      </c>
      <c r="AI70" s="14">
        <f>IF('Données projet'!$A$62&gt;35,AI69+AH70-AQ69,IF(A70&lt;'Données projet'!$A$62,$AF$205^A70,IF(A70='Données projet'!$A$62,'Données projet'!$B$62,AI69+AH70-AQ69)))</f>
        <v>188.39999999999998</v>
      </c>
      <c r="AJ70" s="14">
        <f>AI70*VLOOKUP('Données projet'!$B$10,Paramètres!$A$1:$I$89,3,0)*VLOOKUP('Données projet'!$B$10,Paramètres!$A$1:$I$89,5,0)</f>
        <v>164.58624</v>
      </c>
      <c r="AK70" s="14">
        <f t="shared" si="89"/>
        <v>41.875247075991886</v>
      </c>
      <c r="AL70" s="22">
        <f t="shared" si="58"/>
        <v>359.58708999068585</v>
      </c>
      <c r="AM70" s="62">
        <f t="shared" si="59"/>
        <v>652.92042332401911</v>
      </c>
      <c r="AN70" s="62">
        <f ca="1">AVERAGE(OFFSET($AM$3,0,0,'Données projet'!$E$10+1,1))-AVERAGE(OFFSET($H$3,0,0,'Données projet'!$E$10+1,1))</f>
        <v>195.53935591077345</v>
      </c>
      <c r="AO70" s="62">
        <f t="shared" si="90"/>
        <v>189.8782192260071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14.119491460799372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14.119491460799372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38.896000000000001</v>
      </c>
      <c r="D71" s="12">
        <f t="shared" si="86"/>
        <v>11.705556651830076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390.60850748781121</v>
      </c>
      <c r="H71" s="70">
        <f t="shared" si="56"/>
        <v>381.46437783527068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1.7053025658242404E-13</v>
      </c>
      <c r="O71" s="14">
        <f>N71*VLOOKUP('Données projet'!$B$9,Paramètres!$A$1:$I$89,3,0)*VLOOKUP('Données projet'!$B$9,Paramètres!$A$1:$I$89,5,0)</f>
        <v>1.0197709343628959E-13</v>
      </c>
      <c r="P71" s="14">
        <f t="shared" si="87"/>
        <v>1.5284983994279675E-12</v>
      </c>
      <c r="Q71" s="22">
        <f t="shared" si="54"/>
        <v>2.839744816738581E-12</v>
      </c>
      <c r="R71" s="62">
        <f t="shared" si="55"/>
        <v>293.33333333333616</v>
      </c>
      <c r="S71" s="62">
        <f ca="1">AVERAGE(OFFSET($R$3,0,0,'Données projet'!$E$9+1,1))-AVERAGE(OFFSET($H$3,0,0,'Données projet'!$E$9+1,1))</f>
        <v>183.65324264438817</v>
      </c>
      <c r="T71" s="62">
        <f t="shared" si="88"/>
        <v>208.38613882433765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122.63821662675683</v>
      </c>
      <c r="AA71" s="23">
        <f>EXP(-LN(2)/25)*AA70+(1-EXP(-LN(2)/25))/(LN(2)/25)*Calculateur!V71*Calculateur!X71*VLOOKUP('Données projet'!$B$9,Paramètres!$A$1:$I$89,3,0)*0.475*44/12</f>
        <v>13.797340236353152</v>
      </c>
      <c r="AB71" s="23">
        <f>EXP(-LN(2)/2)*AB70+(1-EXP(-LN(2)/2))/(LN(2)/2)*V71*Y71*VLOOKUP('Données projet'!$B$9,Paramètres!$A$1:$I$89,3,0)*0.475*44/12</f>
        <v>0.67076112257268583</v>
      </c>
      <c r="AC71" s="24">
        <f t="shared" si="57"/>
        <v>137.10631798568267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4.2</v>
      </c>
      <c r="AI71" s="14">
        <f>IF('Données projet'!$A$62&gt;35,AI70+AH71-AQ70,IF(A71&lt;'Données projet'!$A$62,$AF$205^A71,IF(A71='Données projet'!$A$62,'Données projet'!$B$62,AI70+AH71-AQ70)))</f>
        <v>192.59999999999997</v>
      </c>
      <c r="AJ71" s="14">
        <f>AI71*VLOOKUP('Données projet'!$B$10,Paramètres!$A$1:$I$89,3,0)*VLOOKUP('Données projet'!$B$10,Paramètres!$A$1:$I$89,5,0)</f>
        <v>168.25536</v>
      </c>
      <c r="AK71" s="14">
        <f t="shared" si="89"/>
        <v>42.699047982710887</v>
      </c>
      <c r="AL71" s="22">
        <f t="shared" si="58"/>
        <v>367.41226056988808</v>
      </c>
      <c r="AM71" s="62">
        <f t="shared" si="59"/>
        <v>660.74559390322133</v>
      </c>
      <c r="AN71" s="62">
        <f ca="1">AVERAGE(OFFSET($AM$3,0,0,'Données projet'!$E$10+1,1))-AVERAGE(OFFSET($H$3,0,0,'Données projet'!$E$10+1,1))</f>
        <v>195.53935591077345</v>
      </c>
      <c r="AO71" s="62">
        <f t="shared" si="90"/>
        <v>189.8782192260071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13.84261684529252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13.84261684529252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39.468000000000004</v>
      </c>
      <c r="D72" s="12">
        <f t="shared" si="86"/>
        <v>11.8575305564269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396.19707797943579</v>
      </c>
      <c r="H72" s="70">
        <f t="shared" si="56"/>
        <v>382.72529905244352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1.7053025658242404E-13</v>
      </c>
      <c r="O72" s="14">
        <f>N72*VLOOKUP('Données projet'!$B$9,Paramètres!$A$1:$I$89,3,0)*VLOOKUP('Données projet'!$B$9,Paramètres!$A$1:$I$89,5,0)</f>
        <v>1.0197709343628959E-13</v>
      </c>
      <c r="P72" s="14">
        <f t="shared" si="87"/>
        <v>1.5284983994279675E-12</v>
      </c>
      <c r="Q72" s="22">
        <f t="shared" si="54"/>
        <v>2.839744816738581E-12</v>
      </c>
      <c r="R72" s="62">
        <f t="shared" si="55"/>
        <v>293.33333333333616</v>
      </c>
      <c r="S72" s="62">
        <f ca="1">AVERAGE(OFFSET($R$3,0,0,'Données projet'!$E$9+1,1))-AVERAGE(OFFSET($H$3,0,0,'Données projet'!$E$9+1,1))</f>
        <v>183.65324264438817</v>
      </c>
      <c r="T72" s="62">
        <f t="shared" si="88"/>
        <v>208.38613882433765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120.2333560006322</v>
      </c>
      <c r="AA72" s="23">
        <f>EXP(-LN(2)/25)*AA71+(1-EXP(-LN(2)/25))/(LN(2)/25)*Calculateur!V72*Calculateur!X72*VLOOKUP('Données projet'!$B$9,Paramètres!$A$1:$I$89,3,0)*0.475*44/12</f>
        <v>13.420051242019486</v>
      </c>
      <c r="AB72" s="23">
        <f>EXP(-LN(2)/2)*AB71+(1-EXP(-LN(2)/2))/(LN(2)/2)*V72*Y72*VLOOKUP('Données projet'!$B$9,Paramètres!$A$1:$I$89,3,0)*0.475*44/12</f>
        <v>0.47429973832744715</v>
      </c>
      <c r="AC72" s="24">
        <f t="shared" si="57"/>
        <v>134.12770698097916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4.2</v>
      </c>
      <c r="AI72" s="14">
        <f>IF('Données projet'!$A$62&gt;35,AI71+AH72-AQ71,IF(A72&lt;'Données projet'!$A$62,$AF$205^A72,IF(A72='Données projet'!$A$62,'Données projet'!$B$62,AI71+AH72-AQ71)))</f>
        <v>196.79999999999995</v>
      </c>
      <c r="AJ72" s="14">
        <f>AI72*VLOOKUP('Données projet'!$B$10,Paramètres!$A$1:$I$89,3,0)*VLOOKUP('Données projet'!$B$10,Paramètres!$A$1:$I$89,5,0)</f>
        <v>171.92447999999999</v>
      </c>
      <c r="AK72" s="14">
        <f t="shared" si="89"/>
        <v>43.520760297647755</v>
      </c>
      <c r="AL72" s="22">
        <f t="shared" si="58"/>
        <v>375.23379351840316</v>
      </c>
      <c r="AM72" s="62">
        <f t="shared" si="59"/>
        <v>668.56712685173648</v>
      </c>
      <c r="AN72" s="62">
        <f ca="1">AVERAGE(OFFSET($AM$3,0,0,'Données projet'!$E$10+1,1))-AVERAGE(OFFSET($H$3,0,0,'Données projet'!$E$10+1,1))</f>
        <v>195.53935591077345</v>
      </c>
      <c r="AO72" s="62">
        <f t="shared" si="90"/>
        <v>189.8782192260071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13.571171572118915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13.571171572118915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40.040000000000006</v>
      </c>
      <c r="D73" s="12">
        <f t="shared" si="86"/>
        <v>12.009248294296116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401.78367104368937</v>
      </c>
      <c r="H73" s="70">
        <f t="shared" si="56"/>
        <v>383.98577411256571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1.7053025658242404E-13</v>
      </c>
      <c r="O73" s="14">
        <f>N73*VLOOKUP('Données projet'!$B$9,Paramètres!$A$1:$I$89,3,0)*VLOOKUP('Données projet'!$B$9,Paramètres!$A$1:$I$89,5,0)</f>
        <v>1.0197709343628959E-13</v>
      </c>
      <c r="P73" s="14">
        <f t="shared" si="87"/>
        <v>1.5284983994279675E-12</v>
      </c>
      <c r="Q73" s="22">
        <f t="shared" si="54"/>
        <v>2.839744816738581E-12</v>
      </c>
      <c r="R73" s="62">
        <f t="shared" si="55"/>
        <v>293.33333333333616</v>
      </c>
      <c r="S73" s="62">
        <f ca="1">AVERAGE(OFFSET($R$3,0,0,'Données projet'!$E$9+1,1))-AVERAGE(OFFSET($H$3,0,0,'Données projet'!$E$9+1,1))</f>
        <v>183.65324264438817</v>
      </c>
      <c r="T73" s="62">
        <f t="shared" si="88"/>
        <v>208.38613882433765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117.87565322456572</v>
      </c>
      <c r="AA73" s="23">
        <f>EXP(-LN(2)/25)*AA72+(1-EXP(-LN(2)/25))/(LN(2)/25)*Calculateur!V73*Calculateur!X73*VLOOKUP('Données projet'!$B$9,Paramètres!$A$1:$I$89,3,0)*0.475*44/12</f>
        <v>13.053079235076641</v>
      </c>
      <c r="AB73" s="23">
        <f>EXP(-LN(2)/2)*AB72+(1-EXP(-LN(2)/2))/(LN(2)/2)*V73*Y73*VLOOKUP('Données projet'!$B$9,Paramètres!$A$1:$I$89,3,0)*0.475*44/12</f>
        <v>0.33538056128634297</v>
      </c>
      <c r="AC73" s="24">
        <f t="shared" si="57"/>
        <v>131.2641130209287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201</v>
      </c>
      <c r="AG73" s="13">
        <f>VLOOKUP(A73,'Données projet'!$A$61:$I$81,9,0)</f>
        <v>4.2</v>
      </c>
      <c r="AH73" s="13">
        <f t="array" ref="AH73">INDEX(AG:AG,MIN(IF(ISNUMBER(AG73:AG269),ROW(AG73:AG269),"")))</f>
        <v>4.2</v>
      </c>
      <c r="AI73" s="14">
        <f>IF('Données projet'!$A$62&gt;35,AI72+AH73-AQ72,IF(A73&lt;'Données projet'!$A$62,$AF$205^A73,IF(A73='Données projet'!$A$62,'Données projet'!$B$62,AI72+AH73-AQ72)))</f>
        <v>200.99999999999994</v>
      </c>
      <c r="AJ73" s="14">
        <f>AI73*VLOOKUP('Données projet'!$B$10,Paramètres!$A$1:$I$89,3,0)*VLOOKUP('Données projet'!$B$10,Paramètres!$A$1:$I$89,5,0)</f>
        <v>175.59359999999995</v>
      </c>
      <c r="AK73" s="14">
        <f t="shared" si="89"/>
        <v>44.340433728638573</v>
      </c>
      <c r="AL73" s="22">
        <f t="shared" si="58"/>
        <v>383.05177541071203</v>
      </c>
      <c r="AM73" s="62">
        <f t="shared" si="59"/>
        <v>676.38510874404528</v>
      </c>
      <c r="AN73" s="62">
        <f ca="1">AVERAGE(OFFSET($AM$3,0,0,'Données projet'!$E$10+1,1))-AVERAGE(OFFSET($H$3,0,0,'Données projet'!$E$10+1,1))</f>
        <v>195.53935591077345</v>
      </c>
      <c r="AO73" s="62">
        <f t="shared" si="90"/>
        <v>189.8782192260071</v>
      </c>
      <c r="AP73" s="16">
        <f>IF(ISNA(VLOOKUP(A73,'Données projet'!$A$61:$I$81,3,0)),0,VLOOKUP(A73,'Données projet'!$A$61:$I$81,3,0))</f>
        <v>13</v>
      </c>
      <c r="AQ73" s="16">
        <f>IF(ISNA(VLOOKUP(A73,'Données projet'!$A$61:$I$81,4,0)),0,VLOOKUP(A73,'Données projet'!$A$61:$I$81,4,0))</f>
        <v>14</v>
      </c>
      <c r="AR73" s="17">
        <f>IF(ISNA(VLOOKUP(A73,'Données projet'!$A$61:$I$81,5,0)),0%,VLOOKUP(A73,'Données projet'!$A$61:$I$81,5,0)*VLOOKUP('Données projet'!$B$10,Paramètres!$A$1:$I$89,7,0))</f>
        <v>0.25800000000000001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16.793298167085645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16.793298167085645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40.612000000000009</v>
      </c>
      <c r="D74" s="12">
        <f t="shared" si="86"/>
        <v>12.160713947815667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407.36831819366489</v>
      </c>
      <c r="H74" s="70">
        <f t="shared" si="56"/>
        <v>385.24581012577892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1.7053025658242404E-13</v>
      </c>
      <c r="O74" s="14">
        <f>N74*VLOOKUP('Données projet'!$B$9,Paramètres!$A$1:$I$89,3,0)*VLOOKUP('Données projet'!$B$9,Paramètres!$A$1:$I$89,5,0)</f>
        <v>1.0197709343628959E-13</v>
      </c>
      <c r="P74" s="14">
        <f t="shared" si="87"/>
        <v>1.5284983994279675E-12</v>
      </c>
      <c r="Q74" s="22">
        <f t="shared" si="54"/>
        <v>2.839744816738581E-12</v>
      </c>
      <c r="R74" s="62">
        <f t="shared" si="55"/>
        <v>293.33333333333616</v>
      </c>
      <c r="S74" s="62">
        <f ca="1">AVERAGE(OFFSET($R$3,0,0,'Données projet'!$E$9+1,1))-AVERAGE(OFFSET($H$3,0,0,'Données projet'!$E$9+1,1))</f>
        <v>183.65324264438817</v>
      </c>
      <c r="T74" s="62">
        <f t="shared" si="88"/>
        <v>208.38613882433765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115.56418356188121</v>
      </c>
      <c r="AA74" s="23">
        <f>EXP(-LN(2)/25)*AA73+(1-EXP(-LN(2)/25))/(LN(2)/25)*Calculateur!V74*Calculateur!X74*VLOOKUP('Données projet'!$B$9,Paramètres!$A$1:$I$89,3,0)*0.475*44/12</f>
        <v>12.696142096961866</v>
      </c>
      <c r="AB74" s="23">
        <f>EXP(-LN(2)/2)*AB73+(1-EXP(-LN(2)/2))/(LN(2)/2)*V74*Y74*VLOOKUP('Données projet'!$B$9,Paramètres!$A$1:$I$89,3,0)*0.475*44/12</f>
        <v>0.23714986916372363</v>
      </c>
      <c r="AC74" s="24">
        <f t="shared" si="57"/>
        <v>128.49747552800679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3.4</v>
      </c>
      <c r="AI74" s="14">
        <f>IF('Données projet'!$A$62&gt;35,AI73+AH74-AQ73,IF(A74&lt;'Données projet'!$A$62,$AF$205^A74,IF(A74='Données projet'!$A$62,'Données projet'!$B$62,AI73+AH74-AQ73)))</f>
        <v>190.39999999999995</v>
      </c>
      <c r="AJ74" s="14">
        <f>AI74*VLOOKUP('Données projet'!$B$10,Paramètres!$A$1:$I$89,3,0)*VLOOKUP('Données projet'!$B$10,Paramètres!$A$1:$I$89,5,0)</f>
        <v>166.33343999999997</v>
      </c>
      <c r="AK74" s="14">
        <f t="shared" si="89"/>
        <v>42.267796944897761</v>
      </c>
      <c r="AL74" s="22">
        <f t="shared" si="58"/>
        <v>363.31382101236346</v>
      </c>
      <c r="AM74" s="62">
        <f t="shared" si="59"/>
        <v>656.64715434569678</v>
      </c>
      <c r="AN74" s="62">
        <f ca="1">AVERAGE(OFFSET($AM$3,0,0,'Données projet'!$E$10+1,1))-AVERAGE(OFFSET($H$3,0,0,'Données projet'!$E$10+1,1))</f>
        <v>195.53935591077345</v>
      </c>
      <c r="AO74" s="62">
        <f t="shared" si="90"/>
        <v>189.8782192260071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16.463991832929576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16.463991832929576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41.184000000000012</v>
      </c>
      <c r="D75" s="12">
        <f t="shared" si="86"/>
        <v>12.31193147776184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412.95105000377566</v>
      </c>
      <c r="H75" s="70">
        <f t="shared" si="56"/>
        <v>386.50541399043522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1.7053025658242404E-13</v>
      </c>
      <c r="O75" s="14">
        <f>N75*VLOOKUP('Données projet'!$B$9,Paramètres!$A$1:$I$89,3,0)*VLOOKUP('Données projet'!$B$9,Paramètres!$A$1:$I$89,5,0)</f>
        <v>1.0197709343628959E-13</v>
      </c>
      <c r="P75" s="14">
        <f t="shared" si="87"/>
        <v>1.5284983994279675E-12</v>
      </c>
      <c r="Q75" s="22">
        <f t="shared" si="54"/>
        <v>2.839744816738581E-12</v>
      </c>
      <c r="R75" s="62">
        <f t="shared" si="55"/>
        <v>293.33333333333616</v>
      </c>
      <c r="S75" s="62">
        <f ca="1">AVERAGE(OFFSET($R$3,0,0,'Données projet'!$E$9+1,1))-AVERAGE(OFFSET($H$3,0,0,'Données projet'!$E$9+1,1))</f>
        <v>183.65324264438817</v>
      </c>
      <c r="T75" s="62">
        <f t="shared" si="88"/>
        <v>208.38613882433765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113.29804040942466</v>
      </c>
      <c r="AA75" s="23">
        <f>EXP(-LN(2)/25)*AA74+(1-EXP(-LN(2)/25))/(LN(2)/25)*Calculateur!V75*Calculateur!X75*VLOOKUP('Données projet'!$B$9,Paramètres!$A$1:$I$89,3,0)*0.475*44/12</f>
        <v>12.348965423659349</v>
      </c>
      <c r="AB75" s="23">
        <f>EXP(-LN(2)/2)*AB74+(1-EXP(-LN(2)/2))/(LN(2)/2)*V75*Y75*VLOOKUP('Données projet'!$B$9,Paramètres!$A$1:$I$89,3,0)*0.475*44/12</f>
        <v>0.16769028064317151</v>
      </c>
      <c r="AC75" s="24">
        <f t="shared" si="57"/>
        <v>125.81469611372718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3.4</v>
      </c>
      <c r="AI75" s="14">
        <f>IF('Données projet'!$A$62&gt;35,AI74+AH75-AQ74,IF(A75&lt;'Données projet'!$A$62,$AF$205^A75,IF(A75='Données projet'!$A$62,'Données projet'!$B$62,AI74+AH75-AQ74)))</f>
        <v>193.79999999999995</v>
      </c>
      <c r="AJ75" s="14">
        <f>AI75*VLOOKUP('Données projet'!$B$10,Paramètres!$A$1:$I$89,3,0)*VLOOKUP('Données projet'!$B$10,Paramètres!$A$1:$I$89,5,0)</f>
        <v>169.30367999999999</v>
      </c>
      <c r="AK75" s="14">
        <f t="shared" si="89"/>
        <v>42.934033834973214</v>
      </c>
      <c r="AL75" s="22">
        <f t="shared" si="58"/>
        <v>369.64735159591163</v>
      </c>
      <c r="AM75" s="62">
        <f t="shared" si="59"/>
        <v>662.98068492924494</v>
      </c>
      <c r="AN75" s="62">
        <f ca="1">AVERAGE(OFFSET($AM$3,0,0,'Données projet'!$E$10+1,1))-AVERAGE(OFFSET($H$3,0,0,'Données projet'!$E$10+1,1))</f>
        <v>195.53935591077345</v>
      </c>
      <c r="AO75" s="62">
        <f t="shared" si="90"/>
        <v>189.8782192260071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16.141142995129275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16.141142995129275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41.756000000000014</v>
      </c>
      <c r="D76" s="12">
        <f t="shared" si="86"/>
        <v>12.462904728569018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418.53189615035745</v>
      </c>
      <c r="H76" s="70">
        <f t="shared" si="56"/>
        <v>387.76459240225773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1.7053025658242404E-13</v>
      </c>
      <c r="O76" s="14">
        <f>N76*VLOOKUP('Données projet'!$B$9,Paramètres!$A$1:$I$89,3,0)*VLOOKUP('Données projet'!$B$9,Paramètres!$A$1:$I$89,5,0)</f>
        <v>1.0197709343628959E-13</v>
      </c>
      <c r="P76" s="14">
        <f t="shared" si="87"/>
        <v>1.5284983994279675E-12</v>
      </c>
      <c r="Q76" s="22">
        <f t="shared" si="54"/>
        <v>2.839744816738581E-12</v>
      </c>
      <c r="R76" s="62">
        <f t="shared" si="55"/>
        <v>293.33333333333616</v>
      </c>
      <c r="S76" s="62">
        <f ca="1">AVERAGE(OFFSET($R$3,0,0,'Données projet'!$E$9+1,1))-AVERAGE(OFFSET($H$3,0,0,'Données projet'!$E$9+1,1))</f>
        <v>183.65324264438817</v>
      </c>
      <c r="T76" s="62">
        <f t="shared" si="88"/>
        <v>208.38613882433765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111.07633494197694</v>
      </c>
      <c r="AA76" s="23">
        <f>EXP(-LN(2)/25)*AA75+(1-EXP(-LN(2)/25))/(LN(2)/25)*Calculateur!V76*Calculateur!X76*VLOOKUP('Données projet'!$B$9,Paramètres!$A$1:$I$89,3,0)*0.475*44/12</f>
        <v>12.011282314745516</v>
      </c>
      <c r="AB76" s="23">
        <f>EXP(-LN(2)/2)*AB75+(1-EXP(-LN(2)/2))/(LN(2)/2)*V76*Y76*VLOOKUP('Données projet'!$B$9,Paramètres!$A$1:$I$89,3,0)*0.475*44/12</f>
        <v>0.11857493458186183</v>
      </c>
      <c r="AC76" s="24">
        <f t="shared" si="57"/>
        <v>123.20619219130431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3.4</v>
      </c>
      <c r="AI76" s="14">
        <f>IF('Données projet'!$A$62&gt;35,AI75+AH76-AQ75,IF(A76&lt;'Données projet'!$A$62,$AF$205^A76,IF(A76='Données projet'!$A$62,'Données projet'!$B$62,AI75+AH76-AQ75)))</f>
        <v>197.19999999999996</v>
      </c>
      <c r="AJ76" s="14">
        <f>AI76*VLOOKUP('Données projet'!$B$10,Paramètres!$A$1:$I$89,3,0)*VLOOKUP('Données projet'!$B$10,Paramètres!$A$1:$I$89,5,0)</f>
        <v>172.27391999999998</v>
      </c>
      <c r="AK76" s="14">
        <f t="shared" si="89"/>
        <v>43.598911513699605</v>
      </c>
      <c r="AL76" s="22">
        <f t="shared" si="58"/>
        <v>375.97851488636002</v>
      </c>
      <c r="AM76" s="62">
        <f t="shared" si="59"/>
        <v>669.31184821969327</v>
      </c>
      <c r="AN76" s="62">
        <f ca="1">AVERAGE(OFFSET($AM$3,0,0,'Données projet'!$E$10+1,1))-AVERAGE(OFFSET($H$3,0,0,'Données projet'!$E$10+1,1))</f>
        <v>195.53935591077345</v>
      </c>
      <c r="AO76" s="62">
        <f t="shared" si="90"/>
        <v>189.8782192260071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15.824625026119891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15.824625026119891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42.328000000000017</v>
      </c>
      <c r="D77" s="12">
        <f t="shared" si="86"/>
        <v>12.613637433293011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424.11088544998125</v>
      </c>
      <c r="H77" s="70">
        <f t="shared" si="56"/>
        <v>389.02335186298535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1.7053025658242404E-13</v>
      </c>
      <c r="O77" s="14">
        <f>N77*VLOOKUP('Données projet'!$B$9,Paramètres!$A$1:$I$89,3,0)*VLOOKUP('Données projet'!$B$9,Paramètres!$A$1:$I$89,5,0)</f>
        <v>1.0197709343628959E-13</v>
      </c>
      <c r="P77" s="14">
        <f t="shared" si="87"/>
        <v>1.5284983994279675E-12</v>
      </c>
      <c r="Q77" s="22">
        <f t="shared" si="54"/>
        <v>2.839744816738581E-12</v>
      </c>
      <c r="R77" s="62">
        <f t="shared" si="55"/>
        <v>293.33333333333616</v>
      </c>
      <c r="S77" s="62">
        <f ca="1">AVERAGE(OFFSET($R$3,0,0,'Données projet'!$E$9+1,1))-AVERAGE(OFFSET($H$3,0,0,'Données projet'!$E$9+1,1))</f>
        <v>183.65324264438817</v>
      </c>
      <c r="T77" s="62">
        <f t="shared" si="88"/>
        <v>208.38613882433765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108.89819576363934</v>
      </c>
      <c r="AA77" s="23">
        <f>EXP(-LN(2)/25)*AA76+(1-EXP(-LN(2)/25))/(LN(2)/25)*Calculateur!V77*Calculateur!X77*VLOOKUP('Données projet'!$B$9,Paramètres!$A$1:$I$89,3,0)*0.475*44/12</f>
        <v>11.682833168202915</v>
      </c>
      <c r="AB77" s="23">
        <f>EXP(-LN(2)/2)*AB76+(1-EXP(-LN(2)/2))/(LN(2)/2)*V77*Y77*VLOOKUP('Données projet'!$B$9,Paramètres!$A$1:$I$89,3,0)*0.475*44/12</f>
        <v>8.384514032158577E-2</v>
      </c>
      <c r="AC77" s="24">
        <f t="shared" si="57"/>
        <v>120.66487407216384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3.4</v>
      </c>
      <c r="AI77" s="14">
        <f>IF('Données projet'!$A$62&gt;35,AI76+AH77-AQ76,IF(A77&lt;'Données projet'!$A$62,$AF$205^A77,IF(A77='Données projet'!$A$62,'Données projet'!$B$62,AI76+AH77-AQ76)))</f>
        <v>200.59999999999997</v>
      </c>
      <c r="AJ77" s="14">
        <f>AI77*VLOOKUP('Données projet'!$B$10,Paramètres!$A$1:$I$89,3,0)*VLOOKUP('Données projet'!$B$10,Paramètres!$A$1:$I$89,5,0)</f>
        <v>175.24415999999999</v>
      </c>
      <c r="AK77" s="14">
        <f t="shared" si="89"/>
        <v>44.262456119927037</v>
      </c>
      <c r="AL77" s="22">
        <f t="shared" si="58"/>
        <v>382.30735640887292</v>
      </c>
      <c r="AM77" s="62">
        <f t="shared" si="59"/>
        <v>675.64068974220618</v>
      </c>
      <c r="AN77" s="62">
        <f ca="1">AVERAGE(OFFSET($AM$3,0,0,'Données projet'!$E$10+1,1))-AVERAGE(OFFSET($H$3,0,0,'Données projet'!$E$10+1,1))</f>
        <v>195.53935591077345</v>
      </c>
      <c r="AO77" s="62">
        <f t="shared" si="90"/>
        <v>189.8782192260071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15.514313781425884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15.514313781425884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42.90000000000002</v>
      </c>
      <c r="D78" s="12">
        <f t="shared" si="86"/>
        <v>12.764133218298477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429.68804589563752</v>
      </c>
      <c r="H78" s="70">
        <f t="shared" si="56"/>
        <v>390.28169868853649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1.7053025658242404E-13</v>
      </c>
      <c r="O78" s="14">
        <f>N78*VLOOKUP('Données projet'!$B$9,Paramètres!$A$1:$I$89,3,0)*VLOOKUP('Données projet'!$B$9,Paramètres!$A$1:$I$89,5,0)</f>
        <v>1.0197709343628959E-13</v>
      </c>
      <c r="P78" s="14">
        <f t="shared" si="87"/>
        <v>1.5284983994279675E-12</v>
      </c>
      <c r="Q78" s="22">
        <f t="shared" si="54"/>
        <v>2.839744816738581E-12</v>
      </c>
      <c r="R78" s="62">
        <f t="shared" si="55"/>
        <v>293.33333333333616</v>
      </c>
      <c r="S78" s="62">
        <f ca="1">AVERAGE(OFFSET($R$3,0,0,'Données projet'!$E$9+1,1))-AVERAGE(OFFSET($H$3,0,0,'Données projet'!$E$9+1,1))</f>
        <v>183.65324264438817</v>
      </c>
      <c r="T78" s="62">
        <f t="shared" si="88"/>
        <v>208.38613882433765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106.76276856605523</v>
      </c>
      <c r="AA78" s="23">
        <f>EXP(-LN(2)/25)*AA77+(1-EXP(-LN(2)/25))/(LN(2)/25)*Calculateur!V78*Calculateur!X78*VLOOKUP('Données projet'!$B$9,Paramètres!$A$1:$I$89,3,0)*0.475*44/12</f>
        <v>11.363365480844912</v>
      </c>
      <c r="AB78" s="23">
        <f>EXP(-LN(2)/2)*AB77+(1-EXP(-LN(2)/2))/(LN(2)/2)*V78*Y78*VLOOKUP('Données projet'!$B$9,Paramètres!$A$1:$I$89,3,0)*0.475*44/12</f>
        <v>5.9287467290930929E-2</v>
      </c>
      <c r="AC78" s="24">
        <f t="shared" si="57"/>
        <v>118.18542151419108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204</v>
      </c>
      <c r="AG78" s="13">
        <f>VLOOKUP(A78,'Données projet'!$A$61:$I$81,9,0)</f>
        <v>3.4</v>
      </c>
      <c r="AH78" s="13">
        <f t="array" ref="AH78">INDEX(AG:AG,MIN(IF(ISNUMBER(AG78:AG274),ROW(AG78:AG274),"")))</f>
        <v>3.4</v>
      </c>
      <c r="AI78" s="14">
        <f>IF('Données projet'!$A$62&gt;35,AI77+AH78-AQ77,IF(A78&lt;'Données projet'!$A$62,$AF$205^A78,IF(A78='Données projet'!$A$62,'Données projet'!$B$62,AI77+AH78-AQ77)))</f>
        <v>203.99999999999997</v>
      </c>
      <c r="AJ78" s="14">
        <f>AI78*VLOOKUP('Données projet'!$B$10,Paramètres!$A$1:$I$89,3,0)*VLOOKUP('Données projet'!$B$10,Paramètres!$A$1:$I$89,5,0)</f>
        <v>178.21440000000001</v>
      </c>
      <c r="AK78" s="14">
        <f t="shared" si="89"/>
        <v>44.924692855664368</v>
      </c>
      <c r="AL78" s="22">
        <f t="shared" si="58"/>
        <v>388.63392005694874</v>
      </c>
      <c r="AM78" s="62">
        <f t="shared" si="59"/>
        <v>681.96725339028205</v>
      </c>
      <c r="AN78" s="62">
        <f ca="1">AVERAGE(OFFSET($AM$3,0,0,'Données projet'!$E$10+1,1))-AVERAGE(OFFSET($H$3,0,0,'Données projet'!$E$10+1,1))</f>
        <v>195.53935591077345</v>
      </c>
      <c r="AO78" s="62">
        <f t="shared" si="90"/>
        <v>189.8782192260071</v>
      </c>
      <c r="AP78" s="16">
        <f>IF(ISNA(VLOOKUP(A78,'Données projet'!$A$61:$I$81,3,0)),0,VLOOKUP(A78,'Données projet'!$A$61:$I$81,3,0))</f>
        <v>14</v>
      </c>
      <c r="AQ78" s="16">
        <f>IF(ISNA(VLOOKUP(A78,'Données projet'!$A$61:$I$81,4,0)),0,VLOOKUP(A78,'Données projet'!$A$61:$I$81,4,0))</f>
        <v>12</v>
      </c>
      <c r="AR78" s="17">
        <f>IF(ISNA(VLOOKUP(A78,'Données projet'!$A$61:$I$81,5,0)),0%,VLOOKUP(A78,'Données projet'!$A$61:$I$81,5,0)*VLOOKUP('Données projet'!$B$10,Paramètres!$A$1:$I$89,7,0))</f>
        <v>0.25800000000000001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18.20001525831087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18.20001525831087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43.472000000000023</v>
      </c>
      <c r="D79" s="12">
        <f t="shared" si="86"/>
        <v>12.91439560768924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435.26340469093469</v>
      </c>
      <c r="H79" s="70">
        <f t="shared" si="56"/>
        <v>391.53963901672546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1.7053025658242404E-13</v>
      </c>
      <c r="O79" s="14">
        <f>N79*VLOOKUP('Données projet'!$B$9,Paramètres!$A$1:$I$89,3,0)*VLOOKUP('Données projet'!$B$9,Paramètres!$A$1:$I$89,5,0)</f>
        <v>1.0197709343628959E-13</v>
      </c>
      <c r="P79" s="14">
        <f t="shared" si="87"/>
        <v>1.5284983994279675E-12</v>
      </c>
      <c r="Q79" s="22">
        <f t="shared" si="54"/>
        <v>2.839744816738581E-12</v>
      </c>
      <c r="R79" s="62">
        <f t="shared" si="55"/>
        <v>293.33333333333616</v>
      </c>
      <c r="S79" s="62">
        <f ca="1">AVERAGE(OFFSET($R$3,0,0,'Données projet'!$E$9+1,1))-AVERAGE(OFFSET($H$3,0,0,'Données projet'!$E$9+1,1))</f>
        <v>183.65324264438817</v>
      </c>
      <c r="T79" s="62">
        <f t="shared" si="88"/>
        <v>208.38613882433765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104.66921579333376</v>
      </c>
      <c r="AA79" s="23">
        <f>EXP(-LN(2)/25)*AA78+(1-EXP(-LN(2)/25))/(LN(2)/25)*Calculateur!V79*Calculateur!X79*VLOOKUP('Données projet'!$B$9,Paramètres!$A$1:$I$89,3,0)*0.475*44/12</f>
        <v>11.052633654197789</v>
      </c>
      <c r="AB79" s="23">
        <f>EXP(-LN(2)/2)*AB78+(1-EXP(-LN(2)/2))/(LN(2)/2)*V79*Y79*VLOOKUP('Données projet'!$B$9,Paramètres!$A$1:$I$89,3,0)*0.475*44/12</f>
        <v>4.1922570160792892E-2</v>
      </c>
      <c r="AC79" s="24">
        <f t="shared" si="57"/>
        <v>115.76377201769235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3.2</v>
      </c>
      <c r="AI79" s="14">
        <f>IF('Données projet'!$A$62&gt;35,AI78+AH79-AQ78,IF(A79&lt;'Données projet'!$A$62,$AF$205^A79,IF(A79='Données projet'!$A$62,'Données projet'!$B$62,AI78+AH79-AQ78)))</f>
        <v>195.19999999999996</v>
      </c>
      <c r="AJ79" s="14">
        <f>AI79*VLOOKUP('Données projet'!$B$10,Paramètres!$A$1:$I$89,3,0)*VLOOKUP('Données projet'!$B$10,Paramètres!$A$1:$I$89,5,0)</f>
        <v>170.52671999999998</v>
      </c>
      <c r="AK79" s="14">
        <f t="shared" si="89"/>
        <v>43.207970095682747</v>
      </c>
      <c r="AL79" s="22">
        <f t="shared" si="58"/>
        <v>372.25458524998072</v>
      </c>
      <c r="AM79" s="62">
        <f t="shared" si="59"/>
        <v>665.58791858331404</v>
      </c>
      <c r="AN79" s="62">
        <f ca="1">AVERAGE(OFFSET($AM$3,0,0,'Données projet'!$E$10+1,1))-AVERAGE(OFFSET($H$3,0,0,'Données projet'!$E$10+1,1))</f>
        <v>195.53935591077345</v>
      </c>
      <c r="AO79" s="62">
        <f t="shared" si="90"/>
        <v>189.8782192260071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17.843124060008577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17.843124060008577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44.044000000000025</v>
      </c>
      <c r="D80" s="12">
        <f t="shared" si="86"/>
        <v>13.064428027498794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440.83698828244701</v>
      </c>
      <c r="H80" s="70">
        <f t="shared" si="56"/>
        <v>392.79717881456043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1.7053025658242404E-13</v>
      </c>
      <c r="O80" s="14">
        <f>N80*VLOOKUP('Données projet'!$B$9,Paramètres!$A$1:$I$89,3,0)*VLOOKUP('Données projet'!$B$9,Paramètres!$A$1:$I$89,5,0)</f>
        <v>1.0197709343628959E-13</v>
      </c>
      <c r="P80" s="14">
        <f t="shared" si="87"/>
        <v>1.5284983994279675E-12</v>
      </c>
      <c r="Q80" s="22">
        <f t="shared" si="54"/>
        <v>2.839744816738581E-12</v>
      </c>
      <c r="R80" s="62">
        <f t="shared" si="55"/>
        <v>293.33333333333616</v>
      </c>
      <c r="S80" s="62">
        <f ca="1">AVERAGE(OFFSET($R$3,0,0,'Données projet'!$E$9+1,1))-AVERAGE(OFFSET($H$3,0,0,'Données projet'!$E$9+1,1))</f>
        <v>183.65324264438817</v>
      </c>
      <c r="T80" s="62">
        <f t="shared" si="88"/>
        <v>208.38613882433765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102.61671631354426</v>
      </c>
      <c r="AA80" s="23">
        <f>EXP(-LN(2)/25)*AA79+(1-EXP(-LN(2)/25))/(LN(2)/25)*Calculateur!V80*Calculateur!X80*VLOOKUP('Données projet'!$B$9,Paramètres!$A$1:$I$89,3,0)*0.475*44/12</f>
        <v>10.750398805691008</v>
      </c>
      <c r="AB80" s="23">
        <f>EXP(-LN(2)/2)*AB79+(1-EXP(-LN(2)/2))/(LN(2)/2)*V80*Y80*VLOOKUP('Données projet'!$B$9,Paramètres!$A$1:$I$89,3,0)*0.475*44/12</f>
        <v>2.9643733645465468E-2</v>
      </c>
      <c r="AC80" s="24">
        <f t="shared" si="57"/>
        <v>113.39675885288074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3.2</v>
      </c>
      <c r="AI80" s="14">
        <f>IF('Données projet'!$A$62&gt;35,AI79+AH80-AQ79,IF(A80&lt;'Données projet'!$A$62,$AF$205^A80,IF(A80='Données projet'!$A$62,'Données projet'!$B$62,AI79+AH80-AQ79)))</f>
        <v>198.39999999999995</v>
      </c>
      <c r="AJ80" s="14">
        <f>AI80*VLOOKUP('Données projet'!$B$10,Paramètres!$A$1:$I$89,3,0)*VLOOKUP('Données projet'!$B$10,Paramètres!$A$1:$I$89,5,0)</f>
        <v>173.32223999999999</v>
      </c>
      <c r="AK80" s="14">
        <f t="shared" si="89"/>
        <v>43.833254629845122</v>
      </c>
      <c r="AL80" s="22">
        <f t="shared" si="58"/>
        <v>378.2124864803136</v>
      </c>
      <c r="AM80" s="62">
        <f t="shared" si="59"/>
        <v>671.54581981364686</v>
      </c>
      <c r="AN80" s="62">
        <f ca="1">AVERAGE(OFFSET($AM$3,0,0,'Données projet'!$E$10+1,1))-AVERAGE(OFFSET($H$3,0,0,'Données projet'!$E$10+1,1))</f>
        <v>195.53935591077345</v>
      </c>
      <c r="AO80" s="62">
        <f t="shared" si="90"/>
        <v>189.8782192260071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17.493231280422854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17.493231280422854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44.616000000000028</v>
      </c>
      <c r="D81" s="12">
        <f t="shared" si="86"/>
        <v>13.214233809656914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446.40882239033431</v>
      </c>
      <c r="H81" s="70">
        <f t="shared" si="56"/>
        <v>394.05432388515248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1.7053025658242404E-13</v>
      </c>
      <c r="O81" s="14">
        <f>N81*VLOOKUP('Données projet'!$B$9,Paramètres!$A$1:$I$89,3,0)*VLOOKUP('Données projet'!$B$9,Paramètres!$A$1:$I$89,5,0)</f>
        <v>1.0197709343628959E-13</v>
      </c>
      <c r="P81" s="14">
        <f t="shared" si="87"/>
        <v>1.5284983994279675E-12</v>
      </c>
      <c r="Q81" s="22">
        <f t="shared" si="54"/>
        <v>2.839744816738581E-12</v>
      </c>
      <c r="R81" s="62">
        <f t="shared" si="55"/>
        <v>293.33333333333616</v>
      </c>
      <c r="S81" s="62">
        <f ca="1">AVERAGE(OFFSET($R$3,0,0,'Données projet'!$E$9+1,1))-AVERAGE(OFFSET($H$3,0,0,'Données projet'!$E$9+1,1))</f>
        <v>183.65324264438817</v>
      </c>
      <c r="T81" s="62">
        <f t="shared" si="88"/>
        <v>208.38613882433765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100.60446509665236</v>
      </c>
      <c r="AA81" s="23">
        <f>EXP(-LN(2)/25)*AA80+(1-EXP(-LN(2)/25))/(LN(2)/25)*Calculateur!V81*Calculateur!X81*VLOOKUP('Données projet'!$B$9,Paramètres!$A$1:$I$89,3,0)*0.475*44/12</f>
        <v>10.456428585010485</v>
      </c>
      <c r="AB81" s="23">
        <f>EXP(-LN(2)/2)*AB80+(1-EXP(-LN(2)/2))/(LN(2)/2)*V81*Y81*VLOOKUP('Données projet'!$B$9,Paramètres!$A$1:$I$89,3,0)*0.475*44/12</f>
        <v>2.096128508039645E-2</v>
      </c>
      <c r="AC81" s="24">
        <f t="shared" si="57"/>
        <v>111.08185496674325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3.2</v>
      </c>
      <c r="AI81" s="14">
        <f>IF('Données projet'!$A$62&gt;35,AI80+AH81-AQ80,IF(A81&lt;'Données projet'!$A$62,$AF$205^A81,IF(A81='Données projet'!$A$62,'Données projet'!$B$62,AI80+AH81-AQ80)))</f>
        <v>201.59999999999994</v>
      </c>
      <c r="AJ81" s="14">
        <f>AI81*VLOOKUP('Données projet'!$B$10,Paramètres!$A$1:$I$89,3,0)*VLOOKUP('Données projet'!$B$10,Paramètres!$A$1:$I$89,5,0)</f>
        <v>176.11775999999998</v>
      </c>
      <c r="AK81" s="14">
        <f t="shared" si="89"/>
        <v>44.457366290237204</v>
      </c>
      <c r="AL81" s="22">
        <f t="shared" si="58"/>
        <v>384.16834495549637</v>
      </c>
      <c r="AM81" s="62">
        <f t="shared" si="59"/>
        <v>677.50167828882968</v>
      </c>
      <c r="AN81" s="62">
        <f ca="1">AVERAGE(OFFSET($AM$3,0,0,'Données projet'!$E$10+1,1))-AVERAGE(OFFSET($H$3,0,0,'Données projet'!$E$10+1,1))</f>
        <v>195.53935591077345</v>
      </c>
      <c r="AO81" s="62">
        <f t="shared" si="90"/>
        <v>189.8782192260071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17.150199684831286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17.150199684831286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45.188000000000031</v>
      </c>
      <c r="D82" s="12">
        <f t="shared" si="86"/>
        <v>13.363816195747065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451.97893203734606</v>
      </c>
      <c r="H82" s="70">
        <f t="shared" si="56"/>
        <v>395.31107987425952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1.7053025658242404E-13</v>
      </c>
      <c r="O82" s="14">
        <f>N82*VLOOKUP('Données projet'!$B$9,Paramètres!$A$1:$I$89,3,0)*VLOOKUP('Données projet'!$B$9,Paramètres!$A$1:$I$89,5,0)</f>
        <v>1.0197709343628959E-13</v>
      </c>
      <c r="P82" s="14">
        <f t="shared" si="87"/>
        <v>1.5284983994279675E-12</v>
      </c>
      <c r="Q82" s="22">
        <f t="shared" si="54"/>
        <v>2.839744816738581E-12</v>
      </c>
      <c r="R82" s="62">
        <f t="shared" si="55"/>
        <v>293.33333333333616</v>
      </c>
      <c r="S82" s="62">
        <f ca="1">AVERAGE(OFFSET($R$3,0,0,'Données projet'!$E$9+1,1))-AVERAGE(OFFSET($H$3,0,0,'Données projet'!$E$9+1,1))</f>
        <v>183.65324264438817</v>
      </c>
      <c r="T82" s="62">
        <f t="shared" si="88"/>
        <v>208.38613882433765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98.631672898771654</v>
      </c>
      <c r="AA82" s="23">
        <f>EXP(-LN(2)/25)*AA81+(1-EXP(-LN(2)/25))/(LN(2)/25)*Calculateur!V82*Calculateur!X82*VLOOKUP('Données projet'!$B$9,Paramètres!$A$1:$I$89,3,0)*0.475*44/12</f>
        <v>10.170496995473693</v>
      </c>
      <c r="AB82" s="23">
        <f>EXP(-LN(2)/2)*AB81+(1-EXP(-LN(2)/2))/(LN(2)/2)*V82*Y82*VLOOKUP('Données projet'!$B$9,Paramètres!$A$1:$I$89,3,0)*0.475*44/12</f>
        <v>1.4821866822732737E-2</v>
      </c>
      <c r="AC82" s="24">
        <f t="shared" si="57"/>
        <v>108.81699176106808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3.2</v>
      </c>
      <c r="AI82" s="14">
        <f>IF('Données projet'!$A$62&gt;35,AI81+AH82-AQ81,IF(A82&lt;'Données projet'!$A$62,$AF$205^A82,IF(A82='Données projet'!$A$62,'Données projet'!$B$62,AI81+AH82-AQ81)))</f>
        <v>204.79999999999993</v>
      </c>
      <c r="AJ82" s="14">
        <f>AI82*VLOOKUP('Données projet'!$B$10,Paramètres!$A$1:$I$89,3,0)*VLOOKUP('Données projet'!$B$10,Paramètres!$A$1:$I$89,5,0)</f>
        <v>178.91327999999996</v>
      </c>
      <c r="AK82" s="14">
        <f t="shared" si="89"/>
        <v>45.080325843494805</v>
      </c>
      <c r="AL82" s="22">
        <f t="shared" si="58"/>
        <v>390.12219684408677</v>
      </c>
      <c r="AM82" s="62">
        <f t="shared" si="59"/>
        <v>683.45553017742009</v>
      </c>
      <c r="AN82" s="62">
        <f ca="1">AVERAGE(OFFSET($AM$3,0,0,'Données projet'!$E$10+1,1))-AVERAGE(OFFSET($H$3,0,0,'Données projet'!$E$10+1,1))</f>
        <v>195.53935591077345</v>
      </c>
      <c r="AO82" s="62">
        <f t="shared" si="90"/>
        <v>189.8782192260071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16.813894729600655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16.813894729600655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45.760000000000034</v>
      </c>
      <c r="D83" s="12">
        <f t="shared" si="86"/>
        <v>13.513178340568144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457.54734157631583</v>
      </c>
      <c r="H83" s="70">
        <f t="shared" si="56"/>
        <v>396.56745227648958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1.7053025658242404E-13</v>
      </c>
      <c r="O83" s="14">
        <f>N83*VLOOKUP('Données projet'!$B$9,Paramètres!$A$1:$I$89,3,0)*VLOOKUP('Données projet'!$B$9,Paramètres!$A$1:$I$89,5,0)</f>
        <v>1.0197709343628959E-13</v>
      </c>
      <c r="P83" s="14">
        <f t="shared" si="87"/>
        <v>1.5284983994279675E-12</v>
      </c>
      <c r="Q83" s="22">
        <f t="shared" si="54"/>
        <v>2.839744816738581E-12</v>
      </c>
      <c r="R83" s="62">
        <f t="shared" si="55"/>
        <v>293.33333333333616</v>
      </c>
      <c r="S83" s="62">
        <f ca="1">AVERAGE(OFFSET($R$3,0,0,'Données projet'!$E$9+1,1))-AVERAGE(OFFSET($H$3,0,0,'Données projet'!$E$9+1,1))</f>
        <v>183.65324264438817</v>
      </c>
      <c r="T83" s="62">
        <f t="shared" si="88"/>
        <v>208.38613882433765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96.697565952606965</v>
      </c>
      <c r="AA83" s="23">
        <f>EXP(-LN(2)/25)*AA82+(1-EXP(-LN(2)/25))/(LN(2)/25)*Calculateur!V83*Calculateur!X83*VLOOKUP('Données projet'!$B$9,Paramètres!$A$1:$I$89,3,0)*0.475*44/12</f>
        <v>9.8923842202892729</v>
      </c>
      <c r="AB83" s="23">
        <f>EXP(-LN(2)/2)*AB82+(1-EXP(-LN(2)/2))/(LN(2)/2)*V83*Y83*VLOOKUP('Données projet'!$B$9,Paramètres!$A$1:$I$89,3,0)*0.475*44/12</f>
        <v>1.0480642540198227E-2</v>
      </c>
      <c r="AC83" s="24">
        <f t="shared" si="57"/>
        <v>106.60043081543644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208</v>
      </c>
      <c r="AG83" s="13">
        <f>VLOOKUP(A83,'Données projet'!$A$61:$I$81,9,0)</f>
        <v>3.2</v>
      </c>
      <c r="AH83" s="13">
        <f t="array" ref="AH83">INDEX(AG:AG,MIN(IF(ISNUMBER(AG83:AG279),ROW(AG83:AG279),"")))</f>
        <v>3.2</v>
      </c>
      <c r="AI83" s="14">
        <f>IF('Données projet'!$A$62&gt;35,AI82+AH83-AQ82,IF(A83&lt;'Données projet'!$A$62,$AF$205^A83,IF(A83='Données projet'!$A$62,'Données projet'!$B$62,AI82+AH83-AQ82)))</f>
        <v>207.99999999999991</v>
      </c>
      <c r="AJ83" s="14">
        <f>AI83*VLOOKUP('Données projet'!$B$10,Paramètres!$A$1:$I$89,3,0)*VLOOKUP('Données projet'!$B$10,Paramètres!$A$1:$I$89,5,0)</f>
        <v>181.70879999999994</v>
      </c>
      <c r="AK83" s="14">
        <f t="shared" si="89"/>
        <v>45.702153370067769</v>
      </c>
      <c r="AL83" s="22">
        <f t="shared" si="58"/>
        <v>396.07407711953459</v>
      </c>
      <c r="AM83" s="62">
        <f t="shared" si="59"/>
        <v>689.40741045286791</v>
      </c>
      <c r="AN83" s="62">
        <f ca="1">AVERAGE(OFFSET($AM$3,0,0,'Données projet'!$E$10+1,1))-AVERAGE(OFFSET($H$3,0,0,'Données projet'!$E$10+1,1))</f>
        <v>195.53935591077345</v>
      </c>
      <c r="AO83" s="62">
        <f t="shared" si="90"/>
        <v>189.8782192260071</v>
      </c>
      <c r="AP83" s="16">
        <f>IF(ISNA(VLOOKUP(A83,'Données projet'!$A$61:$I$81,3,0)),0,VLOOKUP(A83,'Données projet'!$A$61:$I$81,3,0))</f>
        <v>15</v>
      </c>
      <c r="AQ83" s="16">
        <f>IF(ISNA(VLOOKUP(A83,'Données projet'!$A$61:$I$81,4,0)),0,VLOOKUP(A83,'Données projet'!$A$61:$I$81,4,0))</f>
        <v>11</v>
      </c>
      <c r="AR83" s="17">
        <f>IF(ISNA(VLOOKUP(A83,'Données projet'!$A$61:$I$81,5,0)),0%,VLOOKUP(A83,'Données projet'!$A$61:$I$81,5,0)*VLOOKUP('Données projet'!$B$10,Paramètres!$A$1:$I$89,7,0))</f>
        <v>0.30099999999999999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19.681746085323439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19.681746085323439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46.332000000000036</v>
      </c>
      <c r="D84" s="12">
        <f t="shared" si="86"/>
        <v>13.662323315513067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463.11407471624153</v>
      </c>
      <c r="H84" s="70">
        <f t="shared" si="56"/>
        <v>397.8234464411853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1.7053025658242404E-13</v>
      </c>
      <c r="O84" s="14">
        <f>N84*VLOOKUP('Données projet'!$B$9,Paramètres!$A$1:$I$89,3,0)*VLOOKUP('Données projet'!$B$9,Paramètres!$A$1:$I$89,5,0)</f>
        <v>1.0197709343628959E-13</v>
      </c>
      <c r="P84" s="14">
        <f t="shared" si="87"/>
        <v>1.5284983994279675E-12</v>
      </c>
      <c r="Q84" s="22">
        <f t="shared" si="54"/>
        <v>2.839744816738581E-12</v>
      </c>
      <c r="R84" s="62">
        <f t="shared" si="55"/>
        <v>293.33333333333616</v>
      </c>
      <c r="S84" s="62">
        <f ca="1">AVERAGE(OFFSET($R$3,0,0,'Données projet'!$E$9+1,1))-AVERAGE(OFFSET($H$3,0,0,'Données projet'!$E$9+1,1))</f>
        <v>183.65324264438817</v>
      </c>
      <c r="T84" s="62">
        <f t="shared" si="88"/>
        <v>208.38613882433765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94.801385663967807</v>
      </c>
      <c r="AA84" s="23">
        <f>EXP(-LN(2)/25)*AA83+(1-EXP(-LN(2)/25))/(LN(2)/25)*Calculateur!V84*Calculateur!X84*VLOOKUP('Données projet'!$B$9,Paramètres!$A$1:$I$89,3,0)*0.475*44/12</f>
        <v>9.6218764535675856</v>
      </c>
      <c r="AB84" s="23">
        <f>EXP(-LN(2)/2)*AB83+(1-EXP(-LN(2)/2))/(LN(2)/2)*V84*Y84*VLOOKUP('Données projet'!$B$9,Paramètres!$A$1:$I$89,3,0)*0.475*44/12</f>
        <v>7.4109334113663695E-3</v>
      </c>
      <c r="AC84" s="24">
        <f t="shared" si="57"/>
        <v>104.43067305094675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2.8</v>
      </c>
      <c r="AI84" s="14">
        <f>IF('Données projet'!$A$62&gt;35,AI83+AH84-AQ83,IF(A84&lt;'Données projet'!$A$62,$AF$205^A84,IF(A84='Données projet'!$A$62,'Données projet'!$B$62,AI83+AH84-AQ83)))</f>
        <v>199.79999999999993</v>
      </c>
      <c r="AJ84" s="14">
        <f>AI84*VLOOKUP('Données projet'!$B$10,Paramètres!$A$1:$I$89,3,0)*VLOOKUP('Données projet'!$B$10,Paramètres!$A$1:$I$89,5,0)</f>
        <v>174.54527999999993</v>
      </c>
      <c r="AK84" s="14">
        <f t="shared" si="89"/>
        <v>44.106446559111959</v>
      </c>
      <c r="AL84" s="22">
        <f t="shared" si="58"/>
        <v>380.81842375711989</v>
      </c>
      <c r="AM84" s="62">
        <f t="shared" si="59"/>
        <v>674.1517570904532</v>
      </c>
      <c r="AN84" s="62">
        <f ca="1">AVERAGE(OFFSET($AM$3,0,0,'Données projet'!$E$10+1,1))-AVERAGE(OFFSET($H$3,0,0,'Données projet'!$E$10+1,1))</f>
        <v>195.53935591077345</v>
      </c>
      <c r="AO84" s="62">
        <f t="shared" si="90"/>
        <v>189.8782192260071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19.295799049269995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19.295799049269995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46.904000000000039</v>
      </c>
      <c r="D85" s="12">
        <f t="shared" si="86"/>
        <v>13.811254111775749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468.67915454704126</v>
      </c>
      <c r="H85" s="70">
        <f t="shared" si="56"/>
        <v>399.07906757800947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1.7053025658242404E-13</v>
      </c>
      <c r="O85" s="14">
        <f>N85*VLOOKUP('Données projet'!$B$9,Paramètres!$A$1:$I$89,3,0)*VLOOKUP('Données projet'!$B$9,Paramètres!$A$1:$I$89,5,0)</f>
        <v>1.0197709343628959E-13</v>
      </c>
      <c r="P85" s="14">
        <f t="shared" si="87"/>
        <v>1.5284983994279675E-12</v>
      </c>
      <c r="Q85" s="22">
        <f t="shared" si="54"/>
        <v>2.839744816738581E-12</v>
      </c>
      <c r="R85" s="62">
        <f t="shared" si="55"/>
        <v>293.33333333333616</v>
      </c>
      <c r="S85" s="62">
        <f ca="1">AVERAGE(OFFSET($R$3,0,0,'Données projet'!$E$9+1,1))-AVERAGE(OFFSET($H$3,0,0,'Données projet'!$E$9+1,1))</f>
        <v>183.65324264438817</v>
      </c>
      <c r="T85" s="62">
        <f t="shared" si="88"/>
        <v>208.38613882433765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92.942388314233099</v>
      </c>
      <c r="AA85" s="23">
        <f>EXP(-LN(2)/25)*AA84+(1-EXP(-LN(2)/25))/(LN(2)/25)*Calculateur!V85*Calculateur!X85*VLOOKUP('Données projet'!$B$9,Paramètres!$A$1:$I$89,3,0)*0.475*44/12</f>
        <v>9.3587657359522876</v>
      </c>
      <c r="AB85" s="23">
        <f>EXP(-LN(2)/2)*AB84+(1-EXP(-LN(2)/2))/(LN(2)/2)*V85*Y85*VLOOKUP('Données projet'!$B$9,Paramètres!$A$1:$I$89,3,0)*0.475*44/12</f>
        <v>5.2403212700991141E-3</v>
      </c>
      <c r="AC85" s="24">
        <f t="shared" si="57"/>
        <v>102.30639437145548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2.8</v>
      </c>
      <c r="AI85" s="14">
        <f>IF('Données projet'!$A$62&gt;35,AI84+AH85-AQ84,IF(A85&lt;'Données projet'!$A$62,$AF$205^A85,IF(A85='Données projet'!$A$62,'Données projet'!$B$62,AI84+AH85-AQ84)))</f>
        <v>202.59999999999994</v>
      </c>
      <c r="AJ85" s="14">
        <f>AI85*VLOOKUP('Données projet'!$B$10,Paramètres!$A$1:$I$89,3,0)*VLOOKUP('Données projet'!$B$10,Paramètres!$A$1:$I$89,5,0)</f>
        <v>176.99135999999996</v>
      </c>
      <c r="AK85" s="14">
        <f t="shared" si="89"/>
        <v>44.65216395512175</v>
      </c>
      <c r="AL85" s="22">
        <f t="shared" si="58"/>
        <v>386.02913755517028</v>
      </c>
      <c r="AM85" s="62">
        <f t="shared" si="59"/>
        <v>679.36247088850359</v>
      </c>
      <c r="AN85" s="62">
        <f ca="1">AVERAGE(OFFSET($AM$3,0,0,'Données projet'!$E$10+1,1))-AVERAGE(OFFSET($H$3,0,0,'Données projet'!$E$10+1,1))</f>
        <v>195.53935591077345</v>
      </c>
      <c r="AO85" s="62">
        <f t="shared" si="90"/>
        <v>189.8782192260071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18.91742019918911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18.91742019918911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47.476000000000042</v>
      </c>
      <c r="D86" s="12">
        <f t="shared" si="86"/>
        <v>13.959973643397205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474.2426035630665</v>
      </c>
      <c r="H86" s="70">
        <f t="shared" si="56"/>
        <v>400.33432076225017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1.7053025658242404E-13</v>
      </c>
      <c r="O86" s="14">
        <f>N86*VLOOKUP('Données projet'!$B$9,Paramètres!$A$1:$I$89,3,0)*VLOOKUP('Données projet'!$B$9,Paramètres!$A$1:$I$89,5,0)</f>
        <v>1.0197709343628959E-13</v>
      </c>
      <c r="P86" s="14">
        <f t="shared" si="87"/>
        <v>1.5284983994279675E-12</v>
      </c>
      <c r="Q86" s="22">
        <f t="shared" si="54"/>
        <v>2.839744816738581E-12</v>
      </c>
      <c r="R86" s="62">
        <f t="shared" si="55"/>
        <v>293.33333333333616</v>
      </c>
      <c r="S86" s="62">
        <f ca="1">AVERAGE(OFFSET($R$3,0,0,'Données projet'!$E$9+1,1))-AVERAGE(OFFSET($H$3,0,0,'Données projet'!$E$9+1,1))</f>
        <v>183.65324264438817</v>
      </c>
      <c r="T86" s="62">
        <f t="shared" si="88"/>
        <v>208.38613882433765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91.119844768650267</v>
      </c>
      <c r="AA86" s="23">
        <f>EXP(-LN(2)/25)*AA85+(1-EXP(-LN(2)/25))/(LN(2)/25)*Calculateur!V86*Calculateur!X86*VLOOKUP('Données projet'!$B$9,Paramètres!$A$1:$I$89,3,0)*0.475*44/12</f>
        <v>9.1028497947465716</v>
      </c>
      <c r="AB86" s="23">
        <f>EXP(-LN(2)/2)*AB85+(1-EXP(-LN(2)/2))/(LN(2)/2)*V86*Y86*VLOOKUP('Données projet'!$B$9,Paramètres!$A$1:$I$89,3,0)*0.475*44/12</f>
        <v>3.7054667056831852E-3</v>
      </c>
      <c r="AC86" s="24">
        <f t="shared" si="57"/>
        <v>100.22640003010252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2.8</v>
      </c>
      <c r="AI86" s="14">
        <f>IF('Données projet'!$A$62&gt;35,AI85+AH86-AQ85,IF(A86&lt;'Données projet'!$A$62,$AF$205^A86,IF(A86='Données projet'!$A$62,'Données projet'!$B$62,AI85+AH86-AQ85)))</f>
        <v>205.39999999999995</v>
      </c>
      <c r="AJ86" s="14">
        <f>AI86*VLOOKUP('Données projet'!$B$10,Paramètres!$A$1:$I$89,3,0)*VLOOKUP('Données projet'!$B$10,Paramètres!$A$1:$I$89,5,0)</f>
        <v>179.43743999999998</v>
      </c>
      <c r="AK86" s="14">
        <f t="shared" si="89"/>
        <v>45.197004138831623</v>
      </c>
      <c r="AL86" s="22">
        <f t="shared" si="58"/>
        <v>391.23832354179837</v>
      </c>
      <c r="AM86" s="62">
        <f t="shared" si="59"/>
        <v>684.57165687513168</v>
      </c>
      <c r="AN86" s="62">
        <f ca="1">AVERAGE(OFFSET($AM$3,0,0,'Données projet'!$E$10+1,1))-AVERAGE(OFFSET($H$3,0,0,'Données projet'!$E$10+1,1))</f>
        <v>195.53935591077345</v>
      </c>
      <c r="AO86" s="62">
        <f t="shared" si="90"/>
        <v>189.8782192260071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18.546461127570002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18.546461127570002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48.048000000000044</v>
      </c>
      <c r="D87" s="12">
        <f t="shared" si="86"/>
        <v>14.108484750160628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479.80444368545085</v>
      </c>
      <c r="H87" s="70">
        <f t="shared" si="56"/>
        <v>401.58921093986316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1.7053025658242404E-13</v>
      </c>
      <c r="O87" s="14">
        <f>N87*VLOOKUP('Données projet'!$B$9,Paramètres!$A$1:$I$89,3,0)*VLOOKUP('Données projet'!$B$9,Paramètres!$A$1:$I$89,5,0)</f>
        <v>1.0197709343628959E-13</v>
      </c>
      <c r="P87" s="14">
        <f t="shared" si="87"/>
        <v>1.5284983994279675E-12</v>
      </c>
      <c r="Q87" s="22">
        <f t="shared" si="54"/>
        <v>2.839744816738581E-12</v>
      </c>
      <c r="R87" s="62">
        <f t="shared" si="55"/>
        <v>293.33333333333616</v>
      </c>
      <c r="S87" s="62">
        <f ca="1">AVERAGE(OFFSET($R$3,0,0,'Données projet'!$E$9+1,1))-AVERAGE(OFFSET($H$3,0,0,'Données projet'!$E$9+1,1))</f>
        <v>183.65324264438817</v>
      </c>
      <c r="T87" s="62">
        <f t="shared" si="88"/>
        <v>208.38613882433765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89.333040190354509</v>
      </c>
      <c r="AA87" s="23">
        <f>EXP(-LN(2)/25)*AA86+(1-EXP(-LN(2)/25))/(LN(2)/25)*Calculateur!V87*Calculateur!X87*VLOOKUP('Données projet'!$B$9,Paramètres!$A$1:$I$89,3,0)*0.475*44/12</f>
        <v>8.8539318884111609</v>
      </c>
      <c r="AB87" s="23">
        <f>EXP(-LN(2)/2)*AB86+(1-EXP(-LN(2)/2))/(LN(2)/2)*V87*Y87*VLOOKUP('Données projet'!$B$9,Paramètres!$A$1:$I$89,3,0)*0.475*44/12</f>
        <v>2.6201606350495575E-3</v>
      </c>
      <c r="AC87" s="24">
        <f t="shared" si="57"/>
        <v>98.189592239400724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2.8</v>
      </c>
      <c r="AI87" s="14">
        <f>IF('Données projet'!$A$62&gt;35,AI86+AH87-AQ86,IF(A87&lt;'Données projet'!$A$62,$AF$205^A87,IF(A87='Données projet'!$A$62,'Données projet'!$B$62,AI86+AH87-AQ86)))</f>
        <v>208.19999999999996</v>
      </c>
      <c r="AJ87" s="14">
        <f>AI87*VLOOKUP('Données projet'!$B$10,Paramètres!$A$1:$I$89,3,0)*VLOOKUP('Données projet'!$B$10,Paramètres!$A$1:$I$89,5,0)</f>
        <v>181.88351999999998</v>
      </c>
      <c r="AK87" s="14">
        <f t="shared" si="89"/>
        <v>45.740980450513447</v>
      </c>
      <c r="AL87" s="22">
        <f t="shared" si="58"/>
        <v>396.4460049513109</v>
      </c>
      <c r="AM87" s="62">
        <f t="shared" si="59"/>
        <v>689.77933828464415</v>
      </c>
      <c r="AN87" s="62">
        <f ca="1">AVERAGE(OFFSET($AM$3,0,0,'Données projet'!$E$10+1,1))-AVERAGE(OFFSET($H$3,0,0,'Données projet'!$E$10+1,1))</f>
        <v>195.53935591077345</v>
      </c>
      <c r="AO87" s="62">
        <f t="shared" si="90"/>
        <v>189.8782192260071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18.182776337082654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18.182776337082654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48.620000000000047</v>
      </c>
      <c r="D88" s="12">
        <f t="shared" si="86"/>
        <v>14.256790200344744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485.36469628336334</v>
      </c>
      <c r="H88" s="70">
        <f t="shared" si="56"/>
        <v>402.84374293226716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1.7053025658242404E-13</v>
      </c>
      <c r="O88" s="14">
        <f>N88*VLOOKUP('Données projet'!$B$9,Paramètres!$A$1:$I$89,3,0)*VLOOKUP('Données projet'!$B$9,Paramètres!$A$1:$I$89,5,0)</f>
        <v>1.0197709343628959E-13</v>
      </c>
      <c r="P88" s="14">
        <f t="shared" si="87"/>
        <v>1.5284983994279675E-12</v>
      </c>
      <c r="Q88" s="22">
        <f t="shared" si="54"/>
        <v>2.839744816738581E-12</v>
      </c>
      <c r="R88" s="62">
        <f t="shared" si="55"/>
        <v>293.33333333333616</v>
      </c>
      <c r="S88" s="62">
        <f ca="1">AVERAGE(OFFSET($R$3,0,0,'Données projet'!$E$9+1,1))-AVERAGE(OFFSET($H$3,0,0,'Données projet'!$E$9+1,1))</f>
        <v>183.65324264438817</v>
      </c>
      <c r="T88" s="62">
        <f t="shared" si="88"/>
        <v>208.38613882433765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87.581273759995952</v>
      </c>
      <c r="AA88" s="23">
        <f>EXP(-LN(2)/25)*AA87+(1-EXP(-LN(2)/25))/(LN(2)/25)*Calculateur!V88*Calculateur!X88*VLOOKUP('Données projet'!$B$9,Paramètres!$A$1:$I$89,3,0)*0.475*44/12</f>
        <v>8.6118206553145153</v>
      </c>
      <c r="AB88" s="23">
        <f>EXP(-LN(2)/2)*AB87+(1-EXP(-LN(2)/2))/(LN(2)/2)*V88*Y88*VLOOKUP('Données projet'!$B$9,Paramètres!$A$1:$I$89,3,0)*0.475*44/12</f>
        <v>1.852733352841593E-3</v>
      </c>
      <c r="AC88" s="24">
        <f t="shared" si="57"/>
        <v>96.194947148663317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211</v>
      </c>
      <c r="AG88" s="13">
        <f>VLOOKUP(A88,'Données projet'!$A$61:$I$81,9,0)</f>
        <v>2.8</v>
      </c>
      <c r="AH88" s="13">
        <f t="array" ref="AH88">INDEX(AG:AG,MIN(IF(ISNUMBER(AG88:AG284),ROW(AG88:AG284),"")))</f>
        <v>2.8</v>
      </c>
      <c r="AI88" s="14">
        <f>IF('Données projet'!$A$62&gt;35,AI87+AH88-AQ87,IF(A88&lt;'Données projet'!$A$62,$AF$205^A88,IF(A88='Données projet'!$A$62,'Données projet'!$B$62,AI87+AH88-AQ87)))</f>
        <v>210.99999999999997</v>
      </c>
      <c r="AJ88" s="14">
        <f>AI88*VLOOKUP('Données projet'!$B$10,Paramètres!$A$1:$I$89,3,0)*VLOOKUP('Données projet'!$B$10,Paramètres!$A$1:$I$89,5,0)</f>
        <v>184.3296</v>
      </c>
      <c r="AK88" s="14">
        <f t="shared" si="89"/>
        <v>46.284105851003062</v>
      </c>
      <c r="AL88" s="22">
        <f t="shared" si="58"/>
        <v>401.65220435716361</v>
      </c>
      <c r="AM88" s="62">
        <f t="shared" si="59"/>
        <v>694.98553769049693</v>
      </c>
      <c r="AN88" s="62">
        <f ca="1">AVERAGE(OFFSET($AM$3,0,0,'Données projet'!$E$10+1,1))-AVERAGE(OFFSET($H$3,0,0,'Données projet'!$E$10+1,1))</f>
        <v>195.53935591077345</v>
      </c>
      <c r="AO88" s="62">
        <f t="shared" si="90"/>
        <v>189.8782192260071</v>
      </c>
      <c r="AP88" s="16">
        <f>IF(ISNA(VLOOKUP(A88,'Données projet'!$A$61:$I$81,3,0)),0,VLOOKUP(A88,'Données projet'!$A$61:$I$81,3,0))</f>
        <v>16</v>
      </c>
      <c r="AQ88" s="16">
        <f>IF(ISNA(VLOOKUP(A88,'Données projet'!$A$61:$I$81,4,0)),0,VLOOKUP(A88,'Données projet'!$A$61:$I$81,4,0))</f>
        <v>10</v>
      </c>
      <c r="AR88" s="17">
        <f>IF(ISNA(VLOOKUP(A88,'Données projet'!$A$61:$I$81,5,0)),0%,VLOOKUP(A88,'Données projet'!$A$61:$I$81,5,0)*VLOOKUP('Données projet'!$B$10,Paramètres!$A$1:$I$89,7,0))</f>
        <v>0.30099999999999999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20.7330973434265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20.7330973434265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49.19200000000005</v>
      </c>
      <c r="D89" s="12">
        <f t="shared" si="86"/>
        <v>14.404892693343838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490.92338219423362</v>
      </c>
      <c r="H89" s="70">
        <f t="shared" si="56"/>
        <v>404.09792144090727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1.7053025658242404E-13</v>
      </c>
      <c r="O89" s="14">
        <f>N89*VLOOKUP('Données projet'!$B$9,Paramètres!$A$1:$I$89,3,0)*VLOOKUP('Données projet'!$B$9,Paramètres!$A$1:$I$89,5,0)</f>
        <v>1.0197709343628959E-13</v>
      </c>
      <c r="P89" s="14">
        <f t="shared" si="87"/>
        <v>1.5284983994279675E-12</v>
      </c>
      <c r="Q89" s="22">
        <f t="shared" si="54"/>
        <v>2.839744816738581E-12</v>
      </c>
      <c r="R89" s="62">
        <f t="shared" si="55"/>
        <v>293.33333333333616</v>
      </c>
      <c r="S89" s="62">
        <f ca="1">AVERAGE(OFFSET($R$3,0,0,'Données projet'!$E$9+1,1))-AVERAGE(OFFSET($H$3,0,0,'Données projet'!$E$9+1,1))</f>
        <v>183.65324264438817</v>
      </c>
      <c r="T89" s="62">
        <f t="shared" si="88"/>
        <v>208.38613882433765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85.8638584008647</v>
      </c>
      <c r="AA89" s="23">
        <f>EXP(-LN(2)/25)*AA88+(1-EXP(-LN(2)/25))/(LN(2)/25)*Calculateur!V89*Calculateur!X89*VLOOKUP('Données projet'!$B$9,Paramètres!$A$1:$I$89,3,0)*0.475*44/12</f>
        <v>8.3763299666189734</v>
      </c>
      <c r="AB89" s="23">
        <f>EXP(-LN(2)/2)*AB88+(1-EXP(-LN(2)/2))/(LN(2)/2)*V89*Y89*VLOOKUP('Données projet'!$B$9,Paramètres!$A$1:$I$89,3,0)*0.475*44/12</f>
        <v>1.310080317524779E-3</v>
      </c>
      <c r="AC89" s="24">
        <f t="shared" si="57"/>
        <v>94.241498447801192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2.8</v>
      </c>
      <c r="AI89" s="14">
        <f>IF('Données projet'!$A$62&gt;35,AI88+AH89-AQ88,IF(A89&lt;'Données projet'!$A$62,$AF$205^A89,IF(A89='Données projet'!$A$62,'Données projet'!$B$62,AI88+AH89-AQ88)))</f>
        <v>203.79999999999998</v>
      </c>
      <c r="AJ89" s="14">
        <f>AI89*VLOOKUP('Données projet'!$B$10,Paramètres!$A$1:$I$89,3,0)*VLOOKUP('Données projet'!$B$10,Paramètres!$A$1:$I$89,5,0)</f>
        <v>178.03968</v>
      </c>
      <c r="AK89" s="14">
        <f t="shared" si="89"/>
        <v>44.885773518007284</v>
      </c>
      <c r="AL89" s="22">
        <f t="shared" si="58"/>
        <v>388.26183154386268</v>
      </c>
      <c r="AM89" s="62">
        <f t="shared" si="59"/>
        <v>681.595164877196</v>
      </c>
      <c r="AN89" s="62">
        <f ca="1">AVERAGE(OFFSET($AM$3,0,0,'Données projet'!$E$10+1,1))-AVERAGE(OFFSET($H$3,0,0,'Données projet'!$E$10+1,1))</f>
        <v>195.53935591077345</v>
      </c>
      <c r="AO89" s="62">
        <f t="shared" si="90"/>
        <v>189.8782192260071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20.326533950462604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20.326533950462604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49.764000000000053</v>
      </c>
      <c r="D90" s="12">
        <f t="shared" si="86"/>
        <v>14.55279486216244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496.48052174300875</v>
      </c>
      <c r="H90" s="70">
        <f t="shared" si="56"/>
        <v>405.35175105159965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1.7053025658242404E-13</v>
      </c>
      <c r="O90" s="14">
        <f>N90*VLOOKUP('Données projet'!$B$9,Paramètres!$A$1:$I$89,3,0)*VLOOKUP('Données projet'!$B$9,Paramètres!$A$1:$I$89,5,0)</f>
        <v>1.0197709343628959E-13</v>
      </c>
      <c r="P90" s="14">
        <f t="shared" si="87"/>
        <v>1.5284983994279675E-12</v>
      </c>
      <c r="Q90" s="22">
        <f t="shared" si="54"/>
        <v>2.839744816738581E-12</v>
      </c>
      <c r="R90" s="62">
        <f t="shared" si="55"/>
        <v>293.33333333333616</v>
      </c>
      <c r="S90" s="62">
        <f ca="1">AVERAGE(OFFSET($R$3,0,0,'Données projet'!$E$9+1,1))-AVERAGE(OFFSET($H$3,0,0,'Données projet'!$E$9+1,1))</f>
        <v>183.65324264438817</v>
      </c>
      <c r="T90" s="62">
        <f t="shared" si="88"/>
        <v>208.38613882433765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84.18012050940608</v>
      </c>
      <c r="AA90" s="23">
        <f>EXP(-LN(2)/25)*AA89+(1-EXP(-LN(2)/25))/(LN(2)/25)*Calculateur!V90*Calculateur!X90*VLOOKUP('Données projet'!$B$9,Paramètres!$A$1:$I$89,3,0)*0.475*44/12</f>
        <v>8.1472787831897282</v>
      </c>
      <c r="AB90" s="23">
        <f>EXP(-LN(2)/2)*AB89+(1-EXP(-LN(2)/2))/(LN(2)/2)*V90*Y90*VLOOKUP('Données projet'!$B$9,Paramètres!$A$1:$I$89,3,0)*0.475*44/12</f>
        <v>9.2636667642079663E-4</v>
      </c>
      <c r="AC90" s="24">
        <f t="shared" si="57"/>
        <v>92.328325659272238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2.8</v>
      </c>
      <c r="AI90" s="14">
        <f>IF('Données projet'!$A$62&gt;35,AI89+AH90-AQ89,IF(A90&lt;'Données projet'!$A$62,$AF$205^A90,IF(A90='Données projet'!$A$62,'Données projet'!$B$62,AI89+AH90-AQ89)))</f>
        <v>206.6</v>
      </c>
      <c r="AJ90" s="14">
        <f>AI90*VLOOKUP('Données projet'!$B$10,Paramètres!$A$1:$I$89,3,0)*VLOOKUP('Données projet'!$B$10,Paramètres!$A$1:$I$89,5,0)</f>
        <v>180.48576000000003</v>
      </c>
      <c r="AK90" s="14">
        <f t="shared" si="89"/>
        <v>45.430241859839441</v>
      </c>
      <c r="AL90" s="22">
        <f t="shared" si="58"/>
        <v>393.47036990588708</v>
      </c>
      <c r="AM90" s="62">
        <f t="shared" si="59"/>
        <v>686.80370323922034</v>
      </c>
      <c r="AN90" s="62">
        <f ca="1">AVERAGE(OFFSET($AM$3,0,0,'Données projet'!$E$10+1,1))-AVERAGE(OFFSET($H$3,0,0,'Données projet'!$E$10+1,1))</f>
        <v>195.53935591077345</v>
      </c>
      <c r="AO90" s="62">
        <f t="shared" si="90"/>
        <v>189.8782192260071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19.927943017655544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19.927943017655544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50.336000000000055</v>
      </c>
      <c r="D91" s="12">
        <f t="shared" si="86"/>
        <v>14.700499275792145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502.03613476050123</v>
      </c>
      <c r="H91" s="70">
        <f t="shared" si="56"/>
        <v>406.60523623867135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1.7053025658242404E-13</v>
      </c>
      <c r="O91" s="14">
        <f>N91*VLOOKUP('Données projet'!$B$9,Paramètres!$A$1:$I$89,3,0)*VLOOKUP('Données projet'!$B$9,Paramètres!$A$1:$I$89,5,0)</f>
        <v>1.0197709343628959E-13</v>
      </c>
      <c r="P91" s="14">
        <f t="shared" si="87"/>
        <v>1.5284983994279675E-12</v>
      </c>
      <c r="Q91" s="22">
        <f t="shared" si="54"/>
        <v>2.839744816738581E-12</v>
      </c>
      <c r="R91" s="62">
        <f t="shared" si="55"/>
        <v>293.33333333333616</v>
      </c>
      <c r="S91" s="62">
        <f ca="1">AVERAGE(OFFSET($R$3,0,0,'Données projet'!$E$9+1,1))-AVERAGE(OFFSET($H$3,0,0,'Données projet'!$E$9+1,1))</f>
        <v>183.65324264438817</v>
      </c>
      <c r="T91" s="62">
        <f t="shared" si="88"/>
        <v>208.38613882433765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82.529399691020259</v>
      </c>
      <c r="AA91" s="23">
        <f>EXP(-LN(2)/25)*AA90+(1-EXP(-LN(2)/25))/(LN(2)/25)*Calculateur!V91*Calculateur!X91*VLOOKUP('Données projet'!$B$9,Paramètres!$A$1:$I$89,3,0)*0.475*44/12</f>
        <v>7.9244910164166349</v>
      </c>
      <c r="AB91" s="23">
        <f>EXP(-LN(2)/2)*AB90+(1-EXP(-LN(2)/2))/(LN(2)/2)*V91*Y91*VLOOKUP('Données projet'!$B$9,Paramètres!$A$1:$I$89,3,0)*0.475*44/12</f>
        <v>6.5504015876238959E-4</v>
      </c>
      <c r="AC91" s="24">
        <f t="shared" si="57"/>
        <v>90.45454574759566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2.8</v>
      </c>
      <c r="AI91" s="14">
        <f>IF('Données projet'!$A$62&gt;35,AI90+AH91-AQ90,IF(A91&lt;'Données projet'!$A$62,$AF$205^A91,IF(A91='Données projet'!$A$62,'Données projet'!$B$62,AI90+AH91-AQ90)))</f>
        <v>209.4</v>
      </c>
      <c r="AJ91" s="14">
        <f>AI91*VLOOKUP('Données projet'!$B$10,Paramètres!$A$1:$I$89,3,0)*VLOOKUP('Données projet'!$B$10,Paramètres!$A$1:$I$89,5,0)</f>
        <v>182.93184000000002</v>
      </c>
      <c r="AK91" s="14">
        <f t="shared" si="89"/>
        <v>45.973851929814685</v>
      </c>
      <c r="AL91" s="22">
        <f t="shared" si="58"/>
        <v>398.67741344442726</v>
      </c>
      <c r="AM91" s="62">
        <f t="shared" si="59"/>
        <v>692.01074677776057</v>
      </c>
      <c r="AN91" s="62">
        <f ca="1">AVERAGE(OFFSET($AM$3,0,0,'Données projet'!$E$10+1,1))-AVERAGE(OFFSET($H$3,0,0,'Données projet'!$E$10+1,1))</f>
        <v>195.53935591077345</v>
      </c>
      <c r="AO91" s="62">
        <f t="shared" si="90"/>
        <v>189.8782192260071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19.537168209924367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19.537168209924367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50.908000000000058</v>
      </c>
      <c r="D92" s="12">
        <f t="shared" si="86"/>
        <v>14.848008441477164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507.59024060087677</v>
      </c>
      <c r="H92" s="70">
        <f t="shared" si="56"/>
        <v>407.85838136890612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1.7053025658242404E-13</v>
      </c>
      <c r="O92" s="14">
        <f>N92*VLOOKUP('Données projet'!$B$9,Paramètres!$A$1:$I$89,3,0)*VLOOKUP('Données projet'!$B$9,Paramètres!$A$1:$I$89,5,0)</f>
        <v>1.0197709343628959E-13</v>
      </c>
      <c r="P92" s="14">
        <f t="shared" si="87"/>
        <v>1.5284983994279675E-12</v>
      </c>
      <c r="Q92" s="22">
        <f t="shared" si="54"/>
        <v>2.839744816738581E-12</v>
      </c>
      <c r="R92" s="62">
        <f t="shared" si="55"/>
        <v>293.33333333333616</v>
      </c>
      <c r="S92" s="62">
        <f ca="1">AVERAGE(OFFSET($R$3,0,0,'Données projet'!$E$9+1,1))-AVERAGE(OFFSET($H$3,0,0,'Données projet'!$E$9+1,1))</f>
        <v>183.65324264438817</v>
      </c>
      <c r="T92" s="62">
        <f t="shared" si="88"/>
        <v>208.38613882433765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80.9110485010427</v>
      </c>
      <c r="AA92" s="23">
        <f>EXP(-LN(2)/25)*AA91+(1-EXP(-LN(2)/25))/(LN(2)/25)*Calculateur!V92*Calculateur!X92*VLOOKUP('Données projet'!$B$9,Paramètres!$A$1:$I$89,3,0)*0.475*44/12</f>
        <v>7.7077953928418514</v>
      </c>
      <c r="AB92" s="23">
        <f>EXP(-LN(2)/2)*AB91+(1-EXP(-LN(2)/2))/(LN(2)/2)*V92*Y92*VLOOKUP('Données projet'!$B$9,Paramètres!$A$1:$I$89,3,0)*0.475*44/12</f>
        <v>4.6318333821039842E-4</v>
      </c>
      <c r="AC92" s="24">
        <f t="shared" si="57"/>
        <v>88.619307077222757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2.8</v>
      </c>
      <c r="AI92" s="14">
        <f>IF('Données projet'!$A$62&gt;35,AI91+AH92-AQ91,IF(A92&lt;'Données projet'!$A$62,$AF$205^A92,IF(A92='Données projet'!$A$62,'Données projet'!$B$62,AI91+AH92-AQ91)))</f>
        <v>212.20000000000002</v>
      </c>
      <c r="AJ92" s="14">
        <f>AI92*VLOOKUP('Données projet'!$B$10,Paramètres!$A$1:$I$89,3,0)*VLOOKUP('Données projet'!$B$10,Paramètres!$A$1:$I$89,5,0)</f>
        <v>185.37792000000005</v>
      </c>
      <c r="AK92" s="14">
        <f t="shared" si="89"/>
        <v>46.516616531004161</v>
      </c>
      <c r="AL92" s="22">
        <f t="shared" si="58"/>
        <v>403.88298445816571</v>
      </c>
      <c r="AM92" s="62">
        <f t="shared" si="59"/>
        <v>697.21631779149902</v>
      </c>
      <c r="AN92" s="62">
        <f ca="1">AVERAGE(OFFSET($AM$3,0,0,'Données projet'!$E$10+1,1))-AVERAGE(OFFSET($H$3,0,0,'Données projet'!$E$10+1,1))</f>
        <v>195.53935591077345</v>
      </c>
      <c r="AO92" s="62">
        <f t="shared" si="90"/>
        <v>189.8782192260071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19.154056257823701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19.154056257823701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51.480000000000061</v>
      </c>
      <c r="D93" s="12">
        <f t="shared" si="86"/>
        <v>14.995324806875246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513.1428581583358</v>
      </c>
      <c r="H93" s="70">
        <f t="shared" si="56"/>
        <v>409.11119070530782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1.7053025658242404E-13</v>
      </c>
      <c r="O93" s="14">
        <f>N93*VLOOKUP('Données projet'!$B$9,Paramètres!$A$1:$I$89,3,0)*VLOOKUP('Données projet'!$B$9,Paramètres!$A$1:$I$89,5,0)</f>
        <v>1.0197709343628959E-13</v>
      </c>
      <c r="P93" s="14">
        <f t="shared" si="87"/>
        <v>1.5284983994279675E-12</v>
      </c>
      <c r="Q93" s="22">
        <f t="shared" si="54"/>
        <v>2.839744816738581E-12</v>
      </c>
      <c r="R93" s="62">
        <f t="shared" si="55"/>
        <v>293.33333333333616</v>
      </c>
      <c r="S93" s="62">
        <f ca="1">AVERAGE(OFFSET($R$3,0,0,'Données projet'!$E$9+1,1))-AVERAGE(OFFSET($H$3,0,0,'Données projet'!$E$9+1,1))</f>
        <v>183.65324264438817</v>
      </c>
      <c r="T93" s="62">
        <f t="shared" si="88"/>
        <v>208.38613882433765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79.324432190803847</v>
      </c>
      <c r="AA93" s="23">
        <f>EXP(-LN(2)/25)*AA92+(1-EXP(-LN(2)/25))/(LN(2)/25)*Calculateur!V93*Calculateur!X93*VLOOKUP('Données projet'!$B$9,Paramètres!$A$1:$I$89,3,0)*0.475*44/12</f>
        <v>7.4970253224892476</v>
      </c>
      <c r="AB93" s="23">
        <f>EXP(-LN(2)/2)*AB92+(1-EXP(-LN(2)/2))/(LN(2)/2)*V93*Y93*VLOOKUP('Données projet'!$B$9,Paramètres!$A$1:$I$89,3,0)*0.475*44/12</f>
        <v>3.2752007938119485E-4</v>
      </c>
      <c r="AC93" s="24">
        <f t="shared" si="57"/>
        <v>86.821785033372478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215</v>
      </c>
      <c r="AG93" s="13">
        <f>VLOOKUP(A93,'Données projet'!$A$61:$I$81,9,0)</f>
        <v>2.8</v>
      </c>
      <c r="AH93" s="13">
        <f t="array" ref="AH93">INDEX(AG:AG,MIN(IF(ISNUMBER(AG93:AG289),ROW(AG93:AG289),"")))</f>
        <v>2.8</v>
      </c>
      <c r="AI93" s="14">
        <f>IF('Données projet'!$A$62&gt;35,AI92+AH93-AQ92,IF(A93&lt;'Données projet'!$A$62,$AF$205^A93,IF(A93='Données projet'!$A$62,'Données projet'!$B$62,AI92+AH93-AQ92)))</f>
        <v>215.00000000000003</v>
      </c>
      <c r="AJ93" s="14">
        <f>AI93*VLOOKUP('Données projet'!$B$10,Paramètres!$A$1:$I$89,3,0)*VLOOKUP('Données projet'!$B$10,Paramètres!$A$1:$I$89,5,0)</f>
        <v>187.82400000000007</v>
      </c>
      <c r="AK93" s="14">
        <f t="shared" si="89"/>
        <v>47.05854810918273</v>
      </c>
      <c r="AL93" s="22">
        <f t="shared" si="58"/>
        <v>409.08710462349336</v>
      </c>
      <c r="AM93" s="62">
        <f t="shared" si="59"/>
        <v>702.42043795682662</v>
      </c>
      <c r="AN93" s="62">
        <f ca="1">AVERAGE(OFFSET($AM$3,0,0,'Données projet'!$E$10+1,1))-AVERAGE(OFFSET($H$3,0,0,'Données projet'!$E$10+1,1))</f>
        <v>195.53935591077345</v>
      </c>
      <c r="AO93" s="62">
        <f t="shared" si="90"/>
        <v>189.8782192260071</v>
      </c>
      <c r="AP93" s="16">
        <f>IF(ISNA(VLOOKUP(A93,'Données projet'!$A$61:$I$81,3,0)),0,VLOOKUP(A93,'Données projet'!$A$61:$I$81,3,0))</f>
        <v>17</v>
      </c>
      <c r="AQ93" s="16">
        <f>IF(ISNA(VLOOKUP(A93,'Données projet'!$A$61:$I$81,4,0)),0,VLOOKUP(A93,'Données projet'!$A$61:$I$81,4,0))</f>
        <v>215</v>
      </c>
      <c r="AR93" s="17">
        <f>IF(ISNA(VLOOKUP(A93,'Données projet'!$A$61:$I$81,5,0)),0%,VLOOKUP(A93,'Données projet'!$A$61:$I$81,5,0)*VLOOKUP('Données projet'!$B$10,Paramètres!$A$1:$I$89,7,0))</f>
        <v>0.34400000000000003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90.20450768392503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90.20450768392503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52.052000000000064</v>
      </c>
      <c r="D94" s="12">
        <f t="shared" si="86"/>
        <v>15.1424507621198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518.69400588303051</v>
      </c>
      <c r="H94" s="70">
        <f t="shared" si="56"/>
        <v>410.36366841069207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1.7053025658242404E-13</v>
      </c>
      <c r="O94" s="14">
        <f>N94*VLOOKUP('Données projet'!$B$9,Paramètres!$A$1:$I$89,3,0)*VLOOKUP('Données projet'!$B$9,Paramètres!$A$1:$I$89,5,0)</f>
        <v>1.0197709343628959E-13</v>
      </c>
      <c r="P94" s="14">
        <f t="shared" si="87"/>
        <v>1.5284983994279675E-12</v>
      </c>
      <c r="Q94" s="22">
        <f t="shared" si="54"/>
        <v>2.839744816738581E-12</v>
      </c>
      <c r="R94" s="62">
        <f t="shared" si="55"/>
        <v>293.33333333333616</v>
      </c>
      <c r="S94" s="62">
        <f ca="1">AVERAGE(OFFSET($R$3,0,0,'Données projet'!$E$9+1,1))-AVERAGE(OFFSET($H$3,0,0,'Données projet'!$E$9+1,1))</f>
        <v>183.65324264438817</v>
      </c>
      <c r="T94" s="62">
        <f t="shared" si="88"/>
        <v>208.38613882433765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77.768928458668384</v>
      </c>
      <c r="AA94" s="23">
        <f>EXP(-LN(2)/25)*AA93+(1-EXP(-LN(2)/25))/(LN(2)/25)*Calculateur!V94*Calculateur!X94*VLOOKUP('Données projet'!$B$9,Paramètres!$A$1:$I$89,3,0)*0.475*44/12</f>
        <v>7.2920187707943525</v>
      </c>
      <c r="AB94" s="23">
        <f>EXP(-LN(2)/2)*AB93+(1-EXP(-LN(2)/2))/(LN(2)/2)*V94*Y94*VLOOKUP('Données projet'!$B$9,Paramètres!$A$1:$I$89,3,0)*0.475*44/12</f>
        <v>2.3159166910519924E-4</v>
      </c>
      <c r="AC94" s="24">
        <f t="shared" si="57"/>
        <v>85.061178821131847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2.8421709430404007E-14</v>
      </c>
      <c r="AJ94" s="14">
        <f>AI94*VLOOKUP('Données projet'!$B$10,Paramètres!$A$1:$I$89,3,0)*VLOOKUP('Données projet'!$B$10,Paramètres!$A$1:$I$89,5,0)</f>
        <v>2.4829205358400945E-14</v>
      </c>
      <c r="AK94" s="14">
        <f t="shared" si="89"/>
        <v>4.3867331143352915E-13</v>
      </c>
      <c r="AL94" s="22">
        <f t="shared" si="58"/>
        <v>8.0726688341261168E-13</v>
      </c>
      <c r="AM94" s="62">
        <f t="shared" si="59"/>
        <v>293.33333333333411</v>
      </c>
      <c r="AN94" s="62">
        <f ca="1">AVERAGE(OFFSET($AM$3,0,0,'Données projet'!$E$10+1,1))-AVERAGE(OFFSET($H$3,0,0,'Données projet'!$E$10+1,1))</f>
        <v>195.53935591077345</v>
      </c>
      <c r="AO94" s="62">
        <f t="shared" si="90"/>
        <v>189.8782192260071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88.435652307560247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88.435652307560247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52.624000000000066</v>
      </c>
      <c r="D95" s="12">
        <f t="shared" si="86"/>
        <v>15.289388641788785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524.24370179626487</v>
      </c>
      <c r="H95" s="70">
        <f t="shared" si="56"/>
        <v>411.61581855111558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1.7053025658242404E-13</v>
      </c>
      <c r="O95" s="14">
        <f>N95*VLOOKUP('Données projet'!$B$9,Paramètres!$A$1:$I$89,3,0)*VLOOKUP('Données projet'!$B$9,Paramètres!$A$1:$I$89,5,0)</f>
        <v>1.0197709343628959E-13</v>
      </c>
      <c r="P95" s="14">
        <f t="shared" si="87"/>
        <v>1.5284983994279675E-12</v>
      </c>
      <c r="Q95" s="22">
        <f t="shared" si="54"/>
        <v>2.839744816738581E-12</v>
      </c>
      <c r="R95" s="62">
        <f t="shared" si="55"/>
        <v>293.33333333333616</v>
      </c>
      <c r="S95" s="62">
        <f ca="1">AVERAGE(OFFSET($R$3,0,0,'Données projet'!$E$9+1,1))-AVERAGE(OFFSET($H$3,0,0,'Données projet'!$E$9+1,1))</f>
        <v>183.65324264438817</v>
      </c>
      <c r="T95" s="62">
        <f t="shared" si="88"/>
        <v>208.38613882433765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76.243927205956496</v>
      </c>
      <c r="AA95" s="23">
        <f>EXP(-LN(2)/25)*AA94+(1-EXP(-LN(2)/25))/(LN(2)/25)*Calculateur!V95*Calculateur!X95*VLOOKUP('Données projet'!$B$9,Paramètres!$A$1:$I$89,3,0)*0.475*44/12</f>
        <v>7.0926181340363801</v>
      </c>
      <c r="AB95" s="23">
        <f>EXP(-LN(2)/2)*AB94+(1-EXP(-LN(2)/2))/(LN(2)/2)*V95*Y95*VLOOKUP('Données projet'!$B$9,Paramètres!$A$1:$I$89,3,0)*0.475*44/12</f>
        <v>1.6376003969059745E-4</v>
      </c>
      <c r="AC95" s="24">
        <f t="shared" si="57"/>
        <v>83.336709100032579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2.8421709430404007E-14</v>
      </c>
      <c r="AJ95" s="14">
        <f>AI95*VLOOKUP('Données projet'!$B$10,Paramètres!$A$1:$I$89,3,0)*VLOOKUP('Données projet'!$B$10,Paramètres!$A$1:$I$89,5,0)</f>
        <v>2.4829205358400945E-14</v>
      </c>
      <c r="AK95" s="14">
        <f t="shared" si="89"/>
        <v>4.3867331143352915E-13</v>
      </c>
      <c r="AL95" s="22">
        <f t="shared" si="58"/>
        <v>8.0726688341261168E-13</v>
      </c>
      <c r="AM95" s="62">
        <f t="shared" si="59"/>
        <v>293.33333333333411</v>
      </c>
      <c r="AN95" s="62">
        <f ca="1">AVERAGE(OFFSET($AM$3,0,0,'Données projet'!$E$10+1,1))-AVERAGE(OFFSET($H$3,0,0,'Données projet'!$E$10+1,1))</f>
        <v>195.53935591077345</v>
      </c>
      <c r="AO95" s="62">
        <f t="shared" si="90"/>
        <v>189.8782192260071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86.701483106230725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86.701483106230725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53.196000000000069</v>
      </c>
      <c r="D96" s="12">
        <f t="shared" si="86"/>
        <v>15.436140726785514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529.79196350501149</v>
      </c>
      <c r="H96" s="70">
        <f t="shared" si="56"/>
        <v>412.8676450991515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1.7053025658242404E-13</v>
      </c>
      <c r="O96" s="14">
        <f>N96*VLOOKUP('Données projet'!$B$9,Paramètres!$A$1:$I$89,3,0)*VLOOKUP('Données projet'!$B$9,Paramètres!$A$1:$I$89,5,0)</f>
        <v>1.0197709343628959E-13</v>
      </c>
      <c r="P96" s="14">
        <f t="shared" si="87"/>
        <v>1.5284983994279675E-12</v>
      </c>
      <c r="Q96" s="22">
        <f t="shared" si="54"/>
        <v>2.839744816738581E-12</v>
      </c>
      <c r="R96" s="62">
        <f t="shared" si="55"/>
        <v>293.33333333333616</v>
      </c>
      <c r="S96" s="62">
        <f ca="1">AVERAGE(OFFSET($R$3,0,0,'Données projet'!$E$9+1,1))-AVERAGE(OFFSET($H$3,0,0,'Données projet'!$E$9+1,1))</f>
        <v>183.65324264438817</v>
      </c>
      <c r="T96" s="62">
        <f t="shared" si="88"/>
        <v>208.38613882433765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74.748830297651381</v>
      </c>
      <c r="AA96" s="23">
        <f>EXP(-LN(2)/25)*AA95+(1-EXP(-LN(2)/25))/(LN(2)/25)*Calculateur!V96*Calculateur!X96*VLOOKUP('Données projet'!$B$9,Paramètres!$A$1:$I$89,3,0)*0.475*44/12</f>
        <v>6.8986701181765779</v>
      </c>
      <c r="AB96" s="23">
        <f>EXP(-LN(2)/2)*AB95+(1-EXP(-LN(2)/2))/(LN(2)/2)*V96*Y96*VLOOKUP('Données projet'!$B$9,Paramètres!$A$1:$I$89,3,0)*0.475*44/12</f>
        <v>1.1579583455259963E-4</v>
      </c>
      <c r="AC96" s="24">
        <f t="shared" si="57"/>
        <v>81.647616211662509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2.8421709430404007E-14</v>
      </c>
      <c r="AJ96" s="14">
        <f>AI96*VLOOKUP('Données projet'!$B$10,Paramètres!$A$1:$I$89,3,0)*VLOOKUP('Données projet'!$B$10,Paramètres!$A$1:$I$89,5,0)</f>
        <v>2.4829205358400945E-14</v>
      </c>
      <c r="AK96" s="14">
        <f t="shared" si="89"/>
        <v>4.3867331143352915E-13</v>
      </c>
      <c r="AL96" s="22">
        <f t="shared" si="58"/>
        <v>8.0726688341261168E-13</v>
      </c>
      <c r="AM96" s="62">
        <f t="shared" si="59"/>
        <v>293.33333333333411</v>
      </c>
      <c r="AN96" s="62">
        <f ca="1">AVERAGE(OFFSET($AM$3,0,0,'Données projet'!$E$10+1,1))-AVERAGE(OFFSET($H$3,0,0,'Données projet'!$E$10+1,1))</f>
        <v>195.53935591077345</v>
      </c>
      <c r="AO96" s="62">
        <f t="shared" si="90"/>
        <v>189.8782192260071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85.001319905200504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85.001319905200504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53.768000000000072</v>
      </c>
      <c r="D97" s="12">
        <f t="shared" si="86"/>
        <v>15.582709246136318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535.33880821578964</v>
      </c>
      <c r="H97" s="70">
        <f t="shared" si="56"/>
        <v>414.11915193702083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1.7053025658242404E-13</v>
      </c>
      <c r="O97" s="14">
        <f>N97*VLOOKUP('Données projet'!$B$9,Paramètres!$A$1:$I$89,3,0)*VLOOKUP('Données projet'!$B$9,Paramètres!$A$1:$I$89,5,0)</f>
        <v>1.0197709343628959E-13</v>
      </c>
      <c r="P97" s="14">
        <f t="shared" si="87"/>
        <v>1.5284983994279675E-12</v>
      </c>
      <c r="Q97" s="22">
        <f t="shared" si="54"/>
        <v>2.839744816738581E-12</v>
      </c>
      <c r="R97" s="62">
        <f t="shared" si="55"/>
        <v>293.33333333333616</v>
      </c>
      <c r="S97" s="62">
        <f ca="1">AVERAGE(OFFSET($R$3,0,0,'Données projet'!$E$9+1,1))-AVERAGE(OFFSET($H$3,0,0,'Données projet'!$E$9+1,1))</f>
        <v>183.65324264438817</v>
      </c>
      <c r="T97" s="62">
        <f t="shared" si="88"/>
        <v>208.38613882433765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73.283051327799058</v>
      </c>
      <c r="AA97" s="23">
        <f>EXP(-LN(2)/25)*AA96+(1-EXP(-LN(2)/25))/(LN(2)/25)*Calculateur!V97*Calculateur!X97*VLOOKUP('Données projet'!$B$9,Paramètres!$A$1:$I$89,3,0)*0.475*44/12</f>
        <v>6.7100256210097449</v>
      </c>
      <c r="AB97" s="23">
        <f>EXP(-LN(2)/2)*AB96+(1-EXP(-LN(2)/2))/(LN(2)/2)*V97*Y97*VLOOKUP('Données projet'!$B$9,Paramètres!$A$1:$I$89,3,0)*0.475*44/12</f>
        <v>8.1880019845298739E-5</v>
      </c>
      <c r="AC97" s="24">
        <f t="shared" si="57"/>
        <v>79.993158828828655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2.8421709430404007E-14</v>
      </c>
      <c r="AJ97" s="14">
        <f>AI97*VLOOKUP('Données projet'!$B$10,Paramètres!$A$1:$I$89,3,0)*VLOOKUP('Données projet'!$B$10,Paramètres!$A$1:$I$89,5,0)</f>
        <v>2.4829205358400945E-14</v>
      </c>
      <c r="AK97" s="14">
        <f t="shared" si="89"/>
        <v>4.3867331143352915E-13</v>
      </c>
      <c r="AL97" s="22">
        <f t="shared" si="58"/>
        <v>8.0726688341261168E-13</v>
      </c>
      <c r="AM97" s="62">
        <f t="shared" si="59"/>
        <v>293.33333333333411</v>
      </c>
      <c r="AN97" s="62">
        <f ca="1">AVERAGE(OFFSET($AM$3,0,0,'Données projet'!$E$10+1,1))-AVERAGE(OFFSET($H$3,0,0,'Données projet'!$E$10+1,1))</f>
        <v>195.53935591077345</v>
      </c>
      <c r="AO97" s="62">
        <f t="shared" si="90"/>
        <v>189.8782192260071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83.334495867545328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83.334495867545328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54.340000000000074</v>
      </c>
      <c r="D98" s="12">
        <f t="shared" si="86"/>
        <v>15.729096378709485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540.88425274793349</v>
      </c>
      <c r="H98" s="70">
        <f t="shared" si="56"/>
        <v>415.37034285958578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1.7053025658242404E-13</v>
      </c>
      <c r="O98" s="14">
        <f>N98*VLOOKUP('Données projet'!$B$9,Paramètres!$A$1:$I$89,3,0)*VLOOKUP('Données projet'!$B$9,Paramètres!$A$1:$I$89,5,0)</f>
        <v>1.0197709343628959E-13</v>
      </c>
      <c r="P98" s="14">
        <f t="shared" si="87"/>
        <v>1.5284983994279675E-12</v>
      </c>
      <c r="Q98" s="22">
        <f t="shared" si="54"/>
        <v>2.839744816738581E-12</v>
      </c>
      <c r="R98" s="62">
        <f t="shared" si="55"/>
        <v>293.33333333333616</v>
      </c>
      <c r="S98" s="62">
        <f ca="1">AVERAGE(OFFSET($R$3,0,0,'Données projet'!$E$9+1,1))-AVERAGE(OFFSET($H$3,0,0,'Données projet'!$E$9+1,1))</f>
        <v>183.65324264438817</v>
      </c>
      <c r="T98" s="62">
        <f t="shared" si="88"/>
        <v>208.38613882433765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71.846015389508636</v>
      </c>
      <c r="AA98" s="23">
        <f>EXP(-LN(2)/25)*AA97+(1-EXP(-LN(2)/25))/(LN(2)/25)*Calculateur!V98*Calculateur!X98*VLOOKUP('Données projet'!$B$9,Paramètres!$A$1:$I$89,3,0)*0.475*44/12</f>
        <v>6.5265396175383223</v>
      </c>
      <c r="AB98" s="23">
        <f>EXP(-LN(2)/2)*AB97+(1-EXP(-LN(2)/2))/(LN(2)/2)*V98*Y98*VLOOKUP('Données projet'!$B$9,Paramètres!$A$1:$I$89,3,0)*0.475*44/12</f>
        <v>5.789791727629983E-5</v>
      </c>
      <c r="AC98" s="24">
        <f t="shared" si="57"/>
        <v>78.372612904964228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2.8421709430404007E-14</v>
      </c>
      <c r="AJ98" s="14">
        <f>AI98*VLOOKUP('Données projet'!$B$10,Paramètres!$A$1:$I$89,3,0)*VLOOKUP('Données projet'!$B$10,Paramètres!$A$1:$I$89,5,0)</f>
        <v>2.4829205358400945E-14</v>
      </c>
      <c r="AK98" s="14">
        <f t="shared" si="89"/>
        <v>4.3867331143352915E-13</v>
      </c>
      <c r="AL98" s="22">
        <f t="shared" si="58"/>
        <v>8.0726688341261168E-13</v>
      </c>
      <c r="AM98" s="62">
        <f t="shared" si="59"/>
        <v>293.33333333333411</v>
      </c>
      <c r="AN98" s="62">
        <f ca="1">AVERAGE(OFFSET($AM$3,0,0,'Données projet'!$E$10+1,1))-AVERAGE(OFFSET($H$3,0,0,'Données projet'!$E$10+1,1))</f>
        <v>195.53935591077345</v>
      </c>
      <c r="AO98" s="62">
        <f t="shared" si="90"/>
        <v>189.8782192260071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81.700357232606294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81.700357232606294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54.912000000000077</v>
      </c>
      <c r="D99" s="12">
        <f t="shared" si="86"/>
        <v>15.875304254859778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546.42831354628663</v>
      </c>
      <c r="H99" s="70">
        <f t="shared" si="56"/>
        <v>416.62122157721421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1.7053025658242404E-13</v>
      </c>
      <c r="O99" s="14">
        <f>N99*VLOOKUP('Données projet'!$B$9,Paramètres!$A$1:$I$89,3,0)*VLOOKUP('Données projet'!$B$9,Paramètres!$A$1:$I$89,5,0)</f>
        <v>1.0197709343628959E-13</v>
      </c>
      <c r="P99" s="14">
        <f t="shared" si="87"/>
        <v>1.5284983994279675E-12</v>
      </c>
      <c r="Q99" s="22">
        <f t="shared" ref="Q99:Q130" si="107">(O99+P99)*0.475*44/12</f>
        <v>2.839744816738581E-12</v>
      </c>
      <c r="R99" s="62">
        <f t="shared" si="55"/>
        <v>293.33333333333616</v>
      </c>
      <c r="S99" s="62">
        <f ca="1">AVERAGE(OFFSET($R$3,0,0,'Données projet'!$E$9+1,1))-AVERAGE(OFFSET($H$3,0,0,'Données projet'!$E$9+1,1))</f>
        <v>183.65324264438817</v>
      </c>
      <c r="T99" s="62">
        <f t="shared" si="88"/>
        <v>208.38613882433765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70.437158849462719</v>
      </c>
      <c r="AA99" s="23">
        <f>EXP(-LN(2)/25)*AA98+(1-EXP(-LN(2)/25))/(LN(2)/25)*Calculateur!V99*Calculateur!X99*VLOOKUP('Données projet'!$B$9,Paramètres!$A$1:$I$89,3,0)*0.475*44/12</f>
        <v>6.3480710484809348</v>
      </c>
      <c r="AB99" s="23">
        <f>EXP(-LN(2)/2)*AB98+(1-EXP(-LN(2)/2))/(LN(2)/2)*V99*Y99*VLOOKUP('Données projet'!$B$9,Paramètres!$A$1:$I$89,3,0)*0.475*44/12</f>
        <v>4.0940009922649377E-5</v>
      </c>
      <c r="AC99" s="24">
        <f t="shared" si="57"/>
        <v>76.785270837953576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2.8421709430404007E-14</v>
      </c>
      <c r="AJ99" s="14">
        <f>AI99*VLOOKUP('Données projet'!$B$10,Paramètres!$A$1:$I$89,3,0)*VLOOKUP('Données projet'!$B$10,Paramètres!$A$1:$I$89,5,0)</f>
        <v>2.4829205358400945E-14</v>
      </c>
      <c r="AK99" s="14">
        <f t="shared" si="89"/>
        <v>4.3867331143352915E-13</v>
      </c>
      <c r="AL99" s="22">
        <f t="shared" si="58"/>
        <v>8.0726688341261168E-13</v>
      </c>
      <c r="AM99" s="62">
        <f t="shared" si="59"/>
        <v>293.33333333333411</v>
      </c>
      <c r="AN99" s="62">
        <f ca="1">AVERAGE(OFFSET($AM$3,0,0,'Données projet'!$E$10+1,1))-AVERAGE(OFFSET($H$3,0,0,'Données projet'!$E$10+1,1))</f>
        <v>195.53935591077345</v>
      </c>
      <c r="AO99" s="62">
        <f t="shared" si="90"/>
        <v>189.8782192260071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80.098263059572261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80.098263059572261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55.48400000000008</v>
      </c>
      <c r="D100" s="12">
        <f t="shared" si="86"/>
        <v>16.021334958002424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551.97100669335271</v>
      </c>
      <c r="H100" s="70">
        <f t="shared" si="56"/>
        <v>417.87179171852102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1.7053025658242404E-13</v>
      </c>
      <c r="O100" s="14">
        <f>N100*VLOOKUP('Données projet'!$B$9,Paramètres!$A$1:$I$89,3,0)*VLOOKUP('Données projet'!$B$9,Paramètres!$A$1:$I$89,5,0)</f>
        <v>1.0197709343628959E-13</v>
      </c>
      <c r="P100" s="14">
        <f t="shared" si="87"/>
        <v>1.5284983994279675E-12</v>
      </c>
      <c r="Q100" s="22">
        <f t="shared" si="107"/>
        <v>2.839744816738581E-12</v>
      </c>
      <c r="R100" s="62">
        <f t="shared" si="55"/>
        <v>293.33333333333616</v>
      </c>
      <c r="S100" s="62">
        <f ca="1">AVERAGE(OFFSET($R$3,0,0,'Données projet'!$E$9+1,1))-AVERAGE(OFFSET($H$3,0,0,'Données projet'!$E$9+1,1))</f>
        <v>183.65324264438817</v>
      </c>
      <c r="T100" s="62">
        <f t="shared" si="88"/>
        <v>208.38613882433765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69.055929126849463</v>
      </c>
      <c r="AA100" s="23">
        <f>EXP(-LN(2)/25)*AA99+(1-EXP(-LN(2)/25))/(LN(2)/25)*Calculateur!V100*Calculateur!X100*VLOOKUP('Données projet'!$B$9,Paramètres!$A$1:$I$89,3,0)*0.475*44/12</f>
        <v>6.1744827118296763</v>
      </c>
      <c r="AB100" s="23">
        <f>EXP(-LN(2)/2)*AB99+(1-EXP(-LN(2)/2))/(LN(2)/2)*V100*Y100*VLOOKUP('Données projet'!$B$9,Paramètres!$A$1:$I$89,3,0)*0.475*44/12</f>
        <v>2.8948958638149918E-5</v>
      </c>
      <c r="AC100" s="24">
        <f t="shared" si="57"/>
        <v>75.230440787637789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2.8421709430404007E-14</v>
      </c>
      <c r="AJ100" s="14">
        <f>AI100*VLOOKUP('Données projet'!$B$10,Paramètres!$A$1:$I$89,3,0)*VLOOKUP('Données projet'!$B$10,Paramètres!$A$1:$I$89,5,0)</f>
        <v>2.4829205358400945E-14</v>
      </c>
      <c r="AK100" s="14">
        <f t="shared" si="89"/>
        <v>4.3867331143352915E-13</v>
      </c>
      <c r="AL100" s="22">
        <f t="shared" si="58"/>
        <v>8.0726688341261168E-13</v>
      </c>
      <c r="AM100" s="62">
        <f t="shared" si="59"/>
        <v>293.33333333333411</v>
      </c>
      <c r="AN100" s="62">
        <f ca="1">AVERAGE(OFFSET($AM$3,0,0,'Données projet'!$E$10+1,1))-AVERAGE(OFFSET($H$3,0,0,'Données projet'!$E$10+1,1))</f>
        <v>195.53935591077345</v>
      </c>
      <c r="AO100" s="62">
        <f t="shared" si="90"/>
        <v>189.8782192260071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78.527584976090466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78.527584976090466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56.056000000000083</v>
      </c>
      <c r="D101" s="12">
        <f t="shared" si="86"/>
        <v>16.167190526120418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557.51234792093021</v>
      </c>
      <c r="H101" s="70">
        <f t="shared" si="56"/>
        <v>419.12205683299317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1.7053025658242404E-13</v>
      </c>
      <c r="O101" s="14">
        <f>N101*VLOOKUP('Données projet'!$B$9,Paramètres!$A$1:$I$89,3,0)*VLOOKUP('Données projet'!$B$9,Paramètres!$A$1:$I$89,5,0)</f>
        <v>1.0197709343628959E-13</v>
      </c>
      <c r="P101" s="14">
        <f t="shared" si="87"/>
        <v>1.5284983994279675E-12</v>
      </c>
      <c r="Q101" s="22">
        <f t="shared" si="107"/>
        <v>2.839744816738581E-12</v>
      </c>
      <c r="R101" s="62">
        <f t="shared" si="55"/>
        <v>293.33333333333616</v>
      </c>
      <c r="S101" s="62">
        <f ca="1">AVERAGE(OFFSET($R$3,0,0,'Données projet'!$E$9+1,1))-AVERAGE(OFFSET($H$3,0,0,'Données projet'!$E$9+1,1))</f>
        <v>183.65324264438817</v>
      </c>
      <c r="T101" s="62">
        <f t="shared" si="88"/>
        <v>208.38613882433765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67.701784476629712</v>
      </c>
      <c r="AA101" s="23">
        <f>EXP(-LN(2)/25)*AA100+(1-EXP(-LN(2)/25))/(LN(2)/25)*Calculateur!V101*Calculateur!X101*VLOOKUP('Données projet'!$B$9,Paramètres!$A$1:$I$89,3,0)*0.475*44/12</f>
        <v>6.0056411573727599</v>
      </c>
      <c r="AB101" s="23">
        <f>EXP(-LN(2)/2)*AB100+(1-EXP(-LN(2)/2))/(LN(2)/2)*V101*Y101*VLOOKUP('Données projet'!$B$9,Paramètres!$A$1:$I$89,3,0)*0.475*44/12</f>
        <v>2.0470004961324692E-5</v>
      </c>
      <c r="AC101" s="24">
        <f t="shared" si="57"/>
        <v>73.707446104007431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2.8421709430404007E-14</v>
      </c>
      <c r="AJ101" s="14">
        <f>AI101*VLOOKUP('Données projet'!$B$10,Paramètres!$A$1:$I$89,3,0)*VLOOKUP('Données projet'!$B$10,Paramètres!$A$1:$I$89,5,0)</f>
        <v>2.4829205358400945E-14</v>
      </c>
      <c r="AK101" s="14">
        <f t="shared" si="89"/>
        <v>4.3867331143352915E-13</v>
      </c>
      <c r="AL101" s="22">
        <f t="shared" si="58"/>
        <v>8.0726688341261168E-13</v>
      </c>
      <c r="AM101" s="62">
        <f t="shared" si="59"/>
        <v>293.33333333333411</v>
      </c>
      <c r="AN101" s="62">
        <f ca="1">AVERAGE(OFFSET($AM$3,0,0,'Données projet'!$E$10+1,1))-AVERAGE(OFFSET($H$3,0,0,'Données projet'!$E$10+1,1))</f>
        <v>195.53935591077345</v>
      </c>
      <c r="AO101" s="62">
        <f t="shared" si="90"/>
        <v>189.8782192260071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76.987706931806727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76.987706931806727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56.628000000000085</v>
      </c>
      <c r="D102" s="12">
        <f t="shared" si="86"/>
        <v>16.31287295320854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563.0523526212595</v>
      </c>
      <c r="H102" s="70">
        <f t="shared" si="56"/>
        <v>420.37202039350501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1.7053025658242404E-13</v>
      </c>
      <c r="O102" s="14">
        <f>N102*VLOOKUP('Données projet'!$B$9,Paramètres!$A$1:$I$89,3,0)*VLOOKUP('Données projet'!$B$9,Paramètres!$A$1:$I$89,5,0)</f>
        <v>1.0197709343628959E-13</v>
      </c>
      <c r="P102" s="14">
        <f t="shared" si="87"/>
        <v>1.5284983994279675E-12</v>
      </c>
      <c r="Q102" s="22">
        <f t="shared" si="107"/>
        <v>2.839744816738581E-12</v>
      </c>
      <c r="R102" s="62">
        <f t="shared" si="55"/>
        <v>293.33333333333616</v>
      </c>
      <c r="S102" s="62">
        <f ca="1">AVERAGE(OFFSET($R$3,0,0,'Données projet'!$E$9+1,1))-AVERAGE(OFFSET($H$3,0,0,'Données projet'!$E$9+1,1))</f>
        <v>183.65324264438817</v>
      </c>
      <c r="T102" s="62">
        <f t="shared" si="88"/>
        <v>208.38613882433765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66.374193777054089</v>
      </c>
      <c r="AA102" s="23">
        <f>EXP(-LN(2)/25)*AA101+(1-EXP(-LN(2)/25))/(LN(2)/25)*Calculateur!V102*Calculateur!X102*VLOOKUP('Données projet'!$B$9,Paramètres!$A$1:$I$89,3,0)*0.475*44/12</f>
        <v>5.8414165841014594</v>
      </c>
      <c r="AB102" s="23">
        <f>EXP(-LN(2)/2)*AB101+(1-EXP(-LN(2)/2))/(LN(2)/2)*V102*Y102*VLOOKUP('Données projet'!$B$9,Paramètres!$A$1:$I$89,3,0)*0.475*44/12</f>
        <v>1.4474479319074963E-5</v>
      </c>
      <c r="AC102" s="24">
        <f t="shared" si="57"/>
        <v>72.215624835634856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2.8421709430404007E-14</v>
      </c>
      <c r="AJ102" s="14">
        <f>AI102*VLOOKUP('Données projet'!$B$10,Paramètres!$A$1:$I$89,3,0)*VLOOKUP('Données projet'!$B$10,Paramètres!$A$1:$I$89,5,0)</f>
        <v>2.4829205358400945E-14</v>
      </c>
      <c r="AK102" s="14">
        <f t="shared" si="89"/>
        <v>4.3867331143352915E-13</v>
      </c>
      <c r="AL102" s="22">
        <f t="shared" si="58"/>
        <v>8.0726688341261168E-13</v>
      </c>
      <c r="AM102" s="62">
        <f t="shared" si="59"/>
        <v>293.33333333333411</v>
      </c>
      <c r="AN102" s="62">
        <f ca="1">AVERAGE(OFFSET($AM$3,0,0,'Données projet'!$E$10+1,1))-AVERAGE(OFFSET($H$3,0,0,'Données projet'!$E$10+1,1))</f>
        <v>195.53935591077345</v>
      </c>
      <c r="AO102" s="62">
        <f t="shared" si="90"/>
        <v>189.8782192260071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75.478024956738523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75.478024956738523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57.200000000000088</v>
      </c>
      <c r="D103" s="12">
        <f t="shared" si="86"/>
        <v>16.458384190657235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568.59103585770572</v>
      </c>
      <c r="H103" s="70">
        <f t="shared" si="56"/>
        <v>421.62168579872815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1.7053025658242404E-13</v>
      </c>
      <c r="O103" s="14">
        <f>N103*VLOOKUP('Données projet'!$B$9,Paramètres!$A$1:$I$89,3,0)*VLOOKUP('Données projet'!$B$9,Paramètres!$A$1:$I$89,5,0)</f>
        <v>1.0197709343628959E-13</v>
      </c>
      <c r="P103" s="14">
        <f t="shared" si="87"/>
        <v>1.5284983994279675E-12</v>
      </c>
      <c r="Q103" s="22">
        <f t="shared" si="107"/>
        <v>2.839744816738581E-12</v>
      </c>
      <c r="R103" s="62">
        <f t="shared" si="55"/>
        <v>293.33333333333616</v>
      </c>
      <c r="S103" s="62">
        <f ca="1">AVERAGE(OFFSET($R$3,0,0,'Données projet'!$E$9+1,1))-AVERAGE(OFFSET($H$3,0,0,'Données projet'!$E$9+1,1))</f>
        <v>183.65324264438817</v>
      </c>
      <c r="T103" s="62">
        <f t="shared" si="88"/>
        <v>208.38613882433765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65.072636321346778</v>
      </c>
      <c r="AA103" s="23">
        <f>EXP(-LN(2)/25)*AA102+(1-EXP(-LN(2)/25))/(LN(2)/25)*Calculateur!V103*Calculateur!X103*VLOOKUP('Données projet'!$B$9,Paramètres!$A$1:$I$89,3,0)*0.475*44/12</f>
        <v>5.6816827404224579</v>
      </c>
      <c r="AB103" s="23">
        <f>EXP(-LN(2)/2)*AB102+(1-EXP(-LN(2)/2))/(LN(2)/2)*V103*Y103*VLOOKUP('Données projet'!$B$9,Paramètres!$A$1:$I$89,3,0)*0.475*44/12</f>
        <v>1.0235002480662348E-5</v>
      </c>
      <c r="AC103" s="24">
        <f t="shared" si="57"/>
        <v>70.754329296771715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2.8421709430404007E-14</v>
      </c>
      <c r="AJ103" s="14">
        <f>AI103*VLOOKUP('Données projet'!$B$10,Paramètres!$A$1:$I$89,3,0)*VLOOKUP('Données projet'!$B$10,Paramètres!$A$1:$I$89,5,0)</f>
        <v>2.4829205358400945E-14</v>
      </c>
      <c r="AK103" s="14">
        <f t="shared" si="89"/>
        <v>4.3867331143352915E-13</v>
      </c>
      <c r="AL103" s="22">
        <f t="shared" si="58"/>
        <v>8.0726688341261168E-13</v>
      </c>
      <c r="AM103" s="62">
        <f t="shared" si="59"/>
        <v>293.33333333333411</v>
      </c>
      <c r="AN103" s="62">
        <f ca="1">AVERAGE(OFFSET($AM$3,0,0,'Données projet'!$E$10+1,1))-AVERAGE(OFFSET($H$3,0,0,'Données projet'!$E$10+1,1))</f>
        <v>195.53935591077345</v>
      </c>
      <c r="AO103" s="62">
        <f t="shared" si="90"/>
        <v>189.8782192260071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73.997946924386326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73.997946924386326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57.772000000000091</v>
      </c>
      <c r="D104" s="12">
        <f t="shared" si="86"/>
        <v>16.603726148579746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574.12841237500231</v>
      </c>
      <c r="H104" s="70">
        <f t="shared" si="56"/>
        <v>422.87105637544323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1.7053025658242404E-13</v>
      </c>
      <c r="O104" s="14">
        <f>N104*VLOOKUP('Données projet'!$B$9,Paramètres!$A$1:$I$89,3,0)*VLOOKUP('Données projet'!$B$9,Paramètres!$A$1:$I$89,5,0)</f>
        <v>1.0197709343628959E-13</v>
      </c>
      <c r="P104" s="14">
        <f t="shared" si="87"/>
        <v>1.5284983994279675E-12</v>
      </c>
      <c r="Q104" s="22">
        <f t="shared" si="107"/>
        <v>2.839744816738581E-12</v>
      </c>
      <c r="R104" s="62">
        <f t="shared" si="55"/>
        <v>293.33333333333616</v>
      </c>
      <c r="S104" s="62">
        <f ca="1">AVERAGE(OFFSET($R$3,0,0,'Données projet'!$E$9+1,1))-AVERAGE(OFFSET($H$3,0,0,'Données projet'!$E$9+1,1))</f>
        <v>183.65324264438817</v>
      </c>
      <c r="T104" s="62">
        <f t="shared" si="88"/>
        <v>208.38613882433765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63.796601613474223</v>
      </c>
      <c r="AA104" s="23">
        <f>EXP(-LN(2)/25)*AA103+(1-EXP(-LN(2)/25))/(LN(2)/25)*Calculateur!V104*Calculateur!X104*VLOOKUP('Données projet'!$B$9,Paramètres!$A$1:$I$89,3,0)*0.475*44/12</f>
        <v>5.5263168270988965</v>
      </c>
      <c r="AB104" s="23">
        <f>EXP(-LN(2)/2)*AB103+(1-EXP(-LN(2)/2))/(LN(2)/2)*V104*Y104*VLOOKUP('Données projet'!$B$9,Paramètres!$A$1:$I$89,3,0)*0.475*44/12</f>
        <v>7.2372396595374821E-6</v>
      </c>
      <c r="AC104" s="24">
        <f t="shared" si="57"/>
        <v>69.322925677812776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2.8421709430404007E-14</v>
      </c>
      <c r="AJ104" s="14">
        <f>AI104*VLOOKUP('Données projet'!$B$10,Paramètres!$A$1:$I$89,3,0)*VLOOKUP('Données projet'!$B$10,Paramètres!$A$1:$I$89,5,0)</f>
        <v>2.4829205358400945E-14</v>
      </c>
      <c r="AK104" s="14">
        <f t="shared" si="89"/>
        <v>4.3867331143352915E-13</v>
      </c>
      <c r="AL104" s="22">
        <f t="shared" si="58"/>
        <v>8.0726688341261168E-13</v>
      </c>
      <c r="AM104" s="62">
        <f t="shared" si="59"/>
        <v>293.33333333333411</v>
      </c>
      <c r="AN104" s="62">
        <f ca="1">AVERAGE(OFFSET($AM$3,0,0,'Données projet'!$E$10+1,1))-AVERAGE(OFFSET($H$3,0,0,'Données projet'!$E$10+1,1))</f>
        <v>195.53935591077345</v>
      </c>
      <c r="AO104" s="62">
        <f t="shared" si="90"/>
        <v>189.8782192260071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72.546892319490098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72.546892319490098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58.344000000000094</v>
      </c>
      <c r="D105" s="12">
        <f t="shared" si="86"/>
        <v>16.748900697085023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579.66449660907813</v>
      </c>
      <c r="H105" s="70">
        <f t="shared" si="56"/>
        <v>424.12013538075655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1.7053025658242404E-13</v>
      </c>
      <c r="O105" s="14">
        <f>N105*VLOOKUP('Données projet'!$B$9,Paramètres!$A$1:$I$89,3,0)*VLOOKUP('Données projet'!$B$9,Paramètres!$A$1:$I$89,5,0)</f>
        <v>1.0197709343628959E-13</v>
      </c>
      <c r="P105" s="14">
        <f t="shared" si="87"/>
        <v>1.5284983994279675E-12</v>
      </c>
      <c r="Q105" s="22">
        <f t="shared" si="107"/>
        <v>2.839744816738581E-12</v>
      </c>
      <c r="R105" s="62">
        <f t="shared" si="55"/>
        <v>293.33333333333616</v>
      </c>
      <c r="S105" s="62">
        <f ca="1">AVERAGE(OFFSET($R$3,0,0,'Données projet'!$E$9+1,1))-AVERAGE(OFFSET($H$3,0,0,'Données projet'!$E$9+1,1))</f>
        <v>183.65324264438817</v>
      </c>
      <c r="T105" s="62">
        <f t="shared" si="88"/>
        <v>208.38613882433765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62.545589167918727</v>
      </c>
      <c r="AA105" s="23">
        <f>EXP(-LN(2)/25)*AA104+(1-EXP(-LN(2)/25))/(LN(2)/25)*Calculateur!V105*Calculateur!X105*VLOOKUP('Données projet'!$B$9,Paramètres!$A$1:$I$89,3,0)*0.475*44/12</f>
        <v>5.3751994028455057</v>
      </c>
      <c r="AB105" s="23">
        <f>EXP(-LN(2)/2)*AB104+(1-EXP(-LN(2)/2))/(LN(2)/2)*V105*Y105*VLOOKUP('Données projet'!$B$9,Paramètres!$A$1:$I$89,3,0)*0.475*44/12</f>
        <v>5.1175012403311746E-6</v>
      </c>
      <c r="AC105" s="24">
        <f t="shared" si="57"/>
        <v>67.920793688265476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2.8421709430404007E-14</v>
      </c>
      <c r="AJ105" s="14">
        <f>AI105*VLOOKUP('Données projet'!$B$10,Paramètres!$A$1:$I$89,3,0)*VLOOKUP('Données projet'!$B$10,Paramètres!$A$1:$I$89,5,0)</f>
        <v>2.4829205358400945E-14</v>
      </c>
      <c r="AK105" s="14">
        <f t="shared" si="89"/>
        <v>4.3867331143352915E-13</v>
      </c>
      <c r="AL105" s="22">
        <f t="shared" si="58"/>
        <v>8.0726688341261168E-13</v>
      </c>
      <c r="AM105" s="62">
        <f t="shared" si="59"/>
        <v>293.33333333333411</v>
      </c>
      <c r="AN105" s="62">
        <f ca="1">AVERAGE(OFFSET($AM$3,0,0,'Données projet'!$E$10+1,1))-AVERAGE(OFFSET($H$3,0,0,'Données projet'!$E$10+1,1))</f>
        <v>195.53935591077345</v>
      </c>
      <c r="AO105" s="62">
        <f t="shared" si="90"/>
        <v>189.8782192260071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71.124292010339957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71.124292010339957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58.916000000000096</v>
      </c>
      <c r="D106" s="12">
        <f t="shared" si="86"/>
        <v>16.89390966749939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585.19930269648728</v>
      </c>
      <c r="H106" s="70">
        <f t="shared" si="56"/>
        <v>425.36892600422823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1.7053025658242404E-13</v>
      </c>
      <c r="O106" s="14">
        <f>N106*VLOOKUP('Données projet'!$B$9,Paramètres!$A$1:$I$89,3,0)*VLOOKUP('Données projet'!$B$9,Paramètres!$A$1:$I$89,5,0)</f>
        <v>1.0197709343628959E-13</v>
      </c>
      <c r="P106" s="14">
        <f t="shared" si="87"/>
        <v>1.5284983994279675E-12</v>
      </c>
      <c r="Q106" s="22">
        <f t="shared" si="107"/>
        <v>2.839744816738581E-12</v>
      </c>
      <c r="R106" s="62">
        <f t="shared" si="55"/>
        <v>293.33333333333616</v>
      </c>
      <c r="S106" s="62">
        <f ca="1">AVERAGE(OFFSET($R$3,0,0,'Données projet'!$E$9+1,1))-AVERAGE(OFFSET($H$3,0,0,'Données projet'!$E$9+1,1))</f>
        <v>183.65324264438817</v>
      </c>
      <c r="T106" s="62">
        <f t="shared" si="88"/>
        <v>208.38613882433765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61.319108313378329</v>
      </c>
      <c r="AA106" s="23">
        <f>EXP(-LN(2)/25)*AA105+(1-EXP(-LN(2)/25))/(LN(2)/25)*Calculateur!V106*Calculateur!X106*VLOOKUP('Données projet'!$B$9,Paramètres!$A$1:$I$89,3,0)*0.475*44/12</f>
        <v>5.2282142925052435</v>
      </c>
      <c r="AB106" s="23">
        <f>EXP(-LN(2)/2)*AB105+(1-EXP(-LN(2)/2))/(LN(2)/2)*V106*Y106*VLOOKUP('Données projet'!$B$9,Paramètres!$A$1:$I$89,3,0)*0.475*44/12</f>
        <v>3.6186198297687415E-6</v>
      </c>
      <c r="AC106" s="24">
        <f t="shared" si="57"/>
        <v>66.547326224503408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2.8421709430404007E-14</v>
      </c>
      <c r="AJ106" s="14">
        <f>AI106*VLOOKUP('Données projet'!$B$10,Paramètres!$A$1:$I$89,3,0)*VLOOKUP('Données projet'!$B$10,Paramètres!$A$1:$I$89,5,0)</f>
        <v>2.4829205358400945E-14</v>
      </c>
      <c r="AK106" s="14">
        <f t="shared" si="89"/>
        <v>4.3867331143352915E-13</v>
      </c>
      <c r="AL106" s="22">
        <f t="shared" si="58"/>
        <v>8.0726688341261168E-13</v>
      </c>
      <c r="AM106" s="62">
        <f t="shared" si="59"/>
        <v>293.33333333333411</v>
      </c>
      <c r="AN106" s="62">
        <f ca="1">AVERAGE(OFFSET($AM$3,0,0,'Données projet'!$E$10+1,1))-AVERAGE(OFFSET($H$3,0,0,'Données projet'!$E$10+1,1))</f>
        <v>195.53935591077345</v>
      </c>
      <c r="AO106" s="62">
        <f t="shared" si="90"/>
        <v>189.8782192260071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69.729588025551749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69.729588025551749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59.488000000000099</v>
      </c>
      <c r="D107" s="12">
        <f t="shared" si="86"/>
        <v>17.038754853539331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590.73284448346237</v>
      </c>
      <c r="H107" s="70">
        <f t="shared" si="56"/>
        <v>426.61743136991447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1.7053025658242404E-13</v>
      </c>
      <c r="O107" s="14">
        <f>N107*VLOOKUP('Données projet'!$B$9,Paramètres!$A$1:$I$89,3,0)*VLOOKUP('Données projet'!$B$9,Paramètres!$A$1:$I$89,5,0)</f>
        <v>1.0197709343628959E-13</v>
      </c>
      <c r="P107" s="14">
        <f t="shared" si="87"/>
        <v>1.5284983994279675E-12</v>
      </c>
      <c r="Q107" s="22">
        <f t="shared" si="107"/>
        <v>2.839744816738581E-12</v>
      </c>
      <c r="R107" s="62">
        <f t="shared" si="55"/>
        <v>293.33333333333616</v>
      </c>
      <c r="S107" s="62">
        <f ca="1">AVERAGE(OFFSET($R$3,0,0,'Données projet'!$E$9+1,1))-AVERAGE(OFFSET($H$3,0,0,'Données projet'!$E$9+1,1))</f>
        <v>183.65324264438817</v>
      </c>
      <c r="T107" s="62">
        <f t="shared" si="88"/>
        <v>208.38613882433765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60.116678000316014</v>
      </c>
      <c r="AA107" s="23">
        <f>EXP(-LN(2)/25)*AA106+(1-EXP(-LN(2)/25))/(LN(2)/25)*Calculateur!V107*Calculateur!X107*VLOOKUP('Données projet'!$B$9,Paramètres!$A$1:$I$89,3,0)*0.475*44/12</f>
        <v>5.0852484977368473</v>
      </c>
      <c r="AB107" s="23">
        <f>EXP(-LN(2)/2)*AB106+(1-EXP(-LN(2)/2))/(LN(2)/2)*V107*Y107*VLOOKUP('Données projet'!$B$9,Paramètres!$A$1:$I$89,3,0)*0.475*44/12</f>
        <v>2.5587506201655873E-6</v>
      </c>
      <c r="AC107" s="24">
        <f t="shared" si="57"/>
        <v>65.201929056803479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2.8421709430404007E-14</v>
      </c>
      <c r="AJ107" s="14">
        <f>AI107*VLOOKUP('Données projet'!$B$10,Paramètres!$A$1:$I$89,3,0)*VLOOKUP('Données projet'!$B$10,Paramètres!$A$1:$I$89,5,0)</f>
        <v>2.4829205358400945E-14</v>
      </c>
      <c r="AK107" s="14">
        <f t="shared" si="89"/>
        <v>4.3867331143352915E-13</v>
      </c>
      <c r="AL107" s="22">
        <f t="shared" si="58"/>
        <v>8.0726688341261168E-13</v>
      </c>
      <c r="AM107" s="62">
        <f t="shared" si="59"/>
        <v>293.33333333333411</v>
      </c>
      <c r="AN107" s="62">
        <f ca="1">AVERAGE(OFFSET($AM$3,0,0,'Données projet'!$E$10+1,1))-AVERAGE(OFFSET($H$3,0,0,'Données projet'!$E$10+1,1))</f>
        <v>195.53935591077345</v>
      </c>
      <c r="AO107" s="62">
        <f t="shared" si="90"/>
        <v>189.8782192260071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68.362233335219798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68.362233335219798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60.060000000000102</v>
      </c>
      <c r="D108" s="12">
        <f t="shared" si="86"/>
        <v>17.183438012438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596.26513553461007</v>
      </c>
      <c r="H108" s="70">
        <f t="shared" si="56"/>
        <v>427.86565453832969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1.7053025658242404E-13</v>
      </c>
      <c r="O108" s="14">
        <f>N108*VLOOKUP('Données projet'!$B$9,Paramètres!$A$1:$I$89,3,0)*VLOOKUP('Données projet'!$B$9,Paramètres!$A$1:$I$89,5,0)</f>
        <v>1.0197709343628959E-13</v>
      </c>
      <c r="P108" s="14">
        <f t="shared" si="87"/>
        <v>1.5284983994279675E-12</v>
      </c>
      <c r="Q108" s="22">
        <f t="shared" si="107"/>
        <v>2.839744816738581E-12</v>
      </c>
      <c r="R108" s="62">
        <f t="shared" si="55"/>
        <v>293.33333333333616</v>
      </c>
      <c r="S108" s="62">
        <f ca="1">AVERAGE(OFFSET($R$3,0,0,'Données projet'!$E$9+1,1))-AVERAGE(OFFSET($H$3,0,0,'Données projet'!$E$9+1,1))</f>
        <v>183.65324264438817</v>
      </c>
      <c r="T108" s="62">
        <f t="shared" si="88"/>
        <v>208.38613882433765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58.937826612282777</v>
      </c>
      <c r="AA108" s="23">
        <f>EXP(-LN(2)/25)*AA107+(1-EXP(-LN(2)/25))/(LN(2)/25)*Calculateur!V108*Calculateur!X108*VLOOKUP('Données projet'!$B$9,Paramètres!$A$1:$I$89,3,0)*0.475*44/12</f>
        <v>4.9461921101446373</v>
      </c>
      <c r="AB108" s="23">
        <f>EXP(-LN(2)/2)*AB107+(1-EXP(-LN(2)/2))/(LN(2)/2)*V108*Y108*VLOOKUP('Données projet'!$B$9,Paramètres!$A$1:$I$89,3,0)*0.475*44/12</f>
        <v>1.8093099148843707E-6</v>
      </c>
      <c r="AC108" s="24">
        <f t="shared" si="57"/>
        <v>63.884020531737328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2.8421709430404007E-14</v>
      </c>
      <c r="AJ108" s="14">
        <f>AI108*VLOOKUP('Données projet'!$B$10,Paramètres!$A$1:$I$89,3,0)*VLOOKUP('Données projet'!$B$10,Paramètres!$A$1:$I$89,5,0)</f>
        <v>2.4829205358400945E-14</v>
      </c>
      <c r="AK108" s="14">
        <f t="shared" si="89"/>
        <v>4.3867331143352915E-13</v>
      </c>
      <c r="AL108" s="22">
        <f t="shared" si="58"/>
        <v>8.0726688341261168E-13</v>
      </c>
      <c r="AM108" s="62">
        <f t="shared" si="59"/>
        <v>293.33333333333411</v>
      </c>
      <c r="AN108" s="62">
        <f ca="1">AVERAGE(OFFSET($AM$3,0,0,'Données projet'!$E$10+1,1))-AVERAGE(OFFSET($H$3,0,0,'Données projet'!$E$10+1,1))</f>
        <v>195.53935591077345</v>
      </c>
      <c r="AO108" s="62">
        <f t="shared" si="90"/>
        <v>189.8782192260071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67.021691636361254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67.021691636361254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60.632000000000104</v>
      </c>
      <c r="D109" s="12">
        <f t="shared" si="86"/>
        <v>17.327960866027414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601.79618914126502</v>
      </c>
      <c r="H109" s="70">
        <f t="shared" si="56"/>
        <v>429.11359850833122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1.7053025658242404E-13</v>
      </c>
      <c r="O109" s="14">
        <f>N109*VLOOKUP('Données projet'!$B$9,Paramètres!$A$1:$I$89,3,0)*VLOOKUP('Données projet'!$B$9,Paramètres!$A$1:$I$89,5,0)</f>
        <v>1.0197709343628959E-13</v>
      </c>
      <c r="P109" s="14">
        <f t="shared" si="87"/>
        <v>1.5284983994279675E-12</v>
      </c>
      <c r="Q109" s="22">
        <f t="shared" si="107"/>
        <v>2.839744816738581E-12</v>
      </c>
      <c r="R109" s="62">
        <f t="shared" si="55"/>
        <v>293.33333333333616</v>
      </c>
      <c r="S109" s="62">
        <f ca="1">AVERAGE(OFFSET($R$3,0,0,'Données projet'!$E$9+1,1))-AVERAGE(OFFSET($H$3,0,0,'Données projet'!$E$9+1,1))</f>
        <v>183.65324264438817</v>
      </c>
      <c r="T109" s="62">
        <f t="shared" si="88"/>
        <v>208.38613882433765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57.782091780940526</v>
      </c>
      <c r="AA109" s="23">
        <f>EXP(-LN(2)/25)*AA108+(1-EXP(-LN(2)/25))/(LN(2)/25)*Calculateur!V109*Calculateur!X109*VLOOKUP('Données projet'!$B$9,Paramètres!$A$1:$I$89,3,0)*0.475*44/12</f>
        <v>4.8109382267837937</v>
      </c>
      <c r="AB109" s="23">
        <f>EXP(-LN(2)/2)*AB108+(1-EXP(-LN(2)/2))/(LN(2)/2)*V109*Y109*VLOOKUP('Données projet'!$B$9,Paramètres!$A$1:$I$89,3,0)*0.475*44/12</f>
        <v>1.2793753100827937E-6</v>
      </c>
      <c r="AC109" s="24">
        <f t="shared" si="57"/>
        <v>62.593031287099635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2.8421709430404007E-14</v>
      </c>
      <c r="AJ109" s="14">
        <f>AI109*VLOOKUP('Données projet'!$B$10,Paramètres!$A$1:$I$89,3,0)*VLOOKUP('Données projet'!$B$10,Paramètres!$A$1:$I$89,5,0)</f>
        <v>2.4829205358400945E-14</v>
      </c>
      <c r="AK109" s="14">
        <f t="shared" si="89"/>
        <v>4.3867331143352915E-13</v>
      </c>
      <c r="AL109" s="22">
        <f t="shared" si="58"/>
        <v>8.0726688341261168E-13</v>
      </c>
      <c r="AM109" s="62">
        <f t="shared" si="59"/>
        <v>293.33333333333411</v>
      </c>
      <c r="AN109" s="62">
        <f ca="1">AVERAGE(OFFSET($AM$3,0,0,'Données projet'!$E$10+1,1))-AVERAGE(OFFSET($H$3,0,0,'Données projet'!$E$10+1,1))</f>
        <v>195.53935591077345</v>
      </c>
      <c r="AO109" s="62">
        <f t="shared" si="90"/>
        <v>189.8782192260071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65.707437142567628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65.707437142567628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61.204000000000107</v>
      </c>
      <c r="D110" s="12">
        <f t="shared" si="86"/>
        <v>17.472325101778811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607.3260183295215</v>
      </c>
      <c r="H110" s="70">
        <f t="shared" si="56"/>
        <v>430.36126621893163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1.7053025658242404E-13</v>
      </c>
      <c r="O110" s="14">
        <f>N110*VLOOKUP('Données projet'!$B$9,Paramètres!$A$1:$I$89,3,0)*VLOOKUP('Données projet'!$B$9,Paramètres!$A$1:$I$89,5,0)</f>
        <v>1.0197709343628959E-13</v>
      </c>
      <c r="P110" s="14">
        <f t="shared" si="87"/>
        <v>1.5284983994279675E-12</v>
      </c>
      <c r="Q110" s="22">
        <f t="shared" si="107"/>
        <v>2.839744816738581E-12</v>
      </c>
      <c r="R110" s="62">
        <f t="shared" si="55"/>
        <v>293.33333333333616</v>
      </c>
      <c r="S110" s="62">
        <f ca="1">AVERAGE(OFFSET($R$3,0,0,'Données projet'!$E$9+1,1))-AVERAGE(OFFSET($H$3,0,0,'Données projet'!$E$9+1,1))</f>
        <v>183.65324264438817</v>
      </c>
      <c r="T110" s="62">
        <f t="shared" si="88"/>
        <v>208.38613882433765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56.649020204712251</v>
      </c>
      <c r="AA110" s="23">
        <f>EXP(-LN(2)/25)*AA109+(1-EXP(-LN(2)/25))/(LN(2)/25)*Calculateur!V110*Calculateur!X110*VLOOKUP('Données projet'!$B$9,Paramètres!$A$1:$I$89,3,0)*0.475*44/12</f>
        <v>4.6793828679761447</v>
      </c>
      <c r="AB110" s="23">
        <f>EXP(-LN(2)/2)*AB109+(1-EXP(-LN(2)/2))/(LN(2)/2)*V110*Y110*VLOOKUP('Données projet'!$B$9,Paramètres!$A$1:$I$89,3,0)*0.475*44/12</f>
        <v>9.0465495744218537E-7</v>
      </c>
      <c r="AC110" s="24">
        <f t="shared" si="57"/>
        <v>61.328403977343356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2.8421709430404007E-14</v>
      </c>
      <c r="AJ110" s="14">
        <f>AI110*VLOOKUP('Données projet'!$B$10,Paramètres!$A$1:$I$89,3,0)*VLOOKUP('Données projet'!$B$10,Paramètres!$A$1:$I$89,5,0)</f>
        <v>2.4829205358400945E-14</v>
      </c>
      <c r="AK110" s="14">
        <f t="shared" si="89"/>
        <v>4.3867331143352915E-13</v>
      </c>
      <c r="AL110" s="22">
        <f t="shared" si="58"/>
        <v>8.0726688341261168E-13</v>
      </c>
      <c r="AM110" s="62">
        <f t="shared" si="59"/>
        <v>293.33333333333411</v>
      </c>
      <c r="AN110" s="62">
        <f ca="1">AVERAGE(OFFSET($AM$3,0,0,'Données projet'!$E$10+1,1))-AVERAGE(OFFSET($H$3,0,0,'Données projet'!$E$10+1,1))</f>
        <v>195.53935591077345</v>
      </c>
      <c r="AO110" s="62">
        <f t="shared" si="90"/>
        <v>189.8782192260071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64.418954377781205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64.418954377781205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61.77600000000011</v>
      </c>
      <c r="D111" s="12">
        <f t="shared" si="86"/>
        <v>17.616532373802901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612.85463586795311</v>
      </c>
      <c r="H111" s="70">
        <f t="shared" si="56"/>
        <v>431.6086605510402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1.7053025658242404E-13</v>
      </c>
      <c r="O111" s="14">
        <f>N111*VLOOKUP('Données projet'!$B$9,Paramètres!$A$1:$I$89,3,0)*VLOOKUP('Données projet'!$B$9,Paramètres!$A$1:$I$89,5,0)</f>
        <v>1.0197709343628959E-13</v>
      </c>
      <c r="P111" s="14">
        <f t="shared" si="87"/>
        <v>1.5284983994279675E-12</v>
      </c>
      <c r="Q111" s="22">
        <f t="shared" si="107"/>
        <v>2.839744816738581E-12</v>
      </c>
      <c r="R111" s="62">
        <f t="shared" si="55"/>
        <v>293.33333333333616</v>
      </c>
      <c r="S111" s="62">
        <f ca="1">AVERAGE(OFFSET($R$3,0,0,'Données projet'!$E$9+1,1))-AVERAGE(OFFSET($H$3,0,0,'Données projet'!$E$9+1,1))</f>
        <v>183.65324264438817</v>
      </c>
      <c r="T111" s="62">
        <f t="shared" si="88"/>
        <v>208.38613882433765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55.538167470988391</v>
      </c>
      <c r="AA111" s="23">
        <f>EXP(-LN(2)/25)*AA110+(1-EXP(-LN(2)/25))/(LN(2)/25)*Calculateur!V111*Calculateur!X111*VLOOKUP('Données projet'!$B$9,Paramètres!$A$1:$I$89,3,0)*0.475*44/12</f>
        <v>4.5514248973732867</v>
      </c>
      <c r="AB111" s="23">
        <f>EXP(-LN(2)/2)*AB110+(1-EXP(-LN(2)/2))/(LN(2)/2)*V111*Y111*VLOOKUP('Données projet'!$B$9,Paramètres!$A$1:$I$89,3,0)*0.475*44/12</f>
        <v>6.3968765504139683E-7</v>
      </c>
      <c r="AC111" s="24">
        <f t="shared" si="57"/>
        <v>60.089593008049334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2.8421709430404007E-14</v>
      </c>
      <c r="AJ111" s="14">
        <f>AI111*VLOOKUP('Données projet'!$B$10,Paramètres!$A$1:$I$89,3,0)*VLOOKUP('Données projet'!$B$10,Paramètres!$A$1:$I$89,5,0)</f>
        <v>2.4829205358400945E-14</v>
      </c>
      <c r="AK111" s="14">
        <f t="shared" si="89"/>
        <v>4.3867331143352915E-13</v>
      </c>
      <c r="AL111" s="22">
        <f t="shared" si="58"/>
        <v>8.0726688341261168E-13</v>
      </c>
      <c r="AM111" s="62">
        <f t="shared" si="59"/>
        <v>293.33333333333411</v>
      </c>
      <c r="AN111" s="62">
        <f ca="1">AVERAGE(OFFSET($AM$3,0,0,'Données projet'!$E$10+1,1))-AVERAGE(OFFSET($H$3,0,0,'Données projet'!$E$10+1,1))</f>
        <v>195.53935591077345</v>
      </c>
      <c r="AO111" s="62">
        <f t="shared" si="90"/>
        <v>189.8782192260071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63.155737974115354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63.155737974115354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62.348000000000113</v>
      </c>
      <c r="D112" s="12">
        <f t="shared" si="86"/>
        <v>17.760584303812003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618.38205427504079</v>
      </c>
      <c r="H112" s="70">
        <f t="shared" si="56"/>
        <v>432.8557843291394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1.7053025658242404E-13</v>
      </c>
      <c r="O112" s="14">
        <f>N112*VLOOKUP('Données projet'!$B$9,Paramètres!$A$1:$I$89,3,0)*VLOOKUP('Données projet'!$B$9,Paramètres!$A$1:$I$89,5,0)</f>
        <v>1.0197709343628959E-13</v>
      </c>
      <c r="P112" s="14">
        <f t="shared" si="87"/>
        <v>1.5284983994279675E-12</v>
      </c>
      <c r="Q112" s="22">
        <f t="shared" si="107"/>
        <v>2.839744816738581E-12</v>
      </c>
      <c r="R112" s="62">
        <f t="shared" si="55"/>
        <v>293.33333333333616</v>
      </c>
      <c r="S112" s="62">
        <f ca="1">AVERAGE(OFFSET($R$3,0,0,'Données projet'!$E$9+1,1))-AVERAGE(OFFSET($H$3,0,0,'Données projet'!$E$9+1,1))</f>
        <v>183.65324264438817</v>
      </c>
      <c r="T112" s="62">
        <f t="shared" si="88"/>
        <v>208.38613882433765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54.449097881819597</v>
      </c>
      <c r="AA112" s="23">
        <f>EXP(-LN(2)/25)*AA111+(1-EXP(-LN(2)/25))/(LN(2)/25)*Calculateur!V112*Calculateur!X112*VLOOKUP('Données projet'!$B$9,Paramètres!$A$1:$I$89,3,0)*0.475*44/12</f>
        <v>4.4269659442055813</v>
      </c>
      <c r="AB112" s="23">
        <f>EXP(-LN(2)/2)*AB111+(1-EXP(-LN(2)/2))/(LN(2)/2)*V112*Y112*VLOOKUP('Données projet'!$B$9,Paramètres!$A$1:$I$89,3,0)*0.475*44/12</f>
        <v>4.5232747872109269E-7</v>
      </c>
      <c r="AC112" s="24">
        <f t="shared" si="57"/>
        <v>58.876064278352658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2.8421709430404007E-14</v>
      </c>
      <c r="AJ112" s="14">
        <f>AI112*VLOOKUP('Données projet'!$B$10,Paramètres!$A$1:$I$89,3,0)*VLOOKUP('Données projet'!$B$10,Paramètres!$A$1:$I$89,5,0)</f>
        <v>2.4829205358400945E-14</v>
      </c>
      <c r="AK112" s="14">
        <f t="shared" si="89"/>
        <v>4.3867331143352915E-13</v>
      </c>
      <c r="AL112" s="22">
        <f t="shared" si="58"/>
        <v>8.0726688341261168E-13</v>
      </c>
      <c r="AM112" s="62">
        <f t="shared" si="59"/>
        <v>293.33333333333411</v>
      </c>
      <c r="AN112" s="62">
        <f ca="1">AVERAGE(OFFSET($AM$3,0,0,'Données projet'!$E$10+1,1))-AVERAGE(OFFSET($H$3,0,0,'Données projet'!$E$10+1,1))</f>
        <v>195.53935591077345</v>
      </c>
      <c r="AO112" s="62">
        <f t="shared" si="90"/>
        <v>189.8782192260071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61.917292473639463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61.917292473639463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62.920000000000115</v>
      </c>
      <c r="D113" s="12">
        <f t="shared" si="86"/>
        <v>17.904482482045992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623.90828582632093</v>
      </c>
      <c r="H113" s="70">
        <f t="shared" si="56"/>
        <v>434.10264032289695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1.7053025658242404E-13</v>
      </c>
      <c r="O113" s="14">
        <f>N113*VLOOKUP('Données projet'!$B$9,Paramètres!$A$1:$I$89,3,0)*VLOOKUP('Données projet'!$B$9,Paramètres!$A$1:$I$89,5,0)</f>
        <v>1.0197709343628959E-13</v>
      </c>
      <c r="P113" s="14">
        <f t="shared" si="87"/>
        <v>1.5284983994279675E-12</v>
      </c>
      <c r="Q113" s="22">
        <f t="shared" si="107"/>
        <v>2.839744816738581E-12</v>
      </c>
      <c r="R113" s="62">
        <f t="shared" si="55"/>
        <v>293.33333333333616</v>
      </c>
      <c r="S113" s="62">
        <f ca="1">AVERAGE(OFFSET($R$3,0,0,'Données projet'!$E$9+1,1))-AVERAGE(OFFSET($H$3,0,0,'Données projet'!$E$9+1,1))</f>
        <v>183.65324264438817</v>
      </c>
      <c r="T113" s="62">
        <f t="shared" si="88"/>
        <v>208.38613882433765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53.381384283027543</v>
      </c>
      <c r="AA113" s="23">
        <f>EXP(-LN(2)/25)*AA112+(1-EXP(-LN(2)/25))/(LN(2)/25)*Calculateur!V113*Calculateur!X113*VLOOKUP('Données projet'!$B$9,Paramètres!$A$1:$I$89,3,0)*0.475*44/12</f>
        <v>4.3059103276572586</v>
      </c>
      <c r="AB113" s="23">
        <f>EXP(-LN(2)/2)*AB112+(1-EXP(-LN(2)/2))/(LN(2)/2)*V113*Y113*VLOOKUP('Données projet'!$B$9,Paramètres!$A$1:$I$89,3,0)*0.475*44/12</f>
        <v>3.1984382752069841E-7</v>
      </c>
      <c r="AC113" s="24">
        <f t="shared" si="57"/>
        <v>57.68729493052863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2.8421709430404007E-14</v>
      </c>
      <c r="AJ113" s="14">
        <f>AI113*VLOOKUP('Données projet'!$B$10,Paramètres!$A$1:$I$89,3,0)*VLOOKUP('Données projet'!$B$10,Paramètres!$A$1:$I$89,5,0)</f>
        <v>2.4829205358400945E-14</v>
      </c>
      <c r="AK113" s="14">
        <f t="shared" si="89"/>
        <v>4.3867331143352915E-13</v>
      </c>
      <c r="AL113" s="22">
        <f t="shared" si="58"/>
        <v>8.0726688341261168E-13</v>
      </c>
      <c r="AM113" s="62">
        <f t="shared" si="59"/>
        <v>293.33333333333411</v>
      </c>
      <c r="AN113" s="62">
        <f ca="1">AVERAGE(OFFSET($AM$3,0,0,'Données projet'!$E$10+1,1))-AVERAGE(OFFSET($H$3,0,0,'Données projet'!$E$10+1,1))</f>
        <v>195.53935591077345</v>
      </c>
      <c r="AO113" s="62">
        <f t="shared" si="90"/>
        <v>189.8782192260071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60.70313213405074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60.70313213405074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63.492000000000118</v>
      </c>
      <c r="D114" s="12">
        <f t="shared" si="86"/>
        <v>18.048228468163401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629.43334256126229</v>
      </c>
      <c r="H114" s="70">
        <f t="shared" si="56"/>
        <v>435.34923124871807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1.7053025658242404E-13</v>
      </c>
      <c r="O114" s="14">
        <f>N114*VLOOKUP('Données projet'!$B$9,Paramètres!$A$1:$I$89,3,0)*VLOOKUP('Données projet'!$B$9,Paramètres!$A$1:$I$89,5,0)</f>
        <v>1.0197709343628959E-13</v>
      </c>
      <c r="P114" s="14">
        <f t="shared" si="87"/>
        <v>1.5284983994279675E-12</v>
      </c>
      <c r="Q114" s="22">
        <f t="shared" si="107"/>
        <v>2.839744816738581E-12</v>
      </c>
      <c r="R114" s="62">
        <f t="shared" si="55"/>
        <v>293.33333333333616</v>
      </c>
      <c r="S114" s="62">
        <f ca="1">AVERAGE(OFFSET($R$3,0,0,'Données projet'!$E$9+1,1))-AVERAGE(OFFSET($H$3,0,0,'Données projet'!$E$9+1,1))</f>
        <v>183.65324264438817</v>
      </c>
      <c r="T114" s="62">
        <f t="shared" si="88"/>
        <v>208.38613882433765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52.33460789666681</v>
      </c>
      <c r="AA114" s="23">
        <f>EXP(-LN(2)/25)*AA113+(1-EXP(-LN(2)/25))/(LN(2)/25)*Calculateur!V114*Calculateur!X114*VLOOKUP('Données projet'!$B$9,Paramètres!$A$1:$I$89,3,0)*0.475*44/12</f>
        <v>4.1881649833094876</v>
      </c>
      <c r="AB114" s="23">
        <f>EXP(-LN(2)/2)*AB113+(1-EXP(-LN(2)/2))/(LN(2)/2)*V114*Y114*VLOOKUP('Données projet'!$B$9,Paramètres!$A$1:$I$89,3,0)*0.475*44/12</f>
        <v>2.2616373936054634E-7</v>
      </c>
      <c r="AC114" s="24">
        <f t="shared" si="57"/>
        <v>56.522773106140043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2.8421709430404007E-14</v>
      </c>
      <c r="AJ114" s="14">
        <f>AI114*VLOOKUP('Données projet'!$B$10,Paramètres!$A$1:$I$89,3,0)*VLOOKUP('Données projet'!$B$10,Paramètres!$A$1:$I$89,5,0)</f>
        <v>2.4829205358400945E-14</v>
      </c>
      <c r="AK114" s="14">
        <f t="shared" si="89"/>
        <v>4.3867331143352915E-13</v>
      </c>
      <c r="AL114" s="22">
        <f t="shared" si="58"/>
        <v>8.0726688341261168E-13</v>
      </c>
      <c r="AM114" s="62">
        <f t="shared" si="59"/>
        <v>293.33333333333411</v>
      </c>
      <c r="AN114" s="62">
        <f ca="1">AVERAGE(OFFSET($AM$3,0,0,'Données projet'!$E$10+1,1))-AVERAGE(OFFSET($H$3,0,0,'Données projet'!$E$10+1,1))</f>
        <v>195.53935591077345</v>
      </c>
      <c r="AO114" s="62">
        <f t="shared" si="90"/>
        <v>189.8782192260071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59.512780738156664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59.512780738156664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64.064000000000121</v>
      </c>
      <c r="D115" s="12">
        <f t="shared" si="86"/>
        <v>18.191823792099701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634.95723628989333</v>
      </c>
      <c r="H115" s="70">
        <f t="shared" si="56"/>
        <v>436.59555977124046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1.7053025658242404E-13</v>
      </c>
      <c r="O115" s="14">
        <f>N115*VLOOKUP('Données projet'!$B$9,Paramètres!$A$1:$I$89,3,0)*VLOOKUP('Données projet'!$B$9,Paramètres!$A$1:$I$89,5,0)</f>
        <v>1.0197709343628959E-13</v>
      </c>
      <c r="P115" s="14">
        <f t="shared" si="87"/>
        <v>1.5284983994279675E-12</v>
      </c>
      <c r="Q115" s="22">
        <f t="shared" si="107"/>
        <v>2.839744816738581E-12</v>
      </c>
      <c r="R115" s="62">
        <f t="shared" si="55"/>
        <v>293.33333333333616</v>
      </c>
      <c r="S115" s="62">
        <f ca="1">AVERAGE(OFFSET($R$3,0,0,'Données projet'!$E$9+1,1))-AVERAGE(OFFSET($H$3,0,0,'Données projet'!$E$9+1,1))</f>
        <v>183.65324264438817</v>
      </c>
      <c r="T115" s="62">
        <f t="shared" si="88"/>
        <v>208.38613882433765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51.308358156772059</v>
      </c>
      <c r="AA115" s="23">
        <f>EXP(-LN(2)/25)*AA114+(1-EXP(-LN(2)/25))/(LN(2)/25)*Calculateur!V115*Calculateur!X115*VLOOKUP('Données projet'!$B$9,Paramètres!$A$1:$I$89,3,0)*0.475*44/12</f>
        <v>4.073639391594865</v>
      </c>
      <c r="AB115" s="23">
        <f>EXP(-LN(2)/2)*AB114+(1-EXP(-LN(2)/2))/(LN(2)/2)*V115*Y115*VLOOKUP('Données projet'!$B$9,Paramètres!$A$1:$I$89,3,0)*0.475*44/12</f>
        <v>1.5992191376034921E-7</v>
      </c>
      <c r="AC115" s="24">
        <f t="shared" si="57"/>
        <v>55.381997708288836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2.8421709430404007E-14</v>
      </c>
      <c r="AJ115" s="14">
        <f>AI115*VLOOKUP('Données projet'!$B$10,Paramètres!$A$1:$I$89,3,0)*VLOOKUP('Données projet'!$B$10,Paramètres!$A$1:$I$89,5,0)</f>
        <v>2.4829205358400945E-14</v>
      </c>
      <c r="AK115" s="14">
        <f t="shared" si="89"/>
        <v>4.3867331143352915E-13</v>
      </c>
      <c r="AL115" s="22">
        <f t="shared" si="58"/>
        <v>8.0726688341261168E-13</v>
      </c>
      <c r="AM115" s="62">
        <f t="shared" si="59"/>
        <v>293.33333333333411</v>
      </c>
      <c r="AN115" s="62">
        <f ca="1">AVERAGE(OFFSET($AM$3,0,0,'Données projet'!$E$10+1,1))-AVERAGE(OFFSET($H$3,0,0,'Données projet'!$E$10+1,1))</f>
        <v>195.53935591077345</v>
      </c>
      <c r="AO115" s="62">
        <f t="shared" si="90"/>
        <v>189.8782192260071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58.345771407093416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58.345771407093416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64.636000000000124</v>
      </c>
      <c r="D116" s="12">
        <f t="shared" si="86"/>
        <v>18.335269954893938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640.47997859918235</v>
      </c>
      <c r="H116" s="70">
        <f t="shared" si="56"/>
        <v>437.84162850477378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1.7053025658242404E-13</v>
      </c>
      <c r="O116" s="14">
        <f>N116*VLOOKUP('Données projet'!$B$9,Paramètres!$A$1:$I$89,3,0)*VLOOKUP('Données projet'!$B$9,Paramètres!$A$1:$I$89,5,0)</f>
        <v>1.0197709343628959E-13</v>
      </c>
      <c r="P116" s="14">
        <f t="shared" si="87"/>
        <v>1.5284983994279675E-12</v>
      </c>
      <c r="Q116" s="22">
        <f t="shared" si="107"/>
        <v>2.839744816738581E-12</v>
      </c>
      <c r="R116" s="62">
        <f t="shared" si="55"/>
        <v>293.33333333333616</v>
      </c>
      <c r="S116" s="62">
        <f ca="1">AVERAGE(OFFSET($R$3,0,0,'Données projet'!$E$9+1,1))-AVERAGE(OFFSET($H$3,0,0,'Données projet'!$E$9+1,1))</f>
        <v>183.65324264438817</v>
      </c>
      <c r="T116" s="62">
        <f t="shared" si="88"/>
        <v>208.38613882433765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50.30223254832611</v>
      </c>
      <c r="AA116" s="23">
        <f>EXP(-LN(2)/25)*AA115+(1-EXP(-LN(2)/25))/(LN(2)/25)*Calculateur!V116*Calculateur!X116*VLOOKUP('Données projet'!$B$9,Paramètres!$A$1:$I$89,3,0)*0.475*44/12</f>
        <v>3.9622455082083183</v>
      </c>
      <c r="AB116" s="23">
        <f>EXP(-LN(2)/2)*AB115+(1-EXP(-LN(2)/2))/(LN(2)/2)*V116*Y116*VLOOKUP('Données projet'!$B$9,Paramètres!$A$1:$I$89,3,0)*0.475*44/12</f>
        <v>1.1308186968027317E-7</v>
      </c>
      <c r="AC116" s="24">
        <f t="shared" si="57"/>
        <v>54.264478169616297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2.8421709430404007E-14</v>
      </c>
      <c r="AJ116" s="14">
        <f>AI116*VLOOKUP('Données projet'!$B$10,Paramètres!$A$1:$I$89,3,0)*VLOOKUP('Données projet'!$B$10,Paramètres!$A$1:$I$89,5,0)</f>
        <v>2.4829205358400945E-14</v>
      </c>
      <c r="AK116" s="14">
        <f t="shared" si="89"/>
        <v>4.3867331143352915E-13</v>
      </c>
      <c r="AL116" s="22">
        <f t="shared" si="58"/>
        <v>8.0726688341261168E-13</v>
      </c>
      <c r="AM116" s="62">
        <f t="shared" si="59"/>
        <v>293.33333333333411</v>
      </c>
      <c r="AN116" s="62">
        <f ca="1">AVERAGE(OFFSET($AM$3,0,0,'Données projet'!$E$10+1,1))-AVERAGE(OFFSET($H$3,0,0,'Données projet'!$E$10+1,1))</f>
        <v>195.53935591077345</v>
      </c>
      <c r="AO116" s="62">
        <f t="shared" si="90"/>
        <v>189.8782192260071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57.201646417206909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57.201646417206909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65.208000000000126</v>
      </c>
      <c r="D117" s="12">
        <f t="shared" si="86"/>
        <v>18.478568429485229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646.00158085918531</v>
      </c>
      <c r="H117" s="70">
        <f t="shared" si="56"/>
        <v>439.08744001468699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1.7053025658242404E-13</v>
      </c>
      <c r="O117" s="14">
        <f>N117*VLOOKUP('Données projet'!$B$9,Paramètres!$A$1:$I$89,3,0)*VLOOKUP('Données projet'!$B$9,Paramètres!$A$1:$I$89,5,0)</f>
        <v>1.0197709343628959E-13</v>
      </c>
      <c r="P117" s="14">
        <f t="shared" si="87"/>
        <v>1.5284983994279675E-12</v>
      </c>
      <c r="Q117" s="22">
        <f t="shared" si="107"/>
        <v>2.839744816738581E-12</v>
      </c>
      <c r="R117" s="62">
        <f t="shared" si="55"/>
        <v>293.33333333333616</v>
      </c>
      <c r="S117" s="62">
        <f ca="1">AVERAGE(OFFSET($R$3,0,0,'Données projet'!$E$9+1,1))-AVERAGE(OFFSET($H$3,0,0,'Données projet'!$E$9+1,1))</f>
        <v>183.65324264438817</v>
      </c>
      <c r="T117" s="62">
        <f t="shared" si="88"/>
        <v>208.38613882433765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49.315836449385756</v>
      </c>
      <c r="AA117" s="23">
        <f>EXP(-LN(2)/25)*AA116+(1-EXP(-LN(2)/25))/(LN(2)/25)*Calculateur!V117*Calculateur!X117*VLOOKUP('Données projet'!$B$9,Paramètres!$A$1:$I$89,3,0)*0.475*44/12</f>
        <v>3.8538976964209266</v>
      </c>
      <c r="AB117" s="23">
        <f>EXP(-LN(2)/2)*AB116+(1-EXP(-LN(2)/2))/(LN(2)/2)*V117*Y117*VLOOKUP('Données projet'!$B$9,Paramètres!$A$1:$I$89,3,0)*0.475*44/12</f>
        <v>7.9960956880174603E-8</v>
      </c>
      <c r="AC117" s="24">
        <f t="shared" si="57"/>
        <v>53.169734225767641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2.8421709430404007E-14</v>
      </c>
      <c r="AJ117" s="14">
        <f>AI117*VLOOKUP('Données projet'!$B$10,Paramètres!$A$1:$I$89,3,0)*VLOOKUP('Données projet'!$B$10,Paramètres!$A$1:$I$89,5,0)</f>
        <v>2.4829205358400945E-14</v>
      </c>
      <c r="AK117" s="14">
        <f t="shared" si="89"/>
        <v>4.3867331143352915E-13</v>
      </c>
      <c r="AL117" s="22">
        <f t="shared" si="58"/>
        <v>8.0726688341261168E-13</v>
      </c>
      <c r="AM117" s="62">
        <f t="shared" si="59"/>
        <v>293.33333333333411</v>
      </c>
      <c r="AN117" s="62">
        <f ca="1">AVERAGE(OFFSET($AM$3,0,0,'Données projet'!$E$10+1,1))-AVERAGE(OFFSET($H$3,0,0,'Données projet'!$E$10+1,1))</f>
        <v>195.53935591077345</v>
      </c>
      <c r="AO117" s="62">
        <f t="shared" si="90"/>
        <v>189.8782192260071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56.079957020524738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56.079957020524738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65.780000000000129</v>
      </c>
      <c r="D118" s="12">
        <f t="shared" si="86"/>
        <v>18.621720661480669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651.52205422897453</v>
      </c>
      <c r="H118" s="70">
        <f t="shared" si="56"/>
        <v>440.3329968187457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1.7053025658242404E-13</v>
      </c>
      <c r="O118" s="14">
        <f>N118*VLOOKUP('Données projet'!$B$9,Paramètres!$A$1:$I$89,3,0)*VLOOKUP('Données projet'!$B$9,Paramètres!$A$1:$I$89,5,0)</f>
        <v>1.0197709343628959E-13</v>
      </c>
      <c r="P118" s="14">
        <f t="shared" si="87"/>
        <v>1.5284983994279675E-12</v>
      </c>
      <c r="Q118" s="22">
        <f t="shared" si="107"/>
        <v>2.839744816738581E-12</v>
      </c>
      <c r="R118" s="62">
        <f t="shared" si="55"/>
        <v>293.33333333333616</v>
      </c>
      <c r="S118" s="62">
        <f ca="1">AVERAGE(OFFSET($R$3,0,0,'Données projet'!$E$9+1,1))-AVERAGE(OFFSET($H$3,0,0,'Données projet'!$E$9+1,1))</f>
        <v>183.65324264438817</v>
      </c>
      <c r="T118" s="62">
        <f t="shared" si="88"/>
        <v>208.38613882433765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48.348782976303411</v>
      </c>
      <c r="AA118" s="23">
        <f>EXP(-LN(2)/25)*AA117+(1-EXP(-LN(2)/25))/(LN(2)/25)*Calculateur!V118*Calculateur!X118*VLOOKUP('Données projet'!$B$9,Paramètres!$A$1:$I$89,3,0)*0.475*44/12</f>
        <v>3.7485126612446247</v>
      </c>
      <c r="AB118" s="23">
        <f>EXP(-LN(2)/2)*AB117+(1-EXP(-LN(2)/2))/(LN(2)/2)*V118*Y118*VLOOKUP('Données projet'!$B$9,Paramètres!$A$1:$I$89,3,0)*0.475*44/12</f>
        <v>5.6540934840136586E-8</v>
      </c>
      <c r="AC118" s="24">
        <f t="shared" si="57"/>
        <v>52.09729569408897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2.8421709430404007E-14</v>
      </c>
      <c r="AJ118" s="14">
        <f>AI118*VLOOKUP('Données projet'!$B$10,Paramètres!$A$1:$I$89,3,0)*VLOOKUP('Données projet'!$B$10,Paramètres!$A$1:$I$89,5,0)</f>
        <v>2.4829205358400945E-14</v>
      </c>
      <c r="AK118" s="14">
        <f t="shared" si="89"/>
        <v>4.3867331143352915E-13</v>
      </c>
      <c r="AL118" s="22">
        <f t="shared" si="58"/>
        <v>8.0726688341261168E-13</v>
      </c>
      <c r="AM118" s="62">
        <f t="shared" si="59"/>
        <v>293.33333333333411</v>
      </c>
      <c r="AN118" s="62">
        <f ca="1">AVERAGE(OFFSET($AM$3,0,0,'Données projet'!$E$10+1,1))-AVERAGE(OFFSET($H$3,0,0,'Données projet'!$E$10+1,1))</f>
        <v>195.53935591077345</v>
      </c>
      <c r="AO118" s="62">
        <f t="shared" si="90"/>
        <v>189.8782192260071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54.98026326874853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54.98026326874853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66.352000000000132</v>
      </c>
      <c r="D119" s="12">
        <f t="shared" si="86"/>
        <v>18.76472806989559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657.04140966235298</v>
      </c>
      <c r="H119" s="70">
        <f t="shared" si="56"/>
        <v>441.57830138840166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1.7053025658242404E-13</v>
      </c>
      <c r="O119" s="14">
        <f>N119*VLOOKUP('Données projet'!$B$9,Paramètres!$A$1:$I$89,3,0)*VLOOKUP('Données projet'!$B$9,Paramètres!$A$1:$I$89,5,0)</f>
        <v>1.0197709343628959E-13</v>
      </c>
      <c r="P119" s="14">
        <f t="shared" si="87"/>
        <v>1.5284983994279675E-12</v>
      </c>
      <c r="Q119" s="22">
        <f t="shared" si="107"/>
        <v>2.839744816738581E-12</v>
      </c>
      <c r="R119" s="62">
        <f t="shared" si="55"/>
        <v>293.33333333333616</v>
      </c>
      <c r="S119" s="62">
        <f ca="1">AVERAGE(OFFSET($R$3,0,0,'Données projet'!$E$9+1,1))-AVERAGE(OFFSET($H$3,0,0,'Données projet'!$E$9+1,1))</f>
        <v>183.65324264438817</v>
      </c>
      <c r="T119" s="62">
        <f t="shared" si="88"/>
        <v>208.38613882433765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47.400692831983839</v>
      </c>
      <c r="AA119" s="23">
        <f>EXP(-LN(2)/25)*AA118+(1-EXP(-LN(2)/25))/(LN(2)/25)*Calculateur!V119*Calculateur!X119*VLOOKUP('Données projet'!$B$9,Paramètres!$A$1:$I$89,3,0)*0.475*44/12</f>
        <v>3.6460093853971771</v>
      </c>
      <c r="AB119" s="23">
        <f>EXP(-LN(2)/2)*AB118+(1-EXP(-LN(2)/2))/(LN(2)/2)*V119*Y119*VLOOKUP('Données projet'!$B$9,Paramètres!$A$1:$I$89,3,0)*0.475*44/12</f>
        <v>3.9980478440087302E-8</v>
      </c>
      <c r="AC119" s="24">
        <f t="shared" si="57"/>
        <v>51.046702257361495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2.8421709430404007E-14</v>
      </c>
      <c r="AJ119" s="14">
        <f>AI119*VLOOKUP('Données projet'!$B$10,Paramètres!$A$1:$I$89,3,0)*VLOOKUP('Données projet'!$B$10,Paramètres!$A$1:$I$89,5,0)</f>
        <v>2.4829205358400945E-14</v>
      </c>
      <c r="AK119" s="14">
        <f t="shared" si="89"/>
        <v>4.3867331143352915E-13</v>
      </c>
      <c r="AL119" s="22">
        <f t="shared" si="58"/>
        <v>8.0726688341261168E-13</v>
      </c>
      <c r="AM119" s="62">
        <f t="shared" si="59"/>
        <v>293.33333333333411</v>
      </c>
      <c r="AN119" s="62">
        <f ca="1">AVERAGE(OFFSET($AM$3,0,0,'Données projet'!$E$10+1,1))-AVERAGE(OFFSET($H$3,0,0,'Données projet'!$E$10+1,1))</f>
        <v>195.53935591077345</v>
      </c>
      <c r="AO119" s="62">
        <f t="shared" si="90"/>
        <v>189.8782192260071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53.902133840697694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53.902133840697694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66.924000000000134</v>
      </c>
      <c r="D120" s="12">
        <f t="shared" si="86"/>
        <v>18.907592047867702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662.55965791336587</v>
      </c>
      <c r="H120" s="70">
        <f t="shared" si="56"/>
        <v>442.82335615003649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1.7053025658242404E-13</v>
      </c>
      <c r="O120" s="14">
        <f>N120*VLOOKUP('Données projet'!$B$9,Paramètres!$A$1:$I$89,3,0)*VLOOKUP('Données projet'!$B$9,Paramètres!$A$1:$I$89,5,0)</f>
        <v>1.0197709343628959E-13</v>
      </c>
      <c r="P120" s="14">
        <f t="shared" si="87"/>
        <v>1.5284983994279675E-12</v>
      </c>
      <c r="Q120" s="22">
        <f t="shared" si="107"/>
        <v>2.839744816738581E-12</v>
      </c>
      <c r="R120" s="62">
        <f t="shared" si="55"/>
        <v>293.33333333333616</v>
      </c>
      <c r="S120" s="62">
        <f ca="1">AVERAGE(OFFSET($R$3,0,0,'Données projet'!$E$9+1,1))-AVERAGE(OFFSET($H$3,0,0,'Données projet'!$E$9+1,1))</f>
        <v>183.65324264438817</v>
      </c>
      <c r="T120" s="62">
        <f t="shared" si="88"/>
        <v>208.38613882433765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46.471194157116486</v>
      </c>
      <c r="AA120" s="23">
        <f>EXP(-LN(2)/25)*AA119+(1-EXP(-LN(2)/25))/(LN(2)/25)*Calculateur!V120*Calculateur!X120*VLOOKUP('Données projet'!$B$9,Paramètres!$A$1:$I$89,3,0)*0.475*44/12</f>
        <v>3.5463090670181909</v>
      </c>
      <c r="AB120" s="23">
        <f>EXP(-LN(2)/2)*AB119+(1-EXP(-LN(2)/2))/(LN(2)/2)*V120*Y120*VLOOKUP('Données projet'!$B$9,Paramètres!$A$1:$I$89,3,0)*0.475*44/12</f>
        <v>2.8270467420068293E-8</v>
      </c>
      <c r="AC120" s="24">
        <f t="shared" si="57"/>
        <v>50.017503252405149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2.8421709430404007E-14</v>
      </c>
      <c r="AJ120" s="14">
        <f>AI120*VLOOKUP('Données projet'!$B$10,Paramètres!$A$1:$I$89,3,0)*VLOOKUP('Données projet'!$B$10,Paramètres!$A$1:$I$89,5,0)</f>
        <v>2.4829205358400945E-14</v>
      </c>
      <c r="AK120" s="14">
        <f t="shared" si="89"/>
        <v>4.3867331143352915E-13</v>
      </c>
      <c r="AL120" s="22">
        <f t="shared" si="58"/>
        <v>8.0726688341261168E-13</v>
      </c>
      <c r="AM120" s="62">
        <f t="shared" si="59"/>
        <v>293.33333333333411</v>
      </c>
      <c r="AN120" s="62">
        <f ca="1">AVERAGE(OFFSET($AM$3,0,0,'Données projet'!$E$10+1,1))-AVERAGE(OFFSET($H$3,0,0,'Données projet'!$E$10+1,1))</f>
        <v>195.53935591077345</v>
      </c>
      <c r="AO120" s="62">
        <f t="shared" si="90"/>
        <v>189.8782192260071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52.845145873136914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52.845145873136914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67.496000000000137</v>
      </c>
      <c r="D121" s="12">
        <f t="shared" si="86"/>
        <v>19.050313963345982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668.07680954161913</v>
      </c>
      <c r="H121" s="70">
        <f t="shared" si="56"/>
        <v>444.0681634861611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1.7053025658242404E-13</v>
      </c>
      <c r="O121" s="14">
        <f>N121*VLOOKUP('Données projet'!$B$9,Paramètres!$A$1:$I$89,3,0)*VLOOKUP('Données projet'!$B$9,Paramètres!$A$1:$I$89,5,0)</f>
        <v>1.0197709343628959E-13</v>
      </c>
      <c r="P121" s="14">
        <f t="shared" si="87"/>
        <v>1.5284983994279675E-12</v>
      </c>
      <c r="Q121" s="22">
        <f t="shared" si="107"/>
        <v>2.839744816738581E-12</v>
      </c>
      <c r="R121" s="62">
        <f t="shared" si="55"/>
        <v>293.33333333333616</v>
      </c>
      <c r="S121" s="62">
        <f ca="1">AVERAGE(OFFSET($R$3,0,0,'Données projet'!$E$9+1,1))-AVERAGE(OFFSET($H$3,0,0,'Données projet'!$E$9+1,1))</f>
        <v>183.65324264438817</v>
      </c>
      <c r="T121" s="62">
        <f t="shared" si="88"/>
        <v>208.38613882433765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45.55992238432507</v>
      </c>
      <c r="AA121" s="23">
        <f>EXP(-LN(2)/25)*AA120+(1-EXP(-LN(2)/25))/(LN(2)/25)*Calculateur!V121*Calculateur!X121*VLOOKUP('Données projet'!$B$9,Paramètres!$A$1:$I$89,3,0)*0.475*44/12</f>
        <v>3.4493350590882899</v>
      </c>
      <c r="AB121" s="23">
        <f>EXP(-LN(2)/2)*AB120+(1-EXP(-LN(2)/2))/(LN(2)/2)*V121*Y121*VLOOKUP('Données projet'!$B$9,Paramètres!$A$1:$I$89,3,0)*0.475*44/12</f>
        <v>1.9990239220043651E-8</v>
      </c>
      <c r="AC121" s="24">
        <f t="shared" si="57"/>
        <v>49.0092574634036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2.8421709430404007E-14</v>
      </c>
      <c r="AJ121" s="14">
        <f>AI121*VLOOKUP('Données projet'!$B$10,Paramètres!$A$1:$I$89,3,0)*VLOOKUP('Données projet'!$B$10,Paramètres!$A$1:$I$89,5,0)</f>
        <v>2.4829205358400945E-14</v>
      </c>
      <c r="AK121" s="14">
        <f t="shared" si="89"/>
        <v>4.3867331143352915E-13</v>
      </c>
      <c r="AL121" s="22">
        <f t="shared" si="58"/>
        <v>8.0726688341261168E-13</v>
      </c>
      <c r="AM121" s="62">
        <f t="shared" si="59"/>
        <v>293.33333333333411</v>
      </c>
      <c r="AN121" s="62">
        <f ca="1">AVERAGE(OFFSET($AM$3,0,0,'Données projet'!$E$10+1,1))-AVERAGE(OFFSET($H$3,0,0,'Données projet'!$E$10+1,1))</f>
        <v>195.53935591077345</v>
      </c>
      <c r="AO121" s="62">
        <f t="shared" si="90"/>
        <v>189.8782192260071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51.808884794920999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51.808884794920999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68.06800000000014</v>
      </c>
      <c r="D122" s="12">
        <f t="shared" si="86"/>
        <v>19.192895159755672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673.59287491741338</v>
      </c>
      <c r="H122" s="70">
        <f t="shared" si="56"/>
        <v>445.31272573657469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1.7053025658242404E-13</v>
      </c>
      <c r="O122" s="14">
        <f>N122*VLOOKUP('Données projet'!$B$9,Paramètres!$A$1:$I$89,3,0)*VLOOKUP('Données projet'!$B$9,Paramètres!$A$1:$I$89,5,0)</f>
        <v>1.0197709343628959E-13</v>
      </c>
      <c r="P122" s="14">
        <f t="shared" si="87"/>
        <v>1.5284983994279675E-12</v>
      </c>
      <c r="Q122" s="22">
        <f t="shared" si="107"/>
        <v>2.839744816738581E-12</v>
      </c>
      <c r="R122" s="62">
        <f t="shared" si="55"/>
        <v>293.33333333333616</v>
      </c>
      <c r="S122" s="62">
        <f ca="1">AVERAGE(OFFSET($R$3,0,0,'Données projet'!$E$9+1,1))-AVERAGE(OFFSET($H$3,0,0,'Données projet'!$E$9+1,1))</f>
        <v>183.65324264438817</v>
      </c>
      <c r="T122" s="62">
        <f t="shared" si="88"/>
        <v>208.38613882433765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44.666520095177191</v>
      </c>
      <c r="AA122" s="23">
        <f>EXP(-LN(2)/25)*AA121+(1-EXP(-LN(2)/25))/(LN(2)/25)*Calculateur!V122*Calculateur!X122*VLOOKUP('Données projet'!$B$9,Paramètres!$A$1:$I$89,3,0)*0.475*44/12</f>
        <v>3.3550128105048733</v>
      </c>
      <c r="AB122" s="23">
        <f>EXP(-LN(2)/2)*AB121+(1-EXP(-LN(2)/2))/(LN(2)/2)*V122*Y122*VLOOKUP('Données projet'!$B$9,Paramètres!$A$1:$I$89,3,0)*0.475*44/12</f>
        <v>1.4135233710034146E-8</v>
      </c>
      <c r="AC122" s="24">
        <f t="shared" si="57"/>
        <v>48.021532919817297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2.8421709430404007E-14</v>
      </c>
      <c r="AJ122" s="14">
        <f>AI122*VLOOKUP('Données projet'!$B$10,Paramètres!$A$1:$I$89,3,0)*VLOOKUP('Données projet'!$B$10,Paramètres!$A$1:$I$89,5,0)</f>
        <v>2.4829205358400945E-14</v>
      </c>
      <c r="AK122" s="14">
        <f t="shared" si="89"/>
        <v>4.3867331143352915E-13</v>
      </c>
      <c r="AL122" s="22">
        <f t="shared" si="58"/>
        <v>8.0726688341261168E-13</v>
      </c>
      <c r="AM122" s="62">
        <f t="shared" si="59"/>
        <v>293.33333333333411</v>
      </c>
      <c r="AN122" s="62">
        <f ca="1">AVERAGE(OFFSET($AM$3,0,0,'Données projet'!$E$10+1,1))-AVERAGE(OFFSET($H$3,0,0,'Données projet'!$E$10+1,1))</f>
        <v>195.53935591077345</v>
      </c>
      <c r="AO122" s="62">
        <f t="shared" si="90"/>
        <v>189.8782192260071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50.792944164392054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50.792944164392054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68.640000000000143</v>
      </c>
      <c r="D123" s="12">
        <f t="shared" si="86"/>
        <v>19.335336956640234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679.10786422669764</v>
      </c>
      <c r="H123" s="70">
        <f t="shared" si="56"/>
        <v>446.55704519948199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1.7053025658242404E-13</v>
      </c>
      <c r="O123" s="14">
        <f>N123*VLOOKUP('Données projet'!$B$9,Paramètres!$A$1:$I$89,3,0)*VLOOKUP('Données projet'!$B$9,Paramètres!$A$1:$I$89,5,0)</f>
        <v>1.0197709343628959E-13</v>
      </c>
      <c r="P123" s="14">
        <f t="shared" si="87"/>
        <v>1.5284983994279675E-12</v>
      </c>
      <c r="Q123" s="22">
        <f t="shared" si="107"/>
        <v>2.839744816738581E-12</v>
      </c>
      <c r="R123" s="62">
        <f t="shared" si="55"/>
        <v>293.33333333333616</v>
      </c>
      <c r="S123" s="62">
        <f ca="1">AVERAGE(OFFSET($R$3,0,0,'Données projet'!$E$9+1,1))-AVERAGE(OFFSET($H$3,0,0,'Données projet'!$E$9+1,1))</f>
        <v>183.65324264438817</v>
      </c>
      <c r="T123" s="62">
        <f t="shared" si="88"/>
        <v>208.38613882433765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43.790636879997912</v>
      </c>
      <c r="AA123" s="23">
        <f>EXP(-LN(2)/25)*AA122+(1-EXP(-LN(2)/25))/(LN(2)/25)*Calculateur!V123*Calculateur!X123*VLOOKUP('Données projet'!$B$9,Paramètres!$A$1:$I$89,3,0)*0.475*44/12</f>
        <v>3.2632698087691621</v>
      </c>
      <c r="AB123" s="23">
        <f>EXP(-LN(2)/2)*AB122+(1-EXP(-LN(2)/2))/(LN(2)/2)*V123*Y123*VLOOKUP('Données projet'!$B$9,Paramètres!$A$1:$I$89,3,0)*0.475*44/12</f>
        <v>9.9951196100218254E-9</v>
      </c>
      <c r="AC123" s="24">
        <f t="shared" si="57"/>
        <v>47.053906698762191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2.8421709430404007E-14</v>
      </c>
      <c r="AJ123" s="14">
        <f>AI123*VLOOKUP('Données projet'!$B$10,Paramètres!$A$1:$I$89,3,0)*VLOOKUP('Données projet'!$B$10,Paramètres!$A$1:$I$89,5,0)</f>
        <v>2.4829205358400945E-14</v>
      </c>
      <c r="AK123" s="14">
        <f t="shared" si="89"/>
        <v>4.3867331143352915E-13</v>
      </c>
      <c r="AL123" s="22">
        <f t="shared" si="58"/>
        <v>8.0726688341261168E-13</v>
      </c>
      <c r="AM123" s="62">
        <f t="shared" si="59"/>
        <v>293.33333333333411</v>
      </c>
      <c r="AN123" s="62">
        <f ca="1">AVERAGE(OFFSET($AM$3,0,0,'Données projet'!$E$10+1,1))-AVERAGE(OFFSET($H$3,0,0,'Données projet'!$E$10+1,1))</f>
        <v>195.53935591077345</v>
      </c>
      <c r="AO123" s="62">
        <f t="shared" si="90"/>
        <v>189.8782192260071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49.796925509965185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49.796925509965185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69.212000000000145</v>
      </c>
      <c r="D124" s="12">
        <f t="shared" si="86"/>
        <v>19.477640650281256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684.62178747585642</v>
      </c>
      <c r="H124" s="70">
        <f t="shared" si="56"/>
        <v>447.80112413257342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1.7053025658242404E-13</v>
      </c>
      <c r="O124" s="14">
        <f>N124*VLOOKUP('Données projet'!$B$9,Paramètres!$A$1:$I$89,3,0)*VLOOKUP('Données projet'!$B$9,Paramètres!$A$1:$I$89,5,0)</f>
        <v>1.0197709343628959E-13</v>
      </c>
      <c r="P124" s="14">
        <f t="shared" si="87"/>
        <v>1.5284983994279675E-12</v>
      </c>
      <c r="Q124" s="22">
        <f t="shared" si="107"/>
        <v>2.839744816738581E-12</v>
      </c>
      <c r="R124" s="62">
        <f t="shared" si="55"/>
        <v>293.33333333333616</v>
      </c>
      <c r="S124" s="62">
        <f ca="1">AVERAGE(OFFSET($R$3,0,0,'Données projet'!$E$9+1,1))-AVERAGE(OFFSET($H$3,0,0,'Données projet'!$E$9+1,1))</f>
        <v>183.65324264438817</v>
      </c>
      <c r="T124" s="62">
        <f t="shared" si="88"/>
        <v>208.38613882433765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42.931929200432293</v>
      </c>
      <c r="AA124" s="23">
        <f>EXP(-LN(2)/25)*AA123+(1-EXP(-LN(2)/25))/(LN(2)/25)*Calculateur!V124*Calculateur!X124*VLOOKUP('Données projet'!$B$9,Paramètres!$A$1:$I$89,3,0)*0.475*44/12</f>
        <v>3.1740355242404683</v>
      </c>
      <c r="AB124" s="23">
        <f>EXP(-LN(2)/2)*AB123+(1-EXP(-LN(2)/2))/(LN(2)/2)*V124*Y124*VLOOKUP('Données projet'!$B$9,Paramètres!$A$1:$I$89,3,0)*0.475*44/12</f>
        <v>7.0676168550170732E-9</v>
      </c>
      <c r="AC124" s="24">
        <f t="shared" si="57"/>
        <v>46.105964731740379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2.8421709430404007E-14</v>
      </c>
      <c r="AJ124" s="14">
        <f>AI124*VLOOKUP('Données projet'!$B$10,Paramètres!$A$1:$I$89,3,0)*VLOOKUP('Données projet'!$B$10,Paramètres!$A$1:$I$89,5,0)</f>
        <v>2.4829205358400945E-14</v>
      </c>
      <c r="AK124" s="14">
        <f t="shared" si="89"/>
        <v>4.3867331143352915E-13</v>
      </c>
      <c r="AL124" s="22">
        <f t="shared" si="58"/>
        <v>8.0726688341261168E-13</v>
      </c>
      <c r="AM124" s="62">
        <f t="shared" si="59"/>
        <v>293.33333333333411</v>
      </c>
      <c r="AN124" s="62">
        <f ca="1">AVERAGE(OFFSET($AM$3,0,0,'Données projet'!$E$10+1,1))-AVERAGE(OFFSET($H$3,0,0,'Données projet'!$E$10+1,1))</f>
        <v>195.53935591077345</v>
      </c>
      <c r="AO124" s="62">
        <f t="shared" si="90"/>
        <v>189.8782192260071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48.82043817384023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48.82043817384023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69.784000000000148</v>
      </c>
      <c r="D125" s="12">
        <f t="shared" si="86"/>
        <v>19.619807514297289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690.13465449633111</v>
      </c>
      <c r="H125" s="70">
        <f t="shared" si="56"/>
        <v>449.04496475406802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1.7053025658242404E-13</v>
      </c>
      <c r="O125" s="14">
        <f>N125*VLOOKUP('Données projet'!$B$9,Paramètres!$A$1:$I$89,3,0)*VLOOKUP('Données projet'!$B$9,Paramètres!$A$1:$I$89,5,0)</f>
        <v>1.0197709343628959E-13</v>
      </c>
      <c r="P125" s="14">
        <f t="shared" si="87"/>
        <v>1.5284983994279675E-12</v>
      </c>
      <c r="Q125" s="22">
        <f t="shared" si="107"/>
        <v>2.839744816738581E-12</v>
      </c>
      <c r="R125" s="62">
        <f t="shared" si="55"/>
        <v>293.33333333333616</v>
      </c>
      <c r="S125" s="62">
        <f ca="1">AVERAGE(OFFSET($R$3,0,0,'Données projet'!$E$9+1,1))-AVERAGE(OFFSET($H$3,0,0,'Données projet'!$E$9+1,1))</f>
        <v>183.65324264438817</v>
      </c>
      <c r="T125" s="62">
        <f t="shared" si="88"/>
        <v>208.38613882433765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42.090060254702983</v>
      </c>
      <c r="AA125" s="23">
        <f>EXP(-LN(2)/25)*AA124+(1-EXP(-LN(2)/25))/(LN(2)/25)*Calculateur!V125*Calculateur!X125*VLOOKUP('Données projet'!$B$9,Paramètres!$A$1:$I$89,3,0)*0.475*44/12</f>
        <v>3.0872413559148391</v>
      </c>
      <c r="AB125" s="23">
        <f>EXP(-LN(2)/2)*AB124+(1-EXP(-LN(2)/2))/(LN(2)/2)*V125*Y125*VLOOKUP('Données projet'!$B$9,Paramètres!$A$1:$I$89,3,0)*0.475*44/12</f>
        <v>4.9975598050109127E-9</v>
      </c>
      <c r="AC125" s="24">
        <f t="shared" si="57"/>
        <v>45.177301615615384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2.8421709430404007E-14</v>
      </c>
      <c r="AJ125" s="14">
        <f>AI125*VLOOKUP('Données projet'!$B$10,Paramètres!$A$1:$I$89,3,0)*VLOOKUP('Données projet'!$B$10,Paramètres!$A$1:$I$89,5,0)</f>
        <v>2.4829205358400945E-14</v>
      </c>
      <c r="AK125" s="14">
        <f t="shared" si="89"/>
        <v>4.3867331143352915E-13</v>
      </c>
      <c r="AL125" s="22">
        <f t="shared" si="58"/>
        <v>8.0726688341261168E-13</v>
      </c>
      <c r="AM125" s="62">
        <f t="shared" si="59"/>
        <v>293.33333333333411</v>
      </c>
      <c r="AN125" s="62">
        <f ca="1">AVERAGE(OFFSET($AM$3,0,0,'Données projet'!$E$10+1,1))-AVERAGE(OFFSET($H$3,0,0,'Données projet'!$E$10+1,1))</f>
        <v>195.53935591077345</v>
      </c>
      <c r="AO125" s="62">
        <f t="shared" si="90"/>
        <v>189.8782192260071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47.863099158778226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47.863099158778226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70.356000000000151</v>
      </c>
      <c r="D126" s="12">
        <f t="shared" si="86"/>
        <v>19.761838800222598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695.64647494908797</v>
      </c>
      <c r="H126" s="70">
        <f t="shared" si="56"/>
        <v>450.28856924372127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1.7053025658242404E-13</v>
      </c>
      <c r="O126" s="14">
        <f>N126*VLOOKUP('Données projet'!$B$9,Paramètres!$A$1:$I$89,3,0)*VLOOKUP('Données projet'!$B$9,Paramètres!$A$1:$I$89,5,0)</f>
        <v>1.0197709343628959E-13</v>
      </c>
      <c r="P126" s="14">
        <f t="shared" si="87"/>
        <v>1.5284983994279675E-12</v>
      </c>
      <c r="Q126" s="22">
        <f t="shared" si="107"/>
        <v>2.839744816738581E-12</v>
      </c>
      <c r="R126" s="62">
        <f t="shared" si="55"/>
        <v>293.33333333333616</v>
      </c>
      <c r="S126" s="62">
        <f ca="1">AVERAGE(OFFSET($R$3,0,0,'Données projet'!$E$9+1,1))-AVERAGE(OFFSET($H$3,0,0,'Données projet'!$E$9+1,1))</f>
        <v>183.65324264438817</v>
      </c>
      <c r="T126" s="62">
        <f t="shared" si="88"/>
        <v>208.38613882433765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41.264699845510073</v>
      </c>
      <c r="AA126" s="23">
        <f>EXP(-LN(2)/25)*AA125+(1-EXP(-LN(2)/25))/(LN(2)/25)*Calculateur!V126*Calculateur!X126*VLOOKUP('Données projet'!$B$9,Paramètres!$A$1:$I$89,3,0)*0.475*44/12</f>
        <v>3.0028205786863809</v>
      </c>
      <c r="AB126" s="23">
        <f>EXP(-LN(2)/2)*AB125+(1-EXP(-LN(2)/2))/(LN(2)/2)*V126*Y126*VLOOKUP('Données projet'!$B$9,Paramètres!$A$1:$I$89,3,0)*0.475*44/12</f>
        <v>3.5338084275085366E-9</v>
      </c>
      <c r="AC126" s="24">
        <f t="shared" si="57"/>
        <v>44.267520427730261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2.8421709430404007E-14</v>
      </c>
      <c r="AJ126" s="14">
        <f>AI126*VLOOKUP('Données projet'!$B$10,Paramètres!$A$1:$I$89,3,0)*VLOOKUP('Données projet'!$B$10,Paramètres!$A$1:$I$89,5,0)</f>
        <v>2.4829205358400945E-14</v>
      </c>
      <c r="AK126" s="14">
        <f t="shared" si="89"/>
        <v>4.3867331143352915E-13</v>
      </c>
      <c r="AL126" s="22">
        <f t="shared" si="58"/>
        <v>8.0726688341261168E-13</v>
      </c>
      <c r="AM126" s="62">
        <f t="shared" si="59"/>
        <v>293.33333333333411</v>
      </c>
      <c r="AN126" s="62">
        <f ca="1">AVERAGE(OFFSET($AM$3,0,0,'Données projet'!$E$10+1,1))-AVERAGE(OFFSET($H$3,0,0,'Données projet'!$E$10+1,1))</f>
        <v>195.53935591077345</v>
      </c>
      <c r="AO126" s="62">
        <f t="shared" si="90"/>
        <v>189.8782192260071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46.924532977882443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46.924532977882443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70.928000000000154</v>
      </c>
      <c r="D127" s="12">
        <f t="shared" si="86"/>
        <v>19.903735738066327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701.1572583289344</v>
      </c>
      <c r="H127" s="70">
        <f t="shared" si="56"/>
        <v>451.53193974379911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1.7053025658242404E-13</v>
      </c>
      <c r="O127" s="14">
        <f>N127*VLOOKUP('Données projet'!$B$9,Paramètres!$A$1:$I$89,3,0)*VLOOKUP('Données projet'!$B$9,Paramètres!$A$1:$I$89,5,0)</f>
        <v>1.0197709343628959E-13</v>
      </c>
      <c r="P127" s="14">
        <f t="shared" si="87"/>
        <v>1.5284983994279675E-12</v>
      </c>
      <c r="Q127" s="22">
        <f t="shared" si="107"/>
        <v>2.839744816738581E-12</v>
      </c>
      <c r="R127" s="62">
        <f t="shared" si="55"/>
        <v>293.33333333333616</v>
      </c>
      <c r="S127" s="62">
        <f ca="1">AVERAGE(OFFSET($R$3,0,0,'Données projet'!$E$9+1,1))-AVERAGE(OFFSET($H$3,0,0,'Données projet'!$E$9+1,1))</f>
        <v>183.65324264438817</v>
      </c>
      <c r="T127" s="62">
        <f t="shared" si="88"/>
        <v>208.38613882433765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40.455524250521293</v>
      </c>
      <c r="AA127" s="23">
        <f>EXP(-LN(2)/25)*AA126+(1-EXP(-LN(2)/25))/(LN(2)/25)*Calculateur!V127*Calculateur!X127*VLOOKUP('Données projet'!$B$9,Paramètres!$A$1:$I$89,3,0)*0.475*44/12</f>
        <v>2.9207082920507306</v>
      </c>
      <c r="AB127" s="23">
        <f>EXP(-LN(2)/2)*AB126+(1-EXP(-LN(2)/2))/(LN(2)/2)*V127*Y127*VLOOKUP('Données projet'!$B$9,Paramètres!$A$1:$I$89,3,0)*0.475*44/12</f>
        <v>2.4987799025054564E-9</v>
      </c>
      <c r="AC127" s="24">
        <f t="shared" si="57"/>
        <v>43.376232545070806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2.8421709430404007E-14</v>
      </c>
      <c r="AJ127" s="14">
        <f>AI127*VLOOKUP('Données projet'!$B$10,Paramètres!$A$1:$I$89,3,0)*VLOOKUP('Données projet'!$B$10,Paramètres!$A$1:$I$89,5,0)</f>
        <v>2.4829205358400945E-14</v>
      </c>
      <c r="AK127" s="14">
        <f t="shared" si="89"/>
        <v>4.3867331143352915E-13</v>
      </c>
      <c r="AL127" s="22">
        <f t="shared" si="58"/>
        <v>8.0726688341261168E-13</v>
      </c>
      <c r="AM127" s="62">
        <f t="shared" si="59"/>
        <v>293.33333333333411</v>
      </c>
      <c r="AN127" s="62">
        <f ca="1">AVERAGE(OFFSET($AM$3,0,0,'Données projet'!$E$10+1,1))-AVERAGE(OFFSET($H$3,0,0,'Données projet'!$E$10+1,1))</f>
        <v>195.53935591077345</v>
      </c>
      <c r="AO127" s="62">
        <f t="shared" si="90"/>
        <v>189.8782192260071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46.004371507325182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46.004371507325182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71.500000000000156</v>
      </c>
      <c r="D128" s="12">
        <f t="shared" si="86"/>
        <v>20.045499536853402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706.66701396869405</v>
      </c>
      <c r="H128" s="70">
        <f t="shared" si="56"/>
        <v>452.7750783600199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1.7053025658242404E-13</v>
      </c>
      <c r="O128" s="14">
        <f>N128*VLOOKUP('Données projet'!$B$9,Paramètres!$A$1:$I$89,3,0)*VLOOKUP('Données projet'!$B$9,Paramètres!$A$1:$I$89,5,0)</f>
        <v>1.0197709343628959E-13</v>
      </c>
      <c r="P128" s="14">
        <f t="shared" si="87"/>
        <v>1.5284983994279675E-12</v>
      </c>
      <c r="Q128" s="22">
        <f t="shared" si="107"/>
        <v>2.839744816738581E-12</v>
      </c>
      <c r="R128" s="62">
        <f t="shared" si="55"/>
        <v>293.33333333333616</v>
      </c>
      <c r="S128" s="62">
        <f ca="1">AVERAGE(OFFSET($R$3,0,0,'Données projet'!$E$9+1,1))-AVERAGE(OFFSET($H$3,0,0,'Données projet'!$E$9+1,1))</f>
        <v>183.65324264438817</v>
      </c>
      <c r="T128" s="62">
        <f t="shared" si="88"/>
        <v>208.38613882433765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39.662216095401867</v>
      </c>
      <c r="AA128" s="23">
        <f>EXP(-LN(2)/25)*AA127+(1-EXP(-LN(2)/25))/(LN(2)/25)*Calculateur!V128*Calculateur!X128*VLOOKUP('Données projet'!$B$9,Paramètres!$A$1:$I$89,3,0)*0.475*44/12</f>
        <v>2.8408413702112298</v>
      </c>
      <c r="AB128" s="23">
        <f>EXP(-LN(2)/2)*AB127+(1-EXP(-LN(2)/2))/(LN(2)/2)*V128*Y128*VLOOKUP('Données projet'!$B$9,Paramètres!$A$1:$I$89,3,0)*0.475*44/12</f>
        <v>1.7669042137542683E-9</v>
      </c>
      <c r="AC128" s="24">
        <f t="shared" si="57"/>
        <v>42.503057467380003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2.8421709430404007E-14</v>
      </c>
      <c r="AJ128" s="14">
        <f>AI128*VLOOKUP('Données projet'!$B$10,Paramètres!$A$1:$I$89,3,0)*VLOOKUP('Données projet'!$B$10,Paramètres!$A$1:$I$89,5,0)</f>
        <v>2.4829205358400945E-14</v>
      </c>
      <c r="AK128" s="14">
        <f t="shared" si="89"/>
        <v>4.3867331143352915E-13</v>
      </c>
      <c r="AL128" s="22">
        <f t="shared" si="58"/>
        <v>8.0726688341261168E-13</v>
      </c>
      <c r="AM128" s="62">
        <f t="shared" si="59"/>
        <v>293.33333333333411</v>
      </c>
      <c r="AN128" s="62">
        <f ca="1">AVERAGE(OFFSET($AM$3,0,0,'Données projet'!$E$10+1,1))-AVERAGE(OFFSET($H$3,0,0,'Données projet'!$E$10+1,1))</f>
        <v>195.53935591077345</v>
      </c>
      <c r="AO128" s="62">
        <f t="shared" si="90"/>
        <v>189.8782192260071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45.102253841962472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45.102253841962472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72.072000000000159</v>
      </c>
      <c r="D129" s="12">
        <f t="shared" si="86"/>
        <v>20.187131385147307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712.17575104324362</v>
      </c>
      <c r="H129" s="70">
        <f t="shared" si="56"/>
        <v>454.01798716246515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1.7053025658242404E-13</v>
      </c>
      <c r="O129" s="14">
        <f>N129*VLOOKUP('Données projet'!$B$9,Paramètres!$A$1:$I$89,3,0)*VLOOKUP('Données projet'!$B$9,Paramètres!$A$1:$I$89,5,0)</f>
        <v>1.0197709343628959E-13</v>
      </c>
      <c r="P129" s="14">
        <f t="shared" si="87"/>
        <v>1.5284983994279675E-12</v>
      </c>
      <c r="Q129" s="22">
        <f t="shared" si="107"/>
        <v>2.839744816738581E-12</v>
      </c>
      <c r="R129" s="62">
        <f t="shared" si="55"/>
        <v>293.33333333333616</v>
      </c>
      <c r="S129" s="62">
        <f ca="1">AVERAGE(OFFSET($R$3,0,0,'Données projet'!$E$9+1,1))-AVERAGE(OFFSET($H$3,0,0,'Données projet'!$E$9+1,1))</f>
        <v>183.65324264438817</v>
      </c>
      <c r="T129" s="62">
        <f t="shared" si="88"/>
        <v>208.38613882433765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38.884464229334135</v>
      </c>
      <c r="AA129" s="23">
        <f>EXP(-LN(2)/25)*AA128+(1-EXP(-LN(2)/25))/(LN(2)/25)*Calculateur!V129*Calculateur!X129*VLOOKUP('Données projet'!$B$9,Paramètres!$A$1:$I$89,3,0)*0.475*44/12</f>
        <v>2.7631584135494491</v>
      </c>
      <c r="AB129" s="23">
        <f>EXP(-LN(2)/2)*AB128+(1-EXP(-LN(2)/2))/(LN(2)/2)*V129*Y129*VLOOKUP('Données projet'!$B$9,Paramètres!$A$1:$I$89,3,0)*0.475*44/12</f>
        <v>1.2493899512527282E-9</v>
      </c>
      <c r="AC129" s="24">
        <f t="shared" si="57"/>
        <v>41.647622644132973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2.8421709430404007E-14</v>
      </c>
      <c r="AJ129" s="14">
        <f>AI129*VLOOKUP('Données projet'!$B$10,Paramètres!$A$1:$I$89,3,0)*VLOOKUP('Données projet'!$B$10,Paramètres!$A$1:$I$89,5,0)</f>
        <v>2.4829205358400945E-14</v>
      </c>
      <c r="AK129" s="14">
        <f t="shared" si="89"/>
        <v>4.3867331143352915E-13</v>
      </c>
      <c r="AL129" s="22">
        <f t="shared" si="58"/>
        <v>8.0726688341261168E-13</v>
      </c>
      <c r="AM129" s="62">
        <f t="shared" si="59"/>
        <v>293.33333333333411</v>
      </c>
      <c r="AN129" s="62">
        <f ca="1">AVERAGE(OFFSET($AM$3,0,0,'Données projet'!$E$10+1,1))-AVERAGE(OFFSET($H$3,0,0,'Données projet'!$E$10+1,1))</f>
        <v>195.53935591077345</v>
      </c>
      <c r="AO129" s="62">
        <f t="shared" si="90"/>
        <v>189.8782192260071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44.217826153780081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44.217826153780081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72.644000000000162</v>
      </c>
      <c r="D130" s="12">
        <f t="shared" si="86"/>
        <v>20.328632451556075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717.68347857341666</v>
      </c>
      <c r="H130" s="70">
        <f t="shared" si="56"/>
        <v>455.26066818646041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1.7053025658242404E-13</v>
      </c>
      <c r="O130" s="14">
        <f>N130*VLOOKUP('Données projet'!$B$9,Paramètres!$A$1:$I$89,3,0)*VLOOKUP('Données projet'!$B$9,Paramètres!$A$1:$I$89,5,0)</f>
        <v>1.0197709343628959E-13</v>
      </c>
      <c r="P130" s="14">
        <f t="shared" si="87"/>
        <v>1.5284983994279675E-12</v>
      </c>
      <c r="Q130" s="22">
        <f t="shared" si="107"/>
        <v>2.839744816738581E-12</v>
      </c>
      <c r="R130" s="62">
        <f t="shared" si="55"/>
        <v>293.33333333333616</v>
      </c>
      <c r="S130" s="62">
        <f ca="1">AVERAGE(OFFSET($R$3,0,0,'Données projet'!$E$9+1,1))-AVERAGE(OFFSET($H$3,0,0,'Données projet'!$E$9+1,1))</f>
        <v>183.65324264438817</v>
      </c>
      <c r="T130" s="62">
        <f t="shared" si="88"/>
        <v>208.38613882433765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38.121963602978198</v>
      </c>
      <c r="AA130" s="23">
        <f>EXP(-LN(2)/25)*AA129+(1-EXP(-LN(2)/25))/(LN(2)/25)*Calculateur!V130*Calculateur!X130*VLOOKUP('Données projet'!$B$9,Paramètres!$A$1:$I$89,3,0)*0.475*44/12</f>
        <v>2.6875997014227537</v>
      </c>
      <c r="AB130" s="23">
        <f>EXP(-LN(2)/2)*AB129+(1-EXP(-LN(2)/2))/(LN(2)/2)*V130*Y130*VLOOKUP('Données projet'!$B$9,Paramètres!$A$1:$I$89,3,0)*0.475*44/12</f>
        <v>8.8345210687713415E-10</v>
      </c>
      <c r="AC130" s="24">
        <f t="shared" si="57"/>
        <v>40.809563305284406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2.8421709430404007E-14</v>
      </c>
      <c r="AJ130" s="14">
        <f>AI130*VLOOKUP('Données projet'!$B$10,Paramètres!$A$1:$I$89,3,0)*VLOOKUP('Données projet'!$B$10,Paramètres!$A$1:$I$89,5,0)</f>
        <v>2.4829205358400945E-14</v>
      </c>
      <c r="AK130" s="14">
        <f t="shared" si="89"/>
        <v>4.3867331143352915E-13</v>
      </c>
      <c r="AL130" s="22">
        <f t="shared" si="58"/>
        <v>8.0726688341261168E-13</v>
      </c>
      <c r="AM130" s="62">
        <f t="shared" si="59"/>
        <v>293.33333333333411</v>
      </c>
      <c r="AN130" s="62">
        <f ca="1">AVERAGE(OFFSET($AM$3,0,0,'Données projet'!$E$10+1,1))-AVERAGE(OFFSET($H$3,0,0,'Données projet'!$E$10+1,1))</f>
        <v>195.53935591077345</v>
      </c>
      <c r="AO130" s="62">
        <f t="shared" si="90"/>
        <v>189.8782192260071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43.35074155311532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43.35074155311532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73.216000000000165</v>
      </c>
      <c r="D131" s="12">
        <f t="shared" si="86"/>
        <v>20.47000388522174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723.19020542978308</v>
      </c>
      <c r="H131" s="70">
        <f t="shared" si="56"/>
        <v>456.50312343342813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1.7053025658242404E-13</v>
      </c>
      <c r="O131" s="14">
        <f>N131*VLOOKUP('Données projet'!$B$9,Paramètres!$A$1:$I$89,3,0)*VLOOKUP('Données projet'!$B$9,Paramètres!$A$1:$I$89,5,0)</f>
        <v>1.0197709343628959E-13</v>
      </c>
      <c r="P131" s="14">
        <f t="shared" si="87"/>
        <v>1.5284983994279675E-12</v>
      </c>
      <c r="Q131" s="22">
        <f t="shared" ref="Q131:Q153" si="108">(O131+P131)*0.475*44/12</f>
        <v>2.839744816738581E-12</v>
      </c>
      <c r="R131" s="62">
        <f t="shared" ref="R131:R194" si="109">Q131+(I131+J131)*44/12</f>
        <v>293.33333333333616</v>
      </c>
      <c r="S131" s="62">
        <f ca="1">AVERAGE(OFFSET($R$3,0,0,'Données projet'!$E$9+1,1))-AVERAGE(OFFSET($H$3,0,0,'Données projet'!$E$9+1,1))</f>
        <v>183.65324264438817</v>
      </c>
      <c r="T131" s="62">
        <f t="shared" si="88"/>
        <v>208.38613882433765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37.374415148825641</v>
      </c>
      <c r="AA131" s="23">
        <f>EXP(-LN(2)/25)*AA130+(1-EXP(-LN(2)/25))/(LN(2)/25)*Calculateur!V131*Calculateur!X131*VLOOKUP('Données projet'!$B$9,Paramètres!$A$1:$I$89,3,0)*0.475*44/12</f>
        <v>2.6141071462526226</v>
      </c>
      <c r="AB131" s="23">
        <f>EXP(-LN(2)/2)*AB130+(1-EXP(-LN(2)/2))/(LN(2)/2)*V131*Y131*VLOOKUP('Données projet'!$B$9,Paramètres!$A$1:$I$89,3,0)*0.475*44/12</f>
        <v>6.2469497562636409E-10</v>
      </c>
      <c r="AC131" s="24">
        <f t="shared" si="57"/>
        <v>39.988522295702957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2.8421709430404007E-14</v>
      </c>
      <c r="AJ131" s="14">
        <f>AI131*VLOOKUP('Données projet'!$B$10,Paramètres!$A$1:$I$89,3,0)*VLOOKUP('Données projet'!$B$10,Paramètres!$A$1:$I$89,5,0)</f>
        <v>2.4829205358400945E-14</v>
      </c>
      <c r="AK131" s="14">
        <f t="shared" si="89"/>
        <v>4.3867331143352915E-13</v>
      </c>
      <c r="AL131" s="22">
        <f t="shared" si="58"/>
        <v>8.0726688341261168E-13</v>
      </c>
      <c r="AM131" s="62">
        <f t="shared" si="59"/>
        <v>293.33333333333411</v>
      </c>
      <c r="AN131" s="62">
        <f ca="1">AVERAGE(OFFSET($AM$3,0,0,'Données projet'!$E$10+1,1))-AVERAGE(OFFSET($H$3,0,0,'Données projet'!$E$10+1,1))</f>
        <v>195.53935591077345</v>
      </c>
      <c r="AO131" s="62">
        <f t="shared" si="90"/>
        <v>189.8782192260071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42.500659952600209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42.500659952600209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73.788000000000167</v>
      </c>
      <c r="D132" s="12">
        <f t="shared" si="86"/>
        <v>20.611246816293985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728.69594033630574</v>
      </c>
      <c r="H132" s="70">
        <f t="shared" ref="H132:H195" si="110">(B132+E132+F132)*44/12+(C132+D132)*0.475*44/12</f>
        <v>457.74535487171227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1.7053025658242404E-13</v>
      </c>
      <c r="O132" s="14">
        <f>N132*VLOOKUP('Données projet'!$B$9,Paramètres!$A$1:$I$89,3,0)*VLOOKUP('Données projet'!$B$9,Paramètres!$A$1:$I$89,5,0)</f>
        <v>1.0197709343628959E-13</v>
      </c>
      <c r="P132" s="14">
        <f t="shared" si="87"/>
        <v>1.5284983994279675E-12</v>
      </c>
      <c r="Q132" s="22">
        <f t="shared" si="108"/>
        <v>2.839744816738581E-12</v>
      </c>
      <c r="R132" s="62">
        <f t="shared" si="109"/>
        <v>293.33333333333616</v>
      </c>
      <c r="S132" s="62">
        <f ca="1">AVERAGE(OFFSET($R$3,0,0,'Données projet'!$E$9+1,1))-AVERAGE(OFFSET($H$3,0,0,'Données projet'!$E$9+1,1))</f>
        <v>183.65324264438817</v>
      </c>
      <c r="T132" s="62">
        <f t="shared" si="88"/>
        <v>208.38613882433765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36.641525663899479</v>
      </c>
      <c r="AA132" s="23">
        <f>EXP(-LN(2)/25)*AA131+(1-EXP(-LN(2)/25))/(LN(2)/25)*Calculateur!V132*Calculateur!X132*VLOOKUP('Données projet'!$B$9,Paramètres!$A$1:$I$89,3,0)*0.475*44/12</f>
        <v>2.5426242488684245</v>
      </c>
      <c r="AB132" s="23">
        <f>EXP(-LN(2)/2)*AB131+(1-EXP(-LN(2)/2))/(LN(2)/2)*V132*Y132*VLOOKUP('Données projet'!$B$9,Paramètres!$A$1:$I$89,3,0)*0.475*44/12</f>
        <v>4.4172605343856708E-10</v>
      </c>
      <c r="AC132" s="24">
        <f t="shared" ref="AC132:AC153" si="111">SUM(Z132:AB132)</f>
        <v>39.18414991320963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2.8421709430404007E-14</v>
      </c>
      <c r="AJ132" s="14">
        <f>AI132*VLOOKUP('Données projet'!$B$10,Paramètres!$A$1:$I$89,3,0)*VLOOKUP('Données projet'!$B$10,Paramètres!$A$1:$I$89,5,0)</f>
        <v>2.4829205358400945E-14</v>
      </c>
      <c r="AK132" s="14">
        <f t="shared" si="89"/>
        <v>4.3867331143352915E-13</v>
      </c>
      <c r="AL132" s="22">
        <f t="shared" ref="AL132:AL153" si="112">(AJ132+AK132)*0.475*44/12</f>
        <v>8.0726688341261168E-13</v>
      </c>
      <c r="AM132" s="62">
        <f t="shared" ref="AM132:AM195" si="113">AL132+(AD132+AE132)*44/12</f>
        <v>293.33333333333411</v>
      </c>
      <c r="AN132" s="62">
        <f ca="1">AVERAGE(OFFSET($AM$3,0,0,'Données projet'!$E$10+1,1))-AVERAGE(OFFSET($H$3,0,0,'Données projet'!$E$10+1,1))</f>
        <v>195.53935591077345</v>
      </c>
      <c r="AO132" s="62">
        <f t="shared" si="90"/>
        <v>189.8782192260071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41.667247933772622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41.667247933772622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74.36000000000017</v>
      </c>
      <c r="D133" s="12">
        <f t="shared" ref="D133:D196" si="140">IFERROR(EXP(-1.0587+0.8836*LN(C133)+0.284),0)</f>
        <v>20.752362356388893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734.2006918738806</v>
      </c>
      <c r="H133" s="70">
        <f t="shared" si="110"/>
        <v>458.98736443737761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1.7053025658242404E-13</v>
      </c>
      <c r="O133" s="14">
        <f>N133*VLOOKUP('Données projet'!$B$9,Paramètres!$A$1:$I$89,3,0)*VLOOKUP('Données projet'!$B$9,Paramètres!$A$1:$I$89,5,0)</f>
        <v>1.0197709343628959E-13</v>
      </c>
      <c r="P133" s="14">
        <f t="shared" ref="P133:P196" si="141">EXP(-1.0587+0.8836*LN(O133)+0.284)</f>
        <v>1.5284983994279675E-12</v>
      </c>
      <c r="Q133" s="22">
        <f t="shared" si="108"/>
        <v>2.839744816738581E-12</v>
      </c>
      <c r="R133" s="62">
        <f t="shared" si="109"/>
        <v>293.33333333333616</v>
      </c>
      <c r="S133" s="62">
        <f ca="1">AVERAGE(OFFSET($R$3,0,0,'Données projet'!$E$9+1,1))-AVERAGE(OFFSET($H$3,0,0,'Données projet'!$E$9+1,1))</f>
        <v>183.65324264438817</v>
      </c>
      <c r="T133" s="62">
        <f t="shared" ref="T133:T196" si="142">$T$3</f>
        <v>208.38613882433765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35.923007694754276</v>
      </c>
      <c r="AA133" s="23">
        <f>EXP(-LN(2)/25)*AA132+(1-EXP(-LN(2)/25))/(LN(2)/25)*Calculateur!V133*Calculateur!X133*VLOOKUP('Données projet'!$B$9,Paramètres!$A$1:$I$89,3,0)*0.475*44/12</f>
        <v>2.4730960550723196</v>
      </c>
      <c r="AB133" s="23">
        <f>EXP(-LN(2)/2)*AB132+(1-EXP(-LN(2)/2))/(LN(2)/2)*V133*Y133*VLOOKUP('Données projet'!$B$9,Paramètres!$A$1:$I$89,3,0)*0.475*44/12</f>
        <v>3.1234748781318204E-10</v>
      </c>
      <c r="AC133" s="24">
        <f t="shared" si="111"/>
        <v>38.396103750138941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2.8421709430404007E-14</v>
      </c>
      <c r="AJ133" s="14">
        <f>AI133*VLOOKUP('Données projet'!$B$10,Paramètres!$A$1:$I$89,3,0)*VLOOKUP('Données projet'!$B$10,Paramètres!$A$1:$I$89,5,0)</f>
        <v>2.4829205358400945E-14</v>
      </c>
      <c r="AK133" s="14">
        <f t="shared" ref="AK133:AK153" si="143">EXP(-1.0587+0.8836*LN(AJ133)+0.284)</f>
        <v>4.3867331143352915E-13</v>
      </c>
      <c r="AL133" s="22">
        <f t="shared" si="112"/>
        <v>8.0726688341261168E-13</v>
      </c>
      <c r="AM133" s="62">
        <f t="shared" si="113"/>
        <v>293.33333333333411</v>
      </c>
      <c r="AN133" s="62">
        <f ca="1">AVERAGE(OFFSET($AM$3,0,0,'Données projet'!$E$10+1,1))-AVERAGE(OFFSET($H$3,0,0,'Données projet'!$E$10+1,1))</f>
        <v>195.53935591077345</v>
      </c>
      <c r="AO133" s="62">
        <f t="shared" ref="AO133:AO196" si="144">$AO$3</f>
        <v>189.8782192260071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40.850178616303104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40.850178616303104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74.932000000000173</v>
      </c>
      <c r="D134" s="12">
        <f t="shared" si="140"/>
        <v>20.893351599032989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739.70446848376469</v>
      </c>
      <c r="H134" s="70">
        <f t="shared" si="110"/>
        <v>460.22915403498268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1.7053025658242404E-13</v>
      </c>
      <c r="O134" s="14">
        <f>N134*VLOOKUP('Données projet'!$B$9,Paramètres!$A$1:$I$89,3,0)*VLOOKUP('Données projet'!$B$9,Paramètres!$A$1:$I$89,5,0)</f>
        <v>1.0197709343628959E-13</v>
      </c>
      <c r="P134" s="14">
        <f t="shared" si="141"/>
        <v>1.5284983994279675E-12</v>
      </c>
      <c r="Q134" s="22">
        <f t="shared" si="108"/>
        <v>2.839744816738581E-12</v>
      </c>
      <c r="R134" s="62">
        <f t="shared" si="109"/>
        <v>293.33333333333616</v>
      </c>
      <c r="S134" s="62">
        <f ca="1">AVERAGE(OFFSET($R$3,0,0,'Données projet'!$E$9+1,1))-AVERAGE(OFFSET($H$3,0,0,'Données projet'!$E$9+1,1))</f>
        <v>183.65324264438817</v>
      </c>
      <c r="T134" s="62">
        <f t="shared" si="142"/>
        <v>208.38613882433765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35.218579424731317</v>
      </c>
      <c r="AA134" s="23">
        <f>EXP(-LN(2)/25)*AA133+(1-EXP(-LN(2)/25))/(LN(2)/25)*Calculateur!V134*Calculateur!X134*VLOOKUP('Données projet'!$B$9,Paramètres!$A$1:$I$89,3,0)*0.475*44/12</f>
        <v>2.4054691133918977</v>
      </c>
      <c r="AB134" s="23">
        <f>EXP(-LN(2)/2)*AB133+(1-EXP(-LN(2)/2))/(LN(2)/2)*V134*Y134*VLOOKUP('Données projet'!$B$9,Paramètres!$A$1:$I$89,3,0)*0.475*44/12</f>
        <v>2.2086302671928354E-10</v>
      </c>
      <c r="AC134" s="24">
        <f t="shared" si="111"/>
        <v>37.624048538344077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2.8421709430404007E-14</v>
      </c>
      <c r="AJ134" s="14">
        <f>AI134*VLOOKUP('Données projet'!$B$10,Paramètres!$A$1:$I$89,3,0)*VLOOKUP('Données projet'!$B$10,Paramètres!$A$1:$I$89,5,0)</f>
        <v>2.4829205358400945E-14</v>
      </c>
      <c r="AK134" s="14">
        <f t="shared" si="143"/>
        <v>4.3867331143352915E-13</v>
      </c>
      <c r="AL134" s="22">
        <f t="shared" si="112"/>
        <v>8.0726688341261168E-13</v>
      </c>
      <c r="AM134" s="62">
        <f t="shared" si="113"/>
        <v>293.33333333333411</v>
      </c>
      <c r="AN134" s="62">
        <f ca="1">AVERAGE(OFFSET($AM$3,0,0,'Données projet'!$E$10+1,1))-AVERAGE(OFFSET($H$3,0,0,'Données projet'!$E$10+1,1))</f>
        <v>195.53935591077345</v>
      </c>
      <c r="AO134" s="62">
        <f t="shared" si="144"/>
        <v>189.8782192260071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40.049131529786088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40.049131529786088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75.504000000000175</v>
      </c>
      <c r="D135" s="12">
        <f t="shared" si="140"/>
        <v>21.034215620093455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745.20727847089836</v>
      </c>
      <c r="H135" s="70">
        <f t="shared" si="110"/>
        <v>461.4707255383297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1.7053025658242404E-13</v>
      </c>
      <c r="O135" s="14">
        <f>N135*VLOOKUP('Données projet'!$B$9,Paramètres!$A$1:$I$89,3,0)*VLOOKUP('Données projet'!$B$9,Paramètres!$A$1:$I$89,5,0)</f>
        <v>1.0197709343628959E-13</v>
      </c>
      <c r="P135" s="14">
        <f t="shared" si="141"/>
        <v>1.5284983994279675E-12</v>
      </c>
      <c r="Q135" s="22">
        <f t="shared" si="108"/>
        <v>2.839744816738581E-12</v>
      </c>
      <c r="R135" s="62">
        <f t="shared" si="109"/>
        <v>293.33333333333616</v>
      </c>
      <c r="S135" s="62">
        <f ca="1">AVERAGE(OFFSET($R$3,0,0,'Données projet'!$E$9+1,1))-AVERAGE(OFFSET($H$3,0,0,'Données projet'!$E$9+1,1))</f>
        <v>183.65324264438817</v>
      </c>
      <c r="T135" s="62">
        <f t="shared" si="142"/>
        <v>208.38613882433765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34.527964563424689</v>
      </c>
      <c r="AA135" s="23">
        <f>EXP(-LN(2)/25)*AA134+(1-EXP(-LN(2)/25))/(LN(2)/25)*Calculateur!V135*Calculateur!X135*VLOOKUP('Données projet'!$B$9,Paramètres!$A$1:$I$89,3,0)*0.475*44/12</f>
        <v>2.3396914339880732</v>
      </c>
      <c r="AB135" s="23">
        <f>EXP(-LN(2)/2)*AB134+(1-EXP(-LN(2)/2))/(LN(2)/2)*V135*Y135*VLOOKUP('Données projet'!$B$9,Paramètres!$A$1:$I$89,3,0)*0.475*44/12</f>
        <v>1.5617374390659102E-10</v>
      </c>
      <c r="AC135" s="24">
        <f t="shared" si="111"/>
        <v>36.867655997568939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2.8421709430404007E-14</v>
      </c>
      <c r="AJ135" s="14">
        <f>AI135*VLOOKUP('Données projet'!$B$10,Paramètres!$A$1:$I$89,3,0)*VLOOKUP('Données projet'!$B$10,Paramètres!$A$1:$I$89,5,0)</f>
        <v>2.4829205358400945E-14</v>
      </c>
      <c r="AK135" s="14">
        <f t="shared" si="143"/>
        <v>4.3867331143352915E-13</v>
      </c>
      <c r="AL135" s="22">
        <f t="shared" si="112"/>
        <v>8.0726688341261168E-13</v>
      </c>
      <c r="AM135" s="62">
        <f t="shared" si="113"/>
        <v>293.33333333333411</v>
      </c>
      <c r="AN135" s="62">
        <f ca="1">AVERAGE(OFFSET($AM$3,0,0,'Données projet'!$E$10+1,1))-AVERAGE(OFFSET($H$3,0,0,'Données projet'!$E$10+1,1))</f>
        <v>195.53935591077345</v>
      </c>
      <c r="AO135" s="62">
        <f t="shared" si="144"/>
        <v>189.8782192260071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39.263792488045198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39.263792488045198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76.076000000000178</v>
      </c>
      <c r="D136" s="12">
        <f t="shared" si="140"/>
        <v>21.174955478194793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750.70913000711914</v>
      </c>
      <c r="H136" s="70">
        <f t="shared" si="110"/>
        <v>462.71208079118958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1.7053025658242404E-13</v>
      </c>
      <c r="O136" s="14">
        <f>N136*VLOOKUP('Données projet'!$B$9,Paramètres!$A$1:$I$89,3,0)*VLOOKUP('Données projet'!$B$9,Paramètres!$A$1:$I$89,5,0)</f>
        <v>1.0197709343628959E-13</v>
      </c>
      <c r="P136" s="14">
        <f t="shared" si="141"/>
        <v>1.5284983994279675E-12</v>
      </c>
      <c r="Q136" s="22">
        <f t="shared" si="108"/>
        <v>2.839744816738581E-12</v>
      </c>
      <c r="R136" s="62">
        <f t="shared" si="109"/>
        <v>293.33333333333616</v>
      </c>
      <c r="S136" s="62">
        <f ca="1">AVERAGE(OFFSET($R$3,0,0,'Données projet'!$E$9+1,1))-AVERAGE(OFFSET($H$3,0,0,'Données projet'!$E$9+1,1))</f>
        <v>183.65324264438817</v>
      </c>
      <c r="T136" s="62">
        <f t="shared" si="142"/>
        <v>208.38613882433765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33.850892238314813</v>
      </c>
      <c r="AA136" s="23">
        <f>EXP(-LN(2)/25)*AA135+(1-EXP(-LN(2)/25))/(LN(2)/25)*Calculateur!V136*Calculateur!X136*VLOOKUP('Données projet'!$B$9,Paramètres!$A$1:$I$89,3,0)*0.475*44/12</f>
        <v>2.2757124486866442</v>
      </c>
      <c r="AB136" s="23">
        <f>EXP(-LN(2)/2)*AB135+(1-EXP(-LN(2)/2))/(LN(2)/2)*V136*Y136*VLOOKUP('Données projet'!$B$9,Paramètres!$A$1:$I$89,3,0)*0.475*44/12</f>
        <v>1.1043151335964177E-10</v>
      </c>
      <c r="AC136" s="24">
        <f t="shared" si="111"/>
        <v>36.126604687111893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2.8421709430404007E-14</v>
      </c>
      <c r="AJ136" s="14">
        <f>AI136*VLOOKUP('Données projet'!$B$10,Paramètres!$A$1:$I$89,3,0)*VLOOKUP('Données projet'!$B$10,Paramètres!$A$1:$I$89,5,0)</f>
        <v>2.4829205358400945E-14</v>
      </c>
      <c r="AK136" s="14">
        <f t="shared" si="143"/>
        <v>4.3867331143352915E-13</v>
      </c>
      <c r="AL136" s="22">
        <f t="shared" si="112"/>
        <v>8.0726688341261168E-13</v>
      </c>
      <c r="AM136" s="62">
        <f t="shared" si="113"/>
        <v>293.33333333333411</v>
      </c>
      <c r="AN136" s="62">
        <f ca="1">AVERAGE(OFFSET($AM$3,0,0,'Données projet'!$E$10+1,1))-AVERAGE(OFFSET($H$3,0,0,'Données projet'!$E$10+1,1))</f>
        <v>195.53935591077345</v>
      </c>
      <c r="AO136" s="62">
        <f t="shared" si="144"/>
        <v>189.8782192260071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38.493853465903328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38.493853465903328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76.648000000000181</v>
      </c>
      <c r="D137" s="12">
        <f t="shared" si="140"/>
        <v>21.315572215122796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756.21003113428276</v>
      </c>
      <c r="H137" s="70">
        <f t="shared" si="110"/>
        <v>463.95322160800583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1.7053025658242404E-13</v>
      </c>
      <c r="O137" s="14">
        <f>N137*VLOOKUP('Données projet'!$B$9,Paramètres!$A$1:$I$89,3,0)*VLOOKUP('Données projet'!$B$9,Paramètres!$A$1:$I$89,5,0)</f>
        <v>1.0197709343628959E-13</v>
      </c>
      <c r="P137" s="14">
        <f t="shared" si="141"/>
        <v>1.5284983994279675E-12</v>
      </c>
      <c r="Q137" s="22">
        <f t="shared" si="108"/>
        <v>2.839744816738581E-12</v>
      </c>
      <c r="R137" s="62">
        <f t="shared" si="109"/>
        <v>293.33333333333616</v>
      </c>
      <c r="S137" s="62">
        <f ca="1">AVERAGE(OFFSET($R$3,0,0,'Données projet'!$E$9+1,1))-AVERAGE(OFFSET($H$3,0,0,'Données projet'!$E$9+1,1))</f>
        <v>183.65324264438817</v>
      </c>
      <c r="T137" s="62">
        <f t="shared" si="142"/>
        <v>208.38613882433765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33.187096888527002</v>
      </c>
      <c r="AA137" s="23">
        <f>EXP(-LN(2)/25)*AA136+(1-EXP(-LN(2)/25))/(LN(2)/25)*Calculateur!V137*Calculateur!X137*VLOOKUP('Données projet'!$B$9,Paramètres!$A$1:$I$89,3,0)*0.475*44/12</f>
        <v>2.2134829721027915</v>
      </c>
      <c r="AB137" s="23">
        <f>EXP(-LN(2)/2)*AB136+(1-EXP(-LN(2)/2))/(LN(2)/2)*V137*Y137*VLOOKUP('Données projet'!$B$9,Paramètres!$A$1:$I$89,3,0)*0.475*44/12</f>
        <v>7.8086871953295511E-11</v>
      </c>
      <c r="AC137" s="24">
        <f t="shared" si="111"/>
        <v>35.400579860707879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2.8421709430404007E-14</v>
      </c>
      <c r="AJ137" s="14">
        <f>AI137*VLOOKUP('Données projet'!$B$10,Paramètres!$A$1:$I$89,3,0)*VLOOKUP('Données projet'!$B$10,Paramètres!$A$1:$I$89,5,0)</f>
        <v>2.4829205358400945E-14</v>
      </c>
      <c r="AK137" s="14">
        <f t="shared" si="143"/>
        <v>4.3867331143352915E-13</v>
      </c>
      <c r="AL137" s="22">
        <f t="shared" si="112"/>
        <v>8.0726688341261168E-13</v>
      </c>
      <c r="AM137" s="62">
        <f t="shared" si="113"/>
        <v>293.33333333333411</v>
      </c>
      <c r="AN137" s="62">
        <f ca="1">AVERAGE(OFFSET($AM$3,0,0,'Données projet'!$E$10+1,1))-AVERAGE(OFFSET($H$3,0,0,'Données projet'!$E$10+1,1))</f>
        <v>195.53935591077345</v>
      </c>
      <c r="AO137" s="62">
        <f t="shared" si="144"/>
        <v>189.8782192260071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37.739012478369226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37.739012478369226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77.220000000000184</v>
      </c>
      <c r="D138" s="12">
        <f t="shared" si="140"/>
        <v>21.456066856215912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761.70998976728208</v>
      </c>
      <c r="H138" s="70">
        <f t="shared" si="110"/>
        <v>465.19414977457632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1.7053025658242404E-13</v>
      </c>
      <c r="O138" s="14">
        <f>N138*VLOOKUP('Données projet'!$B$9,Paramètres!$A$1:$I$89,3,0)*VLOOKUP('Données projet'!$B$9,Paramètres!$A$1:$I$89,5,0)</f>
        <v>1.0197709343628959E-13</v>
      </c>
      <c r="P138" s="14">
        <f t="shared" si="141"/>
        <v>1.5284983994279675E-12</v>
      </c>
      <c r="Q138" s="22">
        <f t="shared" si="108"/>
        <v>2.839744816738581E-12</v>
      </c>
      <c r="R138" s="62">
        <f t="shared" si="109"/>
        <v>293.33333333333616</v>
      </c>
      <c r="S138" s="62">
        <f ca="1">AVERAGE(OFFSET($R$3,0,0,'Données projet'!$E$9+1,1))-AVERAGE(OFFSET($H$3,0,0,'Données projet'!$E$9+1,1))</f>
        <v>183.65324264438817</v>
      </c>
      <c r="T138" s="62">
        <f t="shared" si="142"/>
        <v>208.38613882433765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32.536318160673346</v>
      </c>
      <c r="AA138" s="23">
        <f>EXP(-LN(2)/25)*AA137+(1-EXP(-LN(2)/25))/(LN(2)/25)*Calculateur!V138*Calculateur!X138*VLOOKUP('Données projet'!$B$9,Paramètres!$A$1:$I$89,3,0)*0.475*44/12</f>
        <v>2.1529551638286302</v>
      </c>
      <c r="AB138" s="23">
        <f>EXP(-LN(2)/2)*AB137+(1-EXP(-LN(2)/2))/(LN(2)/2)*V138*Y138*VLOOKUP('Données projet'!$B$9,Paramètres!$A$1:$I$89,3,0)*0.475*44/12</f>
        <v>5.5215756679820884E-11</v>
      </c>
      <c r="AC138" s="24">
        <f t="shared" si="111"/>
        <v>34.689273324557192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2.8421709430404007E-14</v>
      </c>
      <c r="AJ138" s="14">
        <f>AI138*VLOOKUP('Données projet'!$B$10,Paramètres!$A$1:$I$89,3,0)*VLOOKUP('Données projet'!$B$10,Paramètres!$A$1:$I$89,5,0)</f>
        <v>2.4829205358400945E-14</v>
      </c>
      <c r="AK138" s="14">
        <f t="shared" si="143"/>
        <v>4.3867331143352915E-13</v>
      </c>
      <c r="AL138" s="22">
        <f t="shared" si="112"/>
        <v>8.0726688341261168E-13</v>
      </c>
      <c r="AM138" s="62">
        <f t="shared" si="113"/>
        <v>293.33333333333411</v>
      </c>
      <c r="AN138" s="62">
        <f ca="1">AVERAGE(OFFSET($AM$3,0,0,'Données projet'!$E$10+1,1))-AVERAGE(OFFSET($H$3,0,0,'Données projet'!$E$10+1,1))</f>
        <v>195.53935591077345</v>
      </c>
      <c r="AO138" s="62">
        <f t="shared" si="144"/>
        <v>189.8782192260071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36.998973462193128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36.998973462193128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77.792000000000186</v>
      </c>
      <c r="D139" s="12">
        <f t="shared" si="140"/>
        <v>21.596440410744858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767.20901369697924</v>
      </c>
      <c r="H139" s="70">
        <f t="shared" si="110"/>
        <v>466.4348670487143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1.7053025658242404E-13</v>
      </c>
      <c r="O139" s="14">
        <f>N139*VLOOKUP('Données projet'!$B$9,Paramètres!$A$1:$I$89,3,0)*VLOOKUP('Données projet'!$B$9,Paramètres!$A$1:$I$89,5,0)</f>
        <v>1.0197709343628959E-13</v>
      </c>
      <c r="P139" s="14">
        <f t="shared" si="141"/>
        <v>1.5284983994279675E-12</v>
      </c>
      <c r="Q139" s="22">
        <f t="shared" si="108"/>
        <v>2.839744816738581E-12</v>
      </c>
      <c r="R139" s="62">
        <f t="shared" si="109"/>
        <v>293.33333333333616</v>
      </c>
      <c r="S139" s="62">
        <f ca="1">AVERAGE(OFFSET($R$3,0,0,'Données projet'!$E$9+1,1))-AVERAGE(OFFSET($H$3,0,0,'Données projet'!$E$9+1,1))</f>
        <v>183.65324264438817</v>
      </c>
      <c r="T139" s="62">
        <f t="shared" si="142"/>
        <v>208.38613882433765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31.898300806737069</v>
      </c>
      <c r="AA139" s="23">
        <f>EXP(-LN(2)/25)*AA138+(1-EXP(-LN(2)/25))/(LN(2)/25)*Calculateur!V139*Calculateur!X139*VLOOKUP('Données projet'!$B$9,Paramètres!$A$1:$I$89,3,0)*0.475*44/12</f>
        <v>2.0940824916547447</v>
      </c>
      <c r="AB139" s="23">
        <f>EXP(-LN(2)/2)*AB138+(1-EXP(-LN(2)/2))/(LN(2)/2)*V139*Y139*VLOOKUP('Données projet'!$B$9,Paramètres!$A$1:$I$89,3,0)*0.475*44/12</f>
        <v>3.9043435976647755E-11</v>
      </c>
      <c r="AC139" s="24">
        <f t="shared" si="111"/>
        <v>33.992383298430859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2.8421709430404007E-14</v>
      </c>
      <c r="AJ139" s="14">
        <f>AI139*VLOOKUP('Données projet'!$B$10,Paramètres!$A$1:$I$89,3,0)*VLOOKUP('Données projet'!$B$10,Paramètres!$A$1:$I$89,5,0)</f>
        <v>2.4829205358400945E-14</v>
      </c>
      <c r="AK139" s="14">
        <f t="shared" si="143"/>
        <v>4.3867331143352915E-13</v>
      </c>
      <c r="AL139" s="22">
        <f t="shared" si="112"/>
        <v>8.0726688341261168E-13</v>
      </c>
      <c r="AM139" s="62">
        <f t="shared" si="113"/>
        <v>293.33333333333411</v>
      </c>
      <c r="AN139" s="62">
        <f ca="1">AVERAGE(OFFSET($AM$3,0,0,'Données projet'!$E$10+1,1))-AVERAGE(OFFSET($H$3,0,0,'Données projet'!$E$10+1,1))</f>
        <v>195.53935591077345</v>
      </c>
      <c r="AO139" s="62">
        <f t="shared" si="144"/>
        <v>189.8782192260071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36.273446159745014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36.273446159745014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78.364000000000189</v>
      </c>
      <c r="D140" s="12">
        <f t="shared" si="140"/>
        <v>21.736693872280579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772.7071105930446</v>
      </c>
      <c r="H140" s="70">
        <f t="shared" si="110"/>
        <v>467.67537516088896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1.7053025658242404E-13</v>
      </c>
      <c r="O140" s="14">
        <f>N140*VLOOKUP('Données projet'!$B$9,Paramètres!$A$1:$I$89,3,0)*VLOOKUP('Données projet'!$B$9,Paramètres!$A$1:$I$89,5,0)</f>
        <v>1.0197709343628959E-13</v>
      </c>
      <c r="P140" s="14">
        <f t="shared" si="141"/>
        <v>1.5284983994279675E-12</v>
      </c>
      <c r="Q140" s="22">
        <f t="shared" si="108"/>
        <v>2.839744816738581E-12</v>
      </c>
      <c r="R140" s="62">
        <f t="shared" si="109"/>
        <v>293.33333333333616</v>
      </c>
      <c r="S140" s="62">
        <f ca="1">AVERAGE(OFFSET($R$3,0,0,'Données projet'!$E$9+1,1))-AVERAGE(OFFSET($H$3,0,0,'Données projet'!$E$9+1,1))</f>
        <v>183.65324264438817</v>
      </c>
      <c r="T140" s="62">
        <f t="shared" si="142"/>
        <v>208.38613882433765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31.272794583959321</v>
      </c>
      <c r="AA140" s="23">
        <f>EXP(-LN(2)/25)*AA139+(1-EXP(-LN(2)/25))/(LN(2)/25)*Calculateur!V140*Calculateur!X140*VLOOKUP('Données projet'!$B$9,Paramètres!$A$1:$I$89,3,0)*0.475*44/12</f>
        <v>2.0368196957974334</v>
      </c>
      <c r="AB140" s="23">
        <f>EXP(-LN(2)/2)*AB139+(1-EXP(-LN(2)/2))/(LN(2)/2)*V140*Y140*VLOOKUP('Données projet'!$B$9,Paramètres!$A$1:$I$89,3,0)*0.475*44/12</f>
        <v>2.7607878339910442E-11</v>
      </c>
      <c r="AC140" s="24">
        <f t="shared" si="111"/>
        <v>33.309614279784363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2.8421709430404007E-14</v>
      </c>
      <c r="AJ140" s="14">
        <f>AI140*VLOOKUP('Données projet'!$B$10,Paramètres!$A$1:$I$89,3,0)*VLOOKUP('Données projet'!$B$10,Paramètres!$A$1:$I$89,5,0)</f>
        <v>2.4829205358400945E-14</v>
      </c>
      <c r="AK140" s="14">
        <f t="shared" si="143"/>
        <v>4.3867331143352915E-13</v>
      </c>
      <c r="AL140" s="22">
        <f t="shared" si="112"/>
        <v>8.0726688341261168E-13</v>
      </c>
      <c r="AM140" s="62">
        <f t="shared" si="113"/>
        <v>293.33333333333411</v>
      </c>
      <c r="AN140" s="62">
        <f ca="1">AVERAGE(OFFSET($AM$3,0,0,'Données projet'!$E$10+1,1))-AVERAGE(OFFSET($H$3,0,0,'Données projet'!$E$10+1,1))</f>
        <v>195.53935591077345</v>
      </c>
      <c r="AO140" s="62">
        <f t="shared" si="144"/>
        <v>189.8782192260071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35.56214600516995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35.56214600516995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78.936000000000192</v>
      </c>
      <c r="D141" s="12">
        <f t="shared" si="140"/>
        <v>21.876828219051301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778.20428800671334</v>
      </c>
      <c r="H141" s="70">
        <f t="shared" si="110"/>
        <v>468.91567581484799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1.7053025658242404E-13</v>
      </c>
      <c r="O141" s="14">
        <f>N141*VLOOKUP('Données projet'!$B$9,Paramètres!$A$1:$I$89,3,0)*VLOOKUP('Données projet'!$B$9,Paramètres!$A$1:$I$89,5,0)</f>
        <v>1.0197709343628959E-13</v>
      </c>
      <c r="P141" s="14">
        <f t="shared" si="141"/>
        <v>1.5284983994279675E-12</v>
      </c>
      <c r="Q141" s="22">
        <f t="shared" si="108"/>
        <v>2.839744816738581E-12</v>
      </c>
      <c r="R141" s="62">
        <f t="shared" si="109"/>
        <v>293.33333333333616</v>
      </c>
      <c r="S141" s="62">
        <f ca="1">AVERAGE(OFFSET($R$3,0,0,'Données projet'!$E$9+1,1))-AVERAGE(OFFSET($H$3,0,0,'Données projet'!$E$9+1,1))</f>
        <v>183.65324264438817</v>
      </c>
      <c r="T141" s="62">
        <f t="shared" si="142"/>
        <v>208.38613882433765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30.659554156689122</v>
      </c>
      <c r="AA141" s="23">
        <f>EXP(-LN(2)/25)*AA140+(1-EXP(-LN(2)/25))/(LN(2)/25)*Calculateur!V141*Calculateur!X141*VLOOKUP('Données projet'!$B$9,Paramètres!$A$1:$I$89,3,0)*0.475*44/12</f>
        <v>1.9811227541041601</v>
      </c>
      <c r="AB141" s="23">
        <f>EXP(-LN(2)/2)*AB140+(1-EXP(-LN(2)/2))/(LN(2)/2)*V141*Y141*VLOOKUP('Données projet'!$B$9,Paramètres!$A$1:$I$89,3,0)*0.475*44/12</f>
        <v>1.9521717988323878E-11</v>
      </c>
      <c r="AC141" s="24">
        <f t="shared" si="111"/>
        <v>32.6406769108128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2.8421709430404007E-14</v>
      </c>
      <c r="AJ141" s="14">
        <f>AI141*VLOOKUP('Données projet'!$B$10,Paramètres!$A$1:$I$89,3,0)*VLOOKUP('Données projet'!$B$10,Paramètres!$A$1:$I$89,5,0)</f>
        <v>2.4829205358400945E-14</v>
      </c>
      <c r="AK141" s="14">
        <f t="shared" si="143"/>
        <v>4.3867331143352915E-13</v>
      </c>
      <c r="AL141" s="22">
        <f t="shared" si="112"/>
        <v>8.0726688341261168E-13</v>
      </c>
      <c r="AM141" s="62">
        <f t="shared" si="113"/>
        <v>293.33333333333411</v>
      </c>
      <c r="AN141" s="62">
        <f ca="1">AVERAGE(OFFSET($AM$3,0,0,'Données projet'!$E$10+1,1))-AVERAGE(OFFSET($H$3,0,0,'Données projet'!$E$10+1,1))</f>
        <v>195.53935591077345</v>
      </c>
      <c r="AO141" s="62">
        <f t="shared" si="144"/>
        <v>189.8782192260071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34.864794012775846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34.864794012775846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79.508000000000195</v>
      </c>
      <c r="D142" s="12">
        <f t="shared" si="140"/>
        <v>22.016844414288837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783.70055337345923</v>
      </c>
      <c r="H142" s="70">
        <f t="shared" si="110"/>
        <v>470.15577068822006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1.7053025658242404E-13</v>
      </c>
      <c r="O142" s="14">
        <f>N142*VLOOKUP('Données projet'!$B$9,Paramètres!$A$1:$I$89,3,0)*VLOOKUP('Données projet'!$B$9,Paramètres!$A$1:$I$89,5,0)</f>
        <v>1.0197709343628959E-13</v>
      </c>
      <c r="P142" s="14">
        <f t="shared" si="141"/>
        <v>1.5284983994279675E-12</v>
      </c>
      <c r="Q142" s="22">
        <f t="shared" si="108"/>
        <v>2.839744816738581E-12</v>
      </c>
      <c r="R142" s="62">
        <f t="shared" si="109"/>
        <v>293.33333333333616</v>
      </c>
      <c r="S142" s="62">
        <f ca="1">AVERAGE(OFFSET($R$3,0,0,'Données projet'!$E$9+1,1))-AVERAGE(OFFSET($H$3,0,0,'Données projet'!$E$9+1,1))</f>
        <v>183.65324264438817</v>
      </c>
      <c r="T142" s="62">
        <f t="shared" si="142"/>
        <v>208.38613882433765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30.058339000157964</v>
      </c>
      <c r="AA142" s="23">
        <f>EXP(-LN(2)/25)*AA141+(1-EXP(-LN(2)/25))/(LN(2)/25)*Calculateur!V142*Calculateur!X142*VLOOKUP('Données projet'!$B$9,Paramètres!$A$1:$I$89,3,0)*0.475*44/12</f>
        <v>1.926948848210464</v>
      </c>
      <c r="AB142" s="23">
        <f>EXP(-LN(2)/2)*AB141+(1-EXP(-LN(2)/2))/(LN(2)/2)*V142*Y142*VLOOKUP('Données projet'!$B$9,Paramètres!$A$1:$I$89,3,0)*0.475*44/12</f>
        <v>1.3803939169955221E-11</v>
      </c>
      <c r="AC142" s="24">
        <f t="shared" si="111"/>
        <v>31.985287848382232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2.8421709430404007E-14</v>
      </c>
      <c r="AJ142" s="14">
        <f>AI142*VLOOKUP('Données projet'!$B$10,Paramètres!$A$1:$I$89,3,0)*VLOOKUP('Données projet'!$B$10,Paramètres!$A$1:$I$89,5,0)</f>
        <v>2.4829205358400945E-14</v>
      </c>
      <c r="AK142" s="14">
        <f t="shared" si="143"/>
        <v>4.3867331143352915E-13</v>
      </c>
      <c r="AL142" s="22">
        <f t="shared" si="112"/>
        <v>8.0726688341261168E-13</v>
      </c>
      <c r="AM142" s="62">
        <f t="shared" si="113"/>
        <v>293.33333333333411</v>
      </c>
      <c r="AN142" s="62">
        <f ca="1">AVERAGE(OFFSET($AM$3,0,0,'Données projet'!$E$10+1,1))-AVERAGE(OFFSET($H$3,0,0,'Données projet'!$E$10+1,1))</f>
        <v>195.53935591077345</v>
      </c>
      <c r="AO142" s="62">
        <f t="shared" si="144"/>
        <v>189.8782192260071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34.181116667609871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34.181116667609871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80.080000000000197</v>
      </c>
      <c r="D143" s="12">
        <f t="shared" si="140"/>
        <v>22.156743406564694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789.19591401558876</v>
      </c>
      <c r="H143" s="70">
        <f t="shared" si="110"/>
        <v>471.39566143310049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1.7053025658242404E-13</v>
      </c>
      <c r="O143" s="14">
        <f>N143*VLOOKUP('Données projet'!$B$9,Paramètres!$A$1:$I$89,3,0)*VLOOKUP('Données projet'!$B$9,Paramètres!$A$1:$I$89,5,0)</f>
        <v>1.0197709343628959E-13</v>
      </c>
      <c r="P143" s="14">
        <f t="shared" si="141"/>
        <v>1.5284983994279675E-12</v>
      </c>
      <c r="Q143" s="22">
        <f t="shared" si="108"/>
        <v>2.839744816738581E-12</v>
      </c>
      <c r="R143" s="62">
        <f t="shared" si="109"/>
        <v>293.33333333333616</v>
      </c>
      <c r="S143" s="62">
        <f ca="1">AVERAGE(OFFSET($R$3,0,0,'Données projet'!$E$9+1,1))-AVERAGE(OFFSET($H$3,0,0,'Données projet'!$E$9+1,1))</f>
        <v>183.65324264438817</v>
      </c>
      <c r="T143" s="62">
        <f t="shared" si="142"/>
        <v>208.38613882433765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29.468913306141346</v>
      </c>
      <c r="AA143" s="23">
        <f>EXP(-LN(2)/25)*AA142+(1-EXP(-LN(2)/25))/(LN(2)/25)*Calculateur!V143*Calculateur!X143*VLOOKUP('Données projet'!$B$9,Paramètres!$A$1:$I$89,3,0)*0.475*44/12</f>
        <v>1.874256330622313</v>
      </c>
      <c r="AB143" s="23">
        <f>EXP(-LN(2)/2)*AB142+(1-EXP(-LN(2)/2))/(LN(2)/2)*V143*Y143*VLOOKUP('Données projet'!$B$9,Paramètres!$A$1:$I$89,3,0)*0.475*44/12</f>
        <v>9.7608589941619389E-12</v>
      </c>
      <c r="AC143" s="24">
        <f t="shared" si="111"/>
        <v>31.343169636773418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2.8421709430404007E-14</v>
      </c>
      <c r="AJ143" s="14">
        <f>AI143*VLOOKUP('Données projet'!$B$10,Paramètres!$A$1:$I$89,3,0)*VLOOKUP('Données projet'!$B$10,Paramètres!$A$1:$I$89,5,0)</f>
        <v>2.4829205358400945E-14</v>
      </c>
      <c r="AK143" s="14">
        <f t="shared" si="143"/>
        <v>4.3867331143352915E-13</v>
      </c>
      <c r="AL143" s="22">
        <f t="shared" si="112"/>
        <v>8.0726688341261168E-13</v>
      </c>
      <c r="AM143" s="62">
        <f t="shared" si="113"/>
        <v>293.33333333333411</v>
      </c>
      <c r="AN143" s="62">
        <f ca="1">AVERAGE(OFFSET($AM$3,0,0,'Données projet'!$E$10+1,1))-AVERAGE(OFFSET($H$3,0,0,'Données projet'!$E$10+1,1))</f>
        <v>195.53935591077345</v>
      </c>
      <c r="AO143" s="62">
        <f t="shared" si="144"/>
        <v>189.8782192260071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33.510845818180599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33.510845818180599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80.6520000000002</v>
      </c>
      <c r="D144" s="12">
        <f t="shared" si="140"/>
        <v>22.296526130116295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794.69037714475905</v>
      </c>
      <c r="H144" s="70">
        <f t="shared" si="110"/>
        <v>472.63534967661951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1.7053025658242404E-13</v>
      </c>
      <c r="O144" s="14">
        <f>N144*VLOOKUP('Données projet'!$B$9,Paramètres!$A$1:$I$89,3,0)*VLOOKUP('Données projet'!$B$9,Paramètres!$A$1:$I$89,5,0)</f>
        <v>1.0197709343628959E-13</v>
      </c>
      <c r="P144" s="14">
        <f t="shared" si="141"/>
        <v>1.5284983994279675E-12</v>
      </c>
      <c r="Q144" s="22">
        <f t="shared" si="108"/>
        <v>2.839744816738581E-12</v>
      </c>
      <c r="R144" s="62">
        <f t="shared" si="109"/>
        <v>293.33333333333616</v>
      </c>
      <c r="S144" s="62">
        <f ca="1">AVERAGE(OFFSET($R$3,0,0,'Données projet'!$E$9+1,1))-AVERAGE(OFFSET($H$3,0,0,'Données projet'!$E$9+1,1))</f>
        <v>183.65324264438817</v>
      </c>
      <c r="T144" s="62">
        <f t="shared" si="142"/>
        <v>208.38613882433765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28.89104589047022</v>
      </c>
      <c r="AA144" s="23">
        <f>EXP(-LN(2)/25)*AA143+(1-EXP(-LN(2)/25))/(LN(2)/25)*Calculateur!V144*Calculateur!X144*VLOOKUP('Données projet'!$B$9,Paramètres!$A$1:$I$89,3,0)*0.475*44/12</f>
        <v>1.823004692698589</v>
      </c>
      <c r="AB144" s="23">
        <f>EXP(-LN(2)/2)*AB143+(1-EXP(-LN(2)/2))/(LN(2)/2)*V144*Y144*VLOOKUP('Données projet'!$B$9,Paramètres!$A$1:$I$89,3,0)*0.475*44/12</f>
        <v>6.9019695849776106E-12</v>
      </c>
      <c r="AC144" s="24">
        <f t="shared" si="111"/>
        <v>30.714050583175712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2.8421709430404007E-14</v>
      </c>
      <c r="AJ144" s="14">
        <f>AI144*VLOOKUP('Données projet'!$B$10,Paramètres!$A$1:$I$89,3,0)*VLOOKUP('Données projet'!$B$10,Paramètres!$A$1:$I$89,5,0)</f>
        <v>2.4829205358400945E-14</v>
      </c>
      <c r="AK144" s="14">
        <f t="shared" si="143"/>
        <v>4.3867331143352915E-13</v>
      </c>
      <c r="AL144" s="22">
        <f t="shared" si="112"/>
        <v>8.0726688341261168E-13</v>
      </c>
      <c r="AM144" s="62">
        <f t="shared" si="113"/>
        <v>293.33333333333411</v>
      </c>
      <c r="AN144" s="62">
        <f ca="1">AVERAGE(OFFSET($AM$3,0,0,'Données projet'!$E$10+1,1))-AVERAGE(OFFSET($H$3,0,0,'Données projet'!$E$10+1,1))</f>
        <v>195.53935591077345</v>
      </c>
      <c r="AO144" s="62">
        <f t="shared" si="144"/>
        <v>189.8782192260071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32.853718571283785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32.853718571283785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81.224000000000203</v>
      </c>
      <c r="D145" s="12">
        <f t="shared" si="140"/>
        <v>22.436193505163647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800.18394986442274</v>
      </c>
      <c r="H145" s="70">
        <f t="shared" si="110"/>
        <v>473.8748370214937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1.7053025658242404E-13</v>
      </c>
      <c r="O145" s="14">
        <f>N145*VLOOKUP('Données projet'!$B$9,Paramètres!$A$1:$I$89,3,0)*VLOOKUP('Données projet'!$B$9,Paramètres!$A$1:$I$89,5,0)</f>
        <v>1.0197709343628959E-13</v>
      </c>
      <c r="P145" s="14">
        <f t="shared" si="141"/>
        <v>1.5284983994279675E-12</v>
      </c>
      <c r="Q145" s="22">
        <f t="shared" si="108"/>
        <v>2.839744816738581E-12</v>
      </c>
      <c r="R145" s="62">
        <f t="shared" si="109"/>
        <v>293.33333333333616</v>
      </c>
      <c r="S145" s="62">
        <f ca="1">AVERAGE(OFFSET($R$3,0,0,'Données projet'!$E$9+1,1))-AVERAGE(OFFSET($H$3,0,0,'Données projet'!$E$9+1,1))</f>
        <v>183.65324264438817</v>
      </c>
      <c r="T145" s="62">
        <f t="shared" si="142"/>
        <v>208.38613882433765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28.324510102356083</v>
      </c>
      <c r="AA145" s="23">
        <f>EXP(-LN(2)/25)*AA144+(1-EXP(-LN(2)/25))/(LN(2)/25)*Calculateur!V145*Calculateur!X145*VLOOKUP('Données projet'!$B$9,Paramètres!$A$1:$I$89,3,0)*0.475*44/12</f>
        <v>1.7731545335090959</v>
      </c>
      <c r="AB145" s="23">
        <f>EXP(-LN(2)/2)*AB144+(1-EXP(-LN(2)/2))/(LN(2)/2)*V145*Y145*VLOOKUP('Données projet'!$B$9,Paramètres!$A$1:$I$89,3,0)*0.475*44/12</f>
        <v>4.8804294970809694E-12</v>
      </c>
      <c r="AC145" s="24">
        <f t="shared" si="111"/>
        <v>30.097664635870061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2.8421709430404007E-14</v>
      </c>
      <c r="AJ145" s="14">
        <f>AI145*VLOOKUP('Données projet'!$B$10,Paramètres!$A$1:$I$89,3,0)*VLOOKUP('Données projet'!$B$10,Paramètres!$A$1:$I$89,5,0)</f>
        <v>2.4829205358400945E-14</v>
      </c>
      <c r="AK145" s="14">
        <f t="shared" si="143"/>
        <v>4.3867331143352915E-13</v>
      </c>
      <c r="AL145" s="22">
        <f t="shared" si="112"/>
        <v>8.0726688341261168E-13</v>
      </c>
      <c r="AM145" s="62">
        <f t="shared" si="113"/>
        <v>293.33333333333411</v>
      </c>
      <c r="AN145" s="62">
        <f ca="1">AVERAGE(OFFSET($AM$3,0,0,'Données projet'!$E$10+1,1))-AVERAGE(OFFSET($H$3,0,0,'Données projet'!$E$10+1,1))</f>
        <v>195.53935591077345</v>
      </c>
      <c r="AO145" s="62">
        <f t="shared" si="144"/>
        <v>189.8782192260071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32.209477188890574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32.209477188890574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81.796000000000205</v>
      </c>
      <c r="D146" s="12">
        <f t="shared" si="140"/>
        <v>22.575746438216896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805.67663917220216</v>
      </c>
      <c r="H146" s="70">
        <f t="shared" si="110"/>
        <v>475.11412504656141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1.7053025658242404E-13</v>
      </c>
      <c r="O146" s="14">
        <f>N146*VLOOKUP('Données projet'!$B$9,Paramètres!$A$1:$I$89,3,0)*VLOOKUP('Données projet'!$B$9,Paramètres!$A$1:$I$89,5,0)</f>
        <v>1.0197709343628959E-13</v>
      </c>
      <c r="P146" s="14">
        <f t="shared" si="141"/>
        <v>1.5284983994279675E-12</v>
      </c>
      <c r="Q146" s="22">
        <f t="shared" si="108"/>
        <v>2.839744816738581E-12</v>
      </c>
      <c r="R146" s="62">
        <f t="shared" si="109"/>
        <v>293.33333333333616</v>
      </c>
      <c r="S146" s="62">
        <f ca="1">AVERAGE(OFFSET($R$3,0,0,'Données projet'!$E$9+1,1))-AVERAGE(OFFSET($H$3,0,0,'Données projet'!$E$9+1,1))</f>
        <v>183.65324264438817</v>
      </c>
      <c r="T146" s="62">
        <f t="shared" si="142"/>
        <v>208.38613882433765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27.769083735494156</v>
      </c>
      <c r="AA146" s="23">
        <f>EXP(-LN(2)/25)*AA145+(1-EXP(-LN(2)/25))/(LN(2)/25)*Calculateur!V146*Calculateur!X146*VLOOKUP('Données projet'!$B$9,Paramètres!$A$1:$I$89,3,0)*0.475*44/12</f>
        <v>1.7246675295441454</v>
      </c>
      <c r="AB146" s="23">
        <f>EXP(-LN(2)/2)*AB145+(1-EXP(-LN(2)/2))/(LN(2)/2)*V146*Y146*VLOOKUP('Données projet'!$B$9,Paramètres!$A$1:$I$89,3,0)*0.475*44/12</f>
        <v>3.4509847924888053E-12</v>
      </c>
      <c r="AC146" s="24">
        <f t="shared" si="111"/>
        <v>29.493751265041752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2.8421709430404007E-14</v>
      </c>
      <c r="AJ146" s="14">
        <f>AI146*VLOOKUP('Données projet'!$B$10,Paramètres!$A$1:$I$89,3,0)*VLOOKUP('Données projet'!$B$10,Paramètres!$A$1:$I$89,5,0)</f>
        <v>2.4829205358400945E-14</v>
      </c>
      <c r="AK146" s="14">
        <f t="shared" si="143"/>
        <v>4.3867331143352915E-13</v>
      </c>
      <c r="AL146" s="22">
        <f t="shared" si="112"/>
        <v>8.0726688341261168E-13</v>
      </c>
      <c r="AM146" s="62">
        <f t="shared" si="113"/>
        <v>293.33333333333411</v>
      </c>
      <c r="AN146" s="62">
        <f ca="1">AVERAGE(OFFSET($AM$3,0,0,'Données projet'!$E$10+1,1))-AVERAGE(OFFSET($H$3,0,0,'Données projet'!$E$10+1,1))</f>
        <v>195.53935591077345</v>
      </c>
      <c r="AO146" s="62">
        <f t="shared" si="144"/>
        <v>189.8782192260071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31.577868987057649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31.577868987057649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82.368000000000208</v>
      </c>
      <c r="D147" s="12">
        <f t="shared" si="140"/>
        <v>22.715185822374984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811.16845196219447</v>
      </c>
      <c r="H147" s="70">
        <f t="shared" si="110"/>
        <v>476.3532153073034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1.7053025658242404E-13</v>
      </c>
      <c r="O147" s="14">
        <f>N147*VLOOKUP('Données projet'!$B$9,Paramètres!$A$1:$I$89,3,0)*VLOOKUP('Données projet'!$B$9,Paramètres!$A$1:$I$89,5,0)</f>
        <v>1.0197709343628959E-13</v>
      </c>
      <c r="P147" s="14">
        <f t="shared" si="141"/>
        <v>1.5284983994279675E-12</v>
      </c>
      <c r="Q147" s="22">
        <f t="shared" si="108"/>
        <v>2.839744816738581E-12</v>
      </c>
      <c r="R147" s="62">
        <f t="shared" si="109"/>
        <v>293.33333333333616</v>
      </c>
      <c r="S147" s="62">
        <f ca="1">AVERAGE(OFFSET($R$3,0,0,'Données projet'!$E$9+1,1))-AVERAGE(OFFSET($H$3,0,0,'Données projet'!$E$9+1,1))</f>
        <v>183.65324264438817</v>
      </c>
      <c r="T147" s="62">
        <f t="shared" si="142"/>
        <v>208.38613882433765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27.224548940909759</v>
      </c>
      <c r="AA147" s="23">
        <f>EXP(-LN(2)/25)*AA146+(1-EXP(-LN(2)/25))/(LN(2)/25)*Calculateur!V147*Calculateur!X147*VLOOKUP('Données projet'!$B$9,Paramètres!$A$1:$I$89,3,0)*0.475*44/12</f>
        <v>1.6775064052524371</v>
      </c>
      <c r="AB147" s="23">
        <f>EXP(-LN(2)/2)*AB146+(1-EXP(-LN(2)/2))/(LN(2)/2)*V147*Y147*VLOOKUP('Données projet'!$B$9,Paramètres!$A$1:$I$89,3,0)*0.475*44/12</f>
        <v>2.4402147485404847E-12</v>
      </c>
      <c r="AC147" s="24">
        <f t="shared" si="111"/>
        <v>28.902055346164637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2.8421709430404007E-14</v>
      </c>
      <c r="AJ147" s="14">
        <f>AI147*VLOOKUP('Données projet'!$B$10,Paramètres!$A$1:$I$89,3,0)*VLOOKUP('Données projet'!$B$10,Paramètres!$A$1:$I$89,5,0)</f>
        <v>2.4829205358400945E-14</v>
      </c>
      <c r="AK147" s="14">
        <f t="shared" si="143"/>
        <v>4.3867331143352915E-13</v>
      </c>
      <c r="AL147" s="22">
        <f t="shared" si="112"/>
        <v>8.0726688341261168E-13</v>
      </c>
      <c r="AM147" s="62">
        <f t="shared" si="113"/>
        <v>293.33333333333411</v>
      </c>
      <c r="AN147" s="62">
        <f ca="1">AVERAGE(OFFSET($AM$3,0,0,'Données projet'!$E$10+1,1))-AVERAGE(OFFSET($H$3,0,0,'Données projet'!$E$10+1,1))</f>
        <v>195.53935591077345</v>
      </c>
      <c r="AO147" s="62">
        <f t="shared" si="144"/>
        <v>189.8782192260071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30.958646236819703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30.958646236819703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82.940000000000211</v>
      </c>
      <c r="D148" s="12">
        <f t="shared" si="140"/>
        <v>22.854512537615715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816.65939502721085</v>
      </c>
      <c r="H148" s="70">
        <f t="shared" si="110"/>
        <v>477.59210933634773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1.7053025658242404E-13</v>
      </c>
      <c r="O148" s="14">
        <f>N148*VLOOKUP('Données projet'!$B$9,Paramètres!$A$1:$I$89,3,0)*VLOOKUP('Données projet'!$B$9,Paramètres!$A$1:$I$89,5,0)</f>
        <v>1.0197709343628959E-13</v>
      </c>
      <c r="P148" s="14">
        <f t="shared" si="141"/>
        <v>1.5284983994279675E-12</v>
      </c>
      <c r="Q148" s="22">
        <f t="shared" si="108"/>
        <v>2.839744816738581E-12</v>
      </c>
      <c r="R148" s="62">
        <f t="shared" si="109"/>
        <v>293.33333333333616</v>
      </c>
      <c r="S148" s="62">
        <f ca="1">AVERAGE(OFFSET($R$3,0,0,'Données projet'!$E$9+1,1))-AVERAGE(OFFSET($H$3,0,0,'Données projet'!$E$9+1,1))</f>
        <v>183.65324264438817</v>
      </c>
      <c r="T148" s="62">
        <f t="shared" si="142"/>
        <v>208.38613882433765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26.690692141513733</v>
      </c>
      <c r="AA148" s="23">
        <f>EXP(-LN(2)/25)*AA147+(1-EXP(-LN(2)/25))/(LN(2)/25)*Calculateur!V148*Calculateur!X148*VLOOKUP('Données projet'!$B$9,Paramètres!$A$1:$I$89,3,0)*0.475*44/12</f>
        <v>1.6316349043845813</v>
      </c>
      <c r="AB148" s="23">
        <f>EXP(-LN(2)/2)*AB147+(1-EXP(-LN(2)/2))/(LN(2)/2)*V148*Y148*VLOOKUP('Données projet'!$B$9,Paramètres!$A$1:$I$89,3,0)*0.475*44/12</f>
        <v>1.7254923962444026E-12</v>
      </c>
      <c r="AC148" s="24">
        <f t="shared" si="111"/>
        <v>28.322327045900039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2.8421709430404007E-14</v>
      </c>
      <c r="AJ148" s="14">
        <f>AI148*VLOOKUP('Données projet'!$B$10,Paramètres!$A$1:$I$89,3,0)*VLOOKUP('Données projet'!$B$10,Paramètres!$A$1:$I$89,5,0)</f>
        <v>2.4829205358400945E-14</v>
      </c>
      <c r="AK148" s="14">
        <f t="shared" si="143"/>
        <v>4.3867331143352915E-13</v>
      </c>
      <c r="AL148" s="22">
        <f t="shared" si="112"/>
        <v>8.0726688341261168E-13</v>
      </c>
      <c r="AM148" s="62">
        <f t="shared" si="113"/>
        <v>293.33333333333411</v>
      </c>
      <c r="AN148" s="62">
        <f ca="1">AVERAGE(OFFSET($AM$3,0,0,'Données projet'!$E$10+1,1))-AVERAGE(OFFSET($H$3,0,0,'Données projet'!$E$10+1,1))</f>
        <v>195.53935591077345</v>
      </c>
      <c r="AO148" s="62">
        <f t="shared" si="144"/>
        <v>189.8782192260071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30.351566067025342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30.351566067025342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83.512000000000214</v>
      </c>
      <c r="D149" s="12">
        <f t="shared" si="140"/>
        <v>22.993727451077778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822.14947506095302</v>
      </c>
      <c r="H149" s="70">
        <f t="shared" si="110"/>
        <v>478.83080864396084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1.7053025658242404E-13</v>
      </c>
      <c r="O149" s="14">
        <f>N149*VLOOKUP('Données projet'!$B$9,Paramètres!$A$1:$I$89,3,0)*VLOOKUP('Données projet'!$B$9,Paramètres!$A$1:$I$89,5,0)</f>
        <v>1.0197709343628959E-13</v>
      </c>
      <c r="P149" s="14">
        <f t="shared" si="141"/>
        <v>1.5284983994279675E-12</v>
      </c>
      <c r="Q149" s="22">
        <f t="shared" si="108"/>
        <v>2.839744816738581E-12</v>
      </c>
      <c r="R149" s="62">
        <f t="shared" si="109"/>
        <v>293.33333333333616</v>
      </c>
      <c r="S149" s="62">
        <f ca="1">AVERAGE(OFFSET($R$3,0,0,'Données projet'!$E$9+1,1))-AVERAGE(OFFSET($H$3,0,0,'Données projet'!$E$9+1,1))</f>
        <v>183.65324264438817</v>
      </c>
      <c r="T149" s="62">
        <f t="shared" si="142"/>
        <v>208.38613882433765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26.167303948333366</v>
      </c>
      <c r="AA149" s="23">
        <f>EXP(-LN(2)/25)*AA148+(1-EXP(-LN(2)/25))/(LN(2)/25)*Calculateur!V149*Calculateur!X149*VLOOKUP('Données projet'!$B$9,Paramètres!$A$1:$I$89,3,0)*0.475*44/12</f>
        <v>1.5870177621202344</v>
      </c>
      <c r="AB149" s="23">
        <f>EXP(-LN(2)/2)*AB148+(1-EXP(-LN(2)/2))/(LN(2)/2)*V149*Y149*VLOOKUP('Données projet'!$B$9,Paramètres!$A$1:$I$89,3,0)*0.475*44/12</f>
        <v>1.2201073742702424E-12</v>
      </c>
      <c r="AC149" s="24">
        <f t="shared" si="111"/>
        <v>27.754321710454818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2.8421709430404007E-14</v>
      </c>
      <c r="AJ149" s="14">
        <f>AI149*VLOOKUP('Données projet'!$B$10,Paramètres!$A$1:$I$89,3,0)*VLOOKUP('Données projet'!$B$10,Paramètres!$A$1:$I$89,5,0)</f>
        <v>2.4829205358400945E-14</v>
      </c>
      <c r="AK149" s="14">
        <f t="shared" si="143"/>
        <v>4.3867331143352915E-13</v>
      </c>
      <c r="AL149" s="22">
        <f t="shared" si="112"/>
        <v>8.0726688341261168E-13</v>
      </c>
      <c r="AM149" s="62">
        <f t="shared" si="113"/>
        <v>293.33333333333411</v>
      </c>
      <c r="AN149" s="62">
        <f ca="1">AVERAGE(OFFSET($AM$3,0,0,'Données projet'!$E$10+1,1))-AVERAGE(OFFSET($H$3,0,0,'Données projet'!$E$10+1,1))</f>
        <v>195.53935591077345</v>
      </c>
      <c r="AO149" s="62">
        <f t="shared" si="144"/>
        <v>189.8782192260071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29.756390369078307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29.756390369078307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84.084000000000216</v>
      </c>
      <c r="D150" s="12">
        <f t="shared" si="140"/>
        <v>23.132831417334586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827.6386986601284</v>
      </c>
      <c r="H150" s="70">
        <f t="shared" si="110"/>
        <v>480.06931471852477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1.7053025658242404E-13</v>
      </c>
      <c r="O150" s="14">
        <f>N150*VLOOKUP('Données projet'!$B$9,Paramètres!$A$1:$I$89,3,0)*VLOOKUP('Données projet'!$B$9,Paramètres!$A$1:$I$89,5,0)</f>
        <v>1.0197709343628959E-13</v>
      </c>
      <c r="P150" s="14">
        <f t="shared" si="141"/>
        <v>1.5284983994279675E-12</v>
      </c>
      <c r="Q150" s="22">
        <f t="shared" si="108"/>
        <v>2.839744816738581E-12</v>
      </c>
      <c r="R150" s="62">
        <f t="shared" si="109"/>
        <v>293.33333333333616</v>
      </c>
      <c r="S150" s="62">
        <f ca="1">AVERAGE(OFFSET($R$3,0,0,'Données projet'!$E$9+1,1))-AVERAGE(OFFSET($H$3,0,0,'Données projet'!$E$9+1,1))</f>
        <v>183.65324264438817</v>
      </c>
      <c r="T150" s="62">
        <f t="shared" si="142"/>
        <v>208.38613882433765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25.65417907838599</v>
      </c>
      <c r="AA150" s="23">
        <f>EXP(-LN(2)/25)*AA149+(1-EXP(-LN(2)/25))/(LN(2)/25)*Calculateur!V150*Calculateur!X150*VLOOKUP('Données projet'!$B$9,Paramètres!$A$1:$I$89,3,0)*0.475*44/12</f>
        <v>1.5436206779574195</v>
      </c>
      <c r="AB150" s="23">
        <f>EXP(-LN(2)/2)*AB149+(1-EXP(-LN(2)/2))/(LN(2)/2)*V150*Y150*VLOOKUP('Données projet'!$B$9,Paramètres!$A$1:$I$89,3,0)*0.475*44/12</f>
        <v>8.6274619812220132E-13</v>
      </c>
      <c r="AC150" s="24">
        <f t="shared" si="111"/>
        <v>27.197799756344274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2.8421709430404007E-14</v>
      </c>
      <c r="AJ150" s="14">
        <f>AI150*VLOOKUP('Données projet'!$B$10,Paramètres!$A$1:$I$89,3,0)*VLOOKUP('Données projet'!$B$10,Paramètres!$A$1:$I$89,5,0)</f>
        <v>2.4829205358400945E-14</v>
      </c>
      <c r="AK150" s="14">
        <f t="shared" si="143"/>
        <v>4.3867331143352915E-13</v>
      </c>
      <c r="AL150" s="22">
        <f t="shared" si="112"/>
        <v>8.0726688341261168E-13</v>
      </c>
      <c r="AM150" s="62">
        <f t="shared" si="113"/>
        <v>293.33333333333411</v>
      </c>
      <c r="AN150" s="62">
        <f ca="1">AVERAGE(OFFSET($AM$3,0,0,'Données projet'!$E$10+1,1))-AVERAGE(OFFSET($H$3,0,0,'Données projet'!$E$10+1,1))</f>
        <v>195.53935591077345</v>
      </c>
      <c r="AO150" s="62">
        <f t="shared" si="144"/>
        <v>189.8782192260071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29.172885703546683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29.172885703546683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84.656000000000219</v>
      </c>
      <c r="D151" s="12">
        <f t="shared" si="140"/>
        <v>23.271825278660629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833.12707232650484</v>
      </c>
      <c r="H151" s="70">
        <f t="shared" si="110"/>
        <v>481.30762902700098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1.7053025658242404E-13</v>
      </c>
      <c r="O151" s="14">
        <f>N151*VLOOKUP('Données projet'!$B$9,Paramètres!$A$1:$I$89,3,0)*VLOOKUP('Données projet'!$B$9,Paramètres!$A$1:$I$89,5,0)</f>
        <v>1.0197709343628959E-13</v>
      </c>
      <c r="P151" s="14">
        <f t="shared" si="141"/>
        <v>1.5284983994279675E-12</v>
      </c>
      <c r="Q151" s="22">
        <f t="shared" si="108"/>
        <v>2.839744816738581E-12</v>
      </c>
      <c r="R151" s="62">
        <f t="shared" si="109"/>
        <v>293.33333333333616</v>
      </c>
      <c r="S151" s="62">
        <f ca="1">AVERAGE(OFFSET($R$3,0,0,'Données projet'!$E$9+1,1))-AVERAGE(OFFSET($H$3,0,0,'Données projet'!$E$9+1,1))</f>
        <v>183.65324264438817</v>
      </c>
      <c r="T151" s="62">
        <f t="shared" si="142"/>
        <v>208.38613882433765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25.151116274163016</v>
      </c>
      <c r="AA151" s="23">
        <f>EXP(-LN(2)/25)*AA150+(1-EXP(-LN(2)/25))/(LN(2)/25)*Calculateur!V151*Calculateur!X151*VLOOKUP('Données projet'!$B$9,Paramètres!$A$1:$I$89,3,0)*0.475*44/12</f>
        <v>1.5014102893431904</v>
      </c>
      <c r="AB151" s="23">
        <f>EXP(-LN(2)/2)*AB150+(1-EXP(-LN(2)/2))/(LN(2)/2)*V151*Y151*VLOOKUP('Données projet'!$B$9,Paramètres!$A$1:$I$89,3,0)*0.475*44/12</f>
        <v>6.1005368713512118E-13</v>
      </c>
      <c r="AC151" s="24">
        <f t="shared" si="111"/>
        <v>26.652526563506818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2.8421709430404007E-14</v>
      </c>
      <c r="AJ151" s="14">
        <f>AI151*VLOOKUP('Données projet'!$B$10,Paramètres!$A$1:$I$89,3,0)*VLOOKUP('Données projet'!$B$10,Paramètres!$A$1:$I$89,5,0)</f>
        <v>2.4829205358400945E-14</v>
      </c>
      <c r="AK151" s="14">
        <f t="shared" si="143"/>
        <v>4.3867331143352915E-13</v>
      </c>
      <c r="AL151" s="22">
        <f t="shared" si="112"/>
        <v>8.0726688341261168E-13</v>
      </c>
      <c r="AM151" s="62">
        <f t="shared" si="113"/>
        <v>293.33333333333411</v>
      </c>
      <c r="AN151" s="62">
        <f ca="1">AVERAGE(OFFSET($AM$3,0,0,'Données projet'!$E$10+1,1))-AVERAGE(OFFSET($H$3,0,0,'Données projet'!$E$10+1,1))</f>
        <v>195.53935591077345</v>
      </c>
      <c r="AO151" s="62">
        <f t="shared" si="144"/>
        <v>189.8782192260071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28.60082320860343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28.60082320860343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85.228000000000222</v>
      </c>
      <c r="D152" s="12">
        <f t="shared" si="140"/>
        <v>23.410709865290357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838.61460246890977</v>
      </c>
      <c r="H152" s="70">
        <f t="shared" si="110"/>
        <v>482.54575301538108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1.7053025658242404E-13</v>
      </c>
      <c r="O152" s="14">
        <f>N152*VLOOKUP('Données projet'!$B$9,Paramètres!$A$1:$I$89,3,0)*VLOOKUP('Données projet'!$B$9,Paramètres!$A$1:$I$89,5,0)</f>
        <v>1.0197709343628959E-13</v>
      </c>
      <c r="P152" s="14">
        <f t="shared" si="141"/>
        <v>1.5284983994279675E-12</v>
      </c>
      <c r="Q152" s="22">
        <f t="shared" si="108"/>
        <v>2.839744816738581E-12</v>
      </c>
      <c r="R152" s="62">
        <f t="shared" si="109"/>
        <v>293.33333333333616</v>
      </c>
      <c r="S152" s="62">
        <f ca="1">AVERAGE(OFFSET($R$3,0,0,'Données projet'!$E$9+1,1))-AVERAGE(OFFSET($H$3,0,0,'Données projet'!$E$9+1,1))</f>
        <v>183.65324264438817</v>
      </c>
      <c r="T152" s="62">
        <f t="shared" si="142"/>
        <v>208.38613882433765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24.657918224692843</v>
      </c>
      <c r="AA152" s="23">
        <f>EXP(-LN(2)/25)*AA151+(1-EXP(-LN(2)/25))/(LN(2)/25)*Calculateur!V152*Calculateur!X152*VLOOKUP('Données projet'!$B$9,Paramètres!$A$1:$I$89,3,0)*0.475*44/12</f>
        <v>1.4603541460253653</v>
      </c>
      <c r="AB152" s="23">
        <f>EXP(-LN(2)/2)*AB151+(1-EXP(-LN(2)/2))/(LN(2)/2)*V152*Y152*VLOOKUP('Données projet'!$B$9,Paramètres!$A$1:$I$89,3,0)*0.475*44/12</f>
        <v>4.3137309906110066E-13</v>
      </c>
      <c r="AC152" s="24">
        <f t="shared" si="111"/>
        <v>26.118272370718639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2.8421709430404007E-14</v>
      </c>
      <c r="AJ152" s="14">
        <f>AI152*VLOOKUP('Données projet'!$B$10,Paramètres!$A$1:$I$89,3,0)*VLOOKUP('Données projet'!$B$10,Paramètres!$A$1:$I$89,5,0)</f>
        <v>2.4829205358400945E-14</v>
      </c>
      <c r="AK152" s="14">
        <f t="shared" si="143"/>
        <v>4.3867331143352915E-13</v>
      </c>
      <c r="AL152" s="22">
        <f t="shared" si="112"/>
        <v>8.0726688341261168E-13</v>
      </c>
      <c r="AM152" s="62">
        <f t="shared" si="113"/>
        <v>293.33333333333411</v>
      </c>
      <c r="AN152" s="62">
        <f ca="1">AVERAGE(OFFSET($AM$3,0,0,'Données projet'!$E$10+1,1))-AVERAGE(OFFSET($H$3,0,0,'Données projet'!$E$10+1,1))</f>
        <v>195.53935591077345</v>
      </c>
      <c r="AO152" s="62">
        <f t="shared" si="144"/>
        <v>189.8782192260071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28.039978510262344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28.039978510262344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85.800000000000225</v>
      </c>
      <c r="D153" s="12">
        <f t="shared" si="140"/>
        <v>23.549485995669819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844.10129540517244</v>
      </c>
      <c r="H153" s="70">
        <f t="shared" si="110"/>
        <v>483.78368810912531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1.7053025658242404E-13</v>
      </c>
      <c r="O153" s="14">
        <f>N153*VLOOKUP('Données projet'!$B$9,Paramètres!$A$1:$I$89,3,0)*VLOOKUP('Données projet'!$B$9,Paramètres!$A$1:$I$89,5,0)</f>
        <v>1.0197709343628959E-13</v>
      </c>
      <c r="P153" s="14">
        <f t="shared" si="141"/>
        <v>1.5284983994279675E-12</v>
      </c>
      <c r="Q153" s="22">
        <f t="shared" si="108"/>
        <v>2.839744816738581E-12</v>
      </c>
      <c r="R153" s="62">
        <f t="shared" si="109"/>
        <v>293.33333333333616</v>
      </c>
      <c r="S153" s="62">
        <f ca="1">AVERAGE(OFFSET($R$3,0,0,'Données projet'!$E$9+1,1))-AVERAGE(OFFSET($H$3,0,0,'Données projet'!$E$9+1,1))</f>
        <v>183.65324264438817</v>
      </c>
      <c r="T153" s="62">
        <f t="shared" si="142"/>
        <v>208.38613882433765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24.17439148815167</v>
      </c>
      <c r="AA153" s="23">
        <f>EXP(-LN(2)/25)*AA152+(1-EXP(-LN(2)/25))/(LN(2)/25)*Calculateur!V153*Calculateur!X153*VLOOKUP('Données projet'!$B$9,Paramètres!$A$1:$I$89,3,0)*0.475*44/12</f>
        <v>1.4204206851056149</v>
      </c>
      <c r="AB153" s="23">
        <f>EXP(-LN(2)/2)*AB152+(1-EXP(-LN(2)/2))/(LN(2)/2)*V153*Y153*VLOOKUP('Données projet'!$B$9,Paramètres!$A$1:$I$89,3,0)*0.475*44/12</f>
        <v>3.0502684356756059E-13</v>
      </c>
      <c r="AC153" s="24">
        <f t="shared" si="111"/>
        <v>25.594812173257591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2.8421709430404007E-14</v>
      </c>
      <c r="AJ153" s="14">
        <f>AI153*VLOOKUP('Données projet'!$B$10,Paramètres!$A$1:$I$89,3,0)*VLOOKUP('Données projet'!$B$10,Paramètres!$A$1:$I$89,5,0)</f>
        <v>2.4829205358400945E-14</v>
      </c>
      <c r="AK153" s="14">
        <f t="shared" si="143"/>
        <v>4.3867331143352915E-13</v>
      </c>
      <c r="AL153" s="22">
        <f t="shared" si="112"/>
        <v>8.0726688341261168E-13</v>
      </c>
      <c r="AM153" s="62">
        <f t="shared" si="113"/>
        <v>293.33333333333411</v>
      </c>
      <c r="AN153" s="62">
        <f ca="1">AVERAGE(OFFSET($AM$3,0,0,'Données projet'!$E$10+1,1))-AVERAGE(OFFSET($H$3,0,0,'Données projet'!$E$10+1,1))</f>
        <v>195.53935591077345</v>
      </c>
      <c r="AO153" s="62">
        <f t="shared" si="144"/>
        <v>189.8782192260071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27.49013163437424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27.49013163437424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86.372000000000227</v>
      </c>
      <c r="D154" s="12">
        <f t="shared" si="140"/>
        <v>23.688154476701651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849.58715736401462</v>
      </c>
      <c r="H154" s="70">
        <f t="shared" si="110"/>
        <v>485.02143571358909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1.7053025658242404E-13</v>
      </c>
      <c r="O154" s="14">
        <f>N154*VLOOKUP('Données projet'!$B$9,Paramètres!$A$1:$I$89,3,0)*VLOOKUP('Données projet'!$B$9,Paramètres!$A$1:$I$89,5,0)</f>
        <v>1.0197709343628959E-13</v>
      </c>
      <c r="P154" s="14">
        <f t="shared" si="141"/>
        <v>1.5284983994279675E-12</v>
      </c>
      <c r="Q154" s="22">
        <f t="shared" ref="Q154:Q203" si="162">(O154+P154)*0.475*44/12</f>
        <v>2.839744816738581E-12</v>
      </c>
      <c r="R154" s="62">
        <f t="shared" si="109"/>
        <v>293.33333333333616</v>
      </c>
      <c r="S154" s="62">
        <f ca="1">AVERAGE(OFFSET($R$3,0,0,'Données projet'!$E$9+1,1))-AVERAGE(OFFSET($H$3,0,0,'Données projet'!$E$9+1,1))</f>
        <v>183.65324264438817</v>
      </c>
      <c r="T154" s="62">
        <f t="shared" si="142"/>
        <v>208.38613882433765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23.700346415991884</v>
      </c>
      <c r="AA154" s="23">
        <f>EXP(-LN(2)/25)*AA153+(1-EXP(-LN(2)/25))/(LN(2)/25)*Calculateur!V154*Calculateur!X154*VLOOKUP('Données projet'!$B$9,Paramètres!$A$1:$I$89,3,0)*0.475*44/12</f>
        <v>1.3815792067747246</v>
      </c>
      <c r="AB154" s="23">
        <f>EXP(-LN(2)/2)*AB153+(1-EXP(-LN(2)/2))/(LN(2)/2)*V154*Y154*VLOOKUP('Données projet'!$B$9,Paramètres!$A$1:$I$89,3,0)*0.475*44/12</f>
        <v>2.1568654953055033E-13</v>
      </c>
      <c r="AC154" s="24">
        <f t="shared" ref="AC154:AC203" si="163">SUM(Z154:AB154)</f>
        <v>25.081925622766825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2.8421709430404007E-14</v>
      </c>
      <c r="AJ154" s="14">
        <f>AI154*VLOOKUP('Données projet'!$B$10,Paramètres!$A$1:$I$89,3,0)*VLOOKUP('Données projet'!$B$10,Paramètres!$A$1:$I$89,5,0)</f>
        <v>2.4829205358400945E-14</v>
      </c>
      <c r="AK154" s="14">
        <f t="shared" ref="AK154:AK203" si="164">EXP(-1.0587+0.8836*LN(AJ154)+0.284)</f>
        <v>4.3867331143352915E-13</v>
      </c>
      <c r="AL154" s="22">
        <f t="shared" ref="AL154:AL203" si="165">(AJ154+AK154)*0.475*44/12</f>
        <v>8.0726688341261168E-13</v>
      </c>
      <c r="AM154" s="62">
        <f t="shared" si="113"/>
        <v>293.33333333333411</v>
      </c>
      <c r="AN154" s="62">
        <f ca="1">AVERAGE(OFFSET($AM$3,0,0,'Données projet'!$E$10+1,1))-AVERAGE(OFFSET($H$3,0,0,'Données projet'!$E$10+1,1))</f>
        <v>195.53935591077345</v>
      </c>
      <c r="AO154" s="62">
        <f t="shared" si="144"/>
        <v>189.8782192260071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26.951066920348822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26.951066920348822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86.94400000000023</v>
      </c>
      <c r="D155" s="12">
        <f t="shared" si="140"/>
        <v>23.826716103983081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855.07219448688875</v>
      </c>
      <c r="H155" s="70">
        <f t="shared" si="110"/>
        <v>486.25899721443761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1.7053025658242404E-13</v>
      </c>
      <c r="O155" s="14">
        <f>N155*VLOOKUP('Données projet'!$B$9,Paramètres!$A$1:$I$89,3,0)*VLOOKUP('Données projet'!$B$9,Paramètres!$A$1:$I$89,5,0)</f>
        <v>1.0197709343628959E-13</v>
      </c>
      <c r="P155" s="14">
        <f t="shared" si="141"/>
        <v>1.5284983994279675E-12</v>
      </c>
      <c r="Q155" s="22">
        <f t="shared" si="162"/>
        <v>2.839744816738581E-12</v>
      </c>
      <c r="R155" s="62">
        <f t="shared" si="109"/>
        <v>293.33333333333616</v>
      </c>
      <c r="S155" s="62">
        <f ca="1">AVERAGE(OFFSET($R$3,0,0,'Données projet'!$E$9+1,1))-AVERAGE(OFFSET($H$3,0,0,'Données projet'!$E$9+1,1))</f>
        <v>183.65324264438817</v>
      </c>
      <c r="T155" s="62">
        <f t="shared" si="142"/>
        <v>208.38613882433765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23.235597078558207</v>
      </c>
      <c r="AA155" s="23">
        <f>EXP(-LN(2)/25)*AA154+(1-EXP(-LN(2)/25))/(LN(2)/25)*Calculateur!V155*Calculateur!X155*VLOOKUP('Données projet'!$B$9,Paramètres!$A$1:$I$89,3,0)*0.475*44/12</f>
        <v>1.3437998507113769</v>
      </c>
      <c r="AB155" s="23">
        <f>EXP(-LN(2)/2)*AB154+(1-EXP(-LN(2)/2))/(LN(2)/2)*V155*Y155*VLOOKUP('Données projet'!$B$9,Paramètres!$A$1:$I$89,3,0)*0.475*44/12</f>
        <v>1.5251342178378029E-13</v>
      </c>
      <c r="AC155" s="24">
        <f t="shared" si="163"/>
        <v>24.579396929269738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2.8421709430404007E-14</v>
      </c>
      <c r="AJ155" s="14">
        <f>AI155*VLOOKUP('Données projet'!$B$10,Paramètres!$A$1:$I$89,3,0)*VLOOKUP('Données projet'!$B$10,Paramètres!$A$1:$I$89,5,0)</f>
        <v>2.4829205358400945E-14</v>
      </c>
      <c r="AK155" s="14">
        <f t="shared" si="164"/>
        <v>4.3867331143352915E-13</v>
      </c>
      <c r="AL155" s="22">
        <f t="shared" si="165"/>
        <v>8.0726688341261168E-13</v>
      </c>
      <c r="AM155" s="62">
        <f t="shared" si="113"/>
        <v>293.33333333333411</v>
      </c>
      <c r="AN155" s="62">
        <f ca="1">AVERAGE(OFFSET($AM$3,0,0,'Données projet'!$E$10+1,1))-AVERAGE(OFFSET($H$3,0,0,'Données projet'!$E$10+1,1))</f>
        <v>195.53935591077345</v>
      </c>
      <c r="AO155" s="62">
        <f t="shared" si="144"/>
        <v>189.8782192260071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26.422572936568432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26.422572936568432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87.516000000000233</v>
      </c>
      <c r="D156" s="12">
        <f t="shared" si="140"/>
        <v>23.965171662037708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860.55641282976649</v>
      </c>
      <c r="H156" s="70">
        <f t="shared" si="110"/>
        <v>487.49637397804941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1.7053025658242404E-13</v>
      </c>
      <c r="O156" s="14">
        <f>N156*VLOOKUP('Données projet'!$B$9,Paramètres!$A$1:$I$89,3,0)*VLOOKUP('Données projet'!$B$9,Paramètres!$A$1:$I$89,5,0)</f>
        <v>1.0197709343628959E-13</v>
      </c>
      <c r="P156" s="14">
        <f t="shared" si="141"/>
        <v>1.5284983994279675E-12</v>
      </c>
      <c r="Q156" s="22">
        <f t="shared" si="162"/>
        <v>2.839744816738581E-12</v>
      </c>
      <c r="R156" s="62">
        <f t="shared" si="109"/>
        <v>293.33333333333616</v>
      </c>
      <c r="S156" s="62">
        <f ca="1">AVERAGE(OFFSET($R$3,0,0,'Données projet'!$E$9+1,1))-AVERAGE(OFFSET($H$3,0,0,'Données projet'!$E$9+1,1))</f>
        <v>183.65324264438817</v>
      </c>
      <c r="T156" s="62">
        <f t="shared" si="142"/>
        <v>208.38613882433765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22.779961192162499</v>
      </c>
      <c r="AA156" s="23">
        <f>EXP(-LN(2)/25)*AA155+(1-EXP(-LN(2)/25))/(LN(2)/25)*Calculateur!V156*Calculateur!X156*VLOOKUP('Données projet'!$B$9,Paramètres!$A$1:$I$89,3,0)*0.475*44/12</f>
        <v>1.3070535731263113</v>
      </c>
      <c r="AB156" s="23">
        <f>EXP(-LN(2)/2)*AB155+(1-EXP(-LN(2)/2))/(LN(2)/2)*V156*Y156*VLOOKUP('Données projet'!$B$9,Paramètres!$A$1:$I$89,3,0)*0.475*44/12</f>
        <v>1.0784327476527516E-13</v>
      </c>
      <c r="AC156" s="24">
        <f t="shared" si="163"/>
        <v>24.087014765288917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2.8421709430404007E-14</v>
      </c>
      <c r="AJ156" s="14">
        <f>AI156*VLOOKUP('Données projet'!$B$10,Paramètres!$A$1:$I$89,3,0)*VLOOKUP('Données projet'!$B$10,Paramètres!$A$1:$I$89,5,0)</f>
        <v>2.4829205358400945E-14</v>
      </c>
      <c r="AK156" s="14">
        <f t="shared" si="164"/>
        <v>4.3867331143352915E-13</v>
      </c>
      <c r="AL156" s="22">
        <f t="shared" si="165"/>
        <v>8.0726688341261168E-13</v>
      </c>
      <c r="AM156" s="62">
        <f t="shared" si="113"/>
        <v>293.33333333333411</v>
      </c>
      <c r="AN156" s="62">
        <f ca="1">AVERAGE(OFFSET($AM$3,0,0,'Données projet'!$E$10+1,1))-AVERAGE(OFFSET($H$3,0,0,'Données projet'!$E$10+1,1))</f>
        <v>195.53935591077345</v>
      </c>
      <c r="AO156" s="62">
        <f t="shared" si="144"/>
        <v>189.8782192260071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25.904442397460475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25.904442397460475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88.088000000000235</v>
      </c>
      <c r="D157" s="12">
        <f t="shared" si="140"/>
        <v>24.103521924540978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866.03981836487947</v>
      </c>
      <c r="H157" s="70">
        <f t="shared" si="110"/>
        <v>488.73356735190924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1.7053025658242404E-13</v>
      </c>
      <c r="O157" s="14">
        <f>N157*VLOOKUP('Données projet'!$B$9,Paramètres!$A$1:$I$89,3,0)*VLOOKUP('Données projet'!$B$9,Paramètres!$A$1:$I$89,5,0)</f>
        <v>1.0197709343628959E-13</v>
      </c>
      <c r="P157" s="14">
        <f t="shared" si="141"/>
        <v>1.5284983994279675E-12</v>
      </c>
      <c r="Q157" s="22">
        <f t="shared" si="162"/>
        <v>2.839744816738581E-12</v>
      </c>
      <c r="R157" s="62">
        <f t="shared" si="109"/>
        <v>293.33333333333616</v>
      </c>
      <c r="S157" s="62">
        <f ca="1">AVERAGE(OFFSET($R$3,0,0,'Données projet'!$E$9+1,1))-AVERAGE(OFFSET($H$3,0,0,'Données projet'!$E$9+1,1))</f>
        <v>183.65324264438817</v>
      </c>
      <c r="T157" s="62">
        <f t="shared" si="142"/>
        <v>208.38613882433765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22.33326004758856</v>
      </c>
      <c r="AA157" s="23">
        <f>EXP(-LN(2)/25)*AA156+(1-EXP(-LN(2)/25))/(LN(2)/25)*Calculateur!V157*Calculateur!X157*VLOOKUP('Données projet'!$B$9,Paramètres!$A$1:$I$89,3,0)*0.475*44/12</f>
        <v>1.2713121244342123</v>
      </c>
      <c r="AB157" s="23">
        <f>EXP(-LN(2)/2)*AB156+(1-EXP(-LN(2)/2))/(LN(2)/2)*V157*Y157*VLOOKUP('Données projet'!$B$9,Paramètres!$A$1:$I$89,3,0)*0.475*44/12</f>
        <v>7.6256710891890147E-14</v>
      </c>
      <c r="AC157" s="24">
        <f t="shared" si="163"/>
        <v>23.604572172022845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2.8421709430404007E-14</v>
      </c>
      <c r="AJ157" s="14">
        <f>AI157*VLOOKUP('Données projet'!$B$10,Paramètres!$A$1:$I$89,3,0)*VLOOKUP('Données projet'!$B$10,Paramètres!$A$1:$I$89,5,0)</f>
        <v>2.4829205358400945E-14</v>
      </c>
      <c r="AK157" s="14">
        <f t="shared" si="164"/>
        <v>4.3867331143352915E-13</v>
      </c>
      <c r="AL157" s="22">
        <f t="shared" si="165"/>
        <v>8.0726688341261168E-13</v>
      </c>
      <c r="AM157" s="62">
        <f t="shared" si="113"/>
        <v>293.33333333333411</v>
      </c>
      <c r="AN157" s="62">
        <f ca="1">AVERAGE(OFFSET($AM$3,0,0,'Données projet'!$E$10+1,1))-AVERAGE(OFFSET($H$3,0,0,'Données projet'!$E$10+1,1))</f>
        <v>195.53935591077345</v>
      </c>
      <c r="AO157" s="62">
        <f t="shared" si="144"/>
        <v>189.8782192260071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25.396472082196002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25.396472082196002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88.660000000000238</v>
      </c>
      <c r="D158" s="12">
        <f t="shared" si="140"/>
        <v>24.241767654539636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871.52241698241312</v>
      </c>
      <c r="H158" s="70">
        <f t="shared" si="110"/>
        <v>489.97057866499023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1.7053025658242404E-13</v>
      </c>
      <c r="O158" s="14">
        <f>N158*VLOOKUP('Données projet'!$B$9,Paramètres!$A$1:$I$89,3,0)*VLOOKUP('Données projet'!$B$9,Paramètres!$A$1:$I$89,5,0)</f>
        <v>1.0197709343628959E-13</v>
      </c>
      <c r="P158" s="14">
        <f t="shared" si="141"/>
        <v>1.5284983994279675E-12</v>
      </c>
      <c r="Q158" s="22">
        <f t="shared" si="162"/>
        <v>2.839744816738581E-12</v>
      </c>
      <c r="R158" s="62">
        <f t="shared" si="109"/>
        <v>293.33333333333616</v>
      </c>
      <c r="S158" s="62">
        <f ca="1">AVERAGE(OFFSET($R$3,0,0,'Données projet'!$E$9+1,1))-AVERAGE(OFFSET($H$3,0,0,'Données projet'!$E$9+1,1))</f>
        <v>183.65324264438817</v>
      </c>
      <c r="T158" s="62">
        <f t="shared" si="142"/>
        <v>208.38613882433765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21.89531843999892</v>
      </c>
      <c r="AA158" s="23">
        <f>EXP(-LN(2)/25)*AA157+(1-EXP(-LN(2)/25))/(LN(2)/25)*Calculateur!V158*Calculateur!X158*VLOOKUP('Données projet'!$B$9,Paramètres!$A$1:$I$89,3,0)*0.475*44/12</f>
        <v>1.2365480275361598</v>
      </c>
      <c r="AB158" s="23">
        <f>EXP(-LN(2)/2)*AB157+(1-EXP(-LN(2)/2))/(LN(2)/2)*V158*Y158*VLOOKUP('Données projet'!$B$9,Paramètres!$A$1:$I$89,3,0)*0.475*44/12</f>
        <v>5.3921637382637582E-14</v>
      </c>
      <c r="AC158" s="24">
        <f t="shared" si="163"/>
        <v>23.131866467535133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2.8421709430404007E-14</v>
      </c>
      <c r="AJ158" s="14">
        <f>AI158*VLOOKUP('Données projet'!$B$10,Paramètres!$A$1:$I$89,3,0)*VLOOKUP('Données projet'!$B$10,Paramètres!$A$1:$I$89,5,0)</f>
        <v>2.4829205358400945E-14</v>
      </c>
      <c r="AK158" s="14">
        <f t="shared" si="164"/>
        <v>4.3867331143352915E-13</v>
      </c>
      <c r="AL158" s="22">
        <f t="shared" si="165"/>
        <v>8.0726688341261168E-13</v>
      </c>
      <c r="AM158" s="62">
        <f t="shared" si="113"/>
        <v>293.33333333333411</v>
      </c>
      <c r="AN158" s="62">
        <f ca="1">AVERAGE(OFFSET($AM$3,0,0,'Données projet'!$E$10+1,1))-AVERAGE(OFFSET($H$3,0,0,'Données projet'!$E$10+1,1))</f>
        <v>195.53935591077345</v>
      </c>
      <c r="AO158" s="62">
        <f t="shared" si="144"/>
        <v>189.8782192260071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24.898462754982567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24.898462754982567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89.232000000000241</v>
      </c>
      <c r="D159" s="12">
        <f t="shared" si="140"/>
        <v>24.379909604665286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877.00421449215503</v>
      </c>
      <c r="H159" s="70">
        <f t="shared" si="110"/>
        <v>491.20740922812575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1.7053025658242404E-13</v>
      </c>
      <c r="O159" s="14">
        <f>N159*VLOOKUP('Données projet'!$B$9,Paramètres!$A$1:$I$89,3,0)*VLOOKUP('Données projet'!$B$9,Paramètres!$A$1:$I$89,5,0)</f>
        <v>1.0197709343628959E-13</v>
      </c>
      <c r="P159" s="14">
        <f t="shared" si="141"/>
        <v>1.5284983994279675E-12</v>
      </c>
      <c r="Q159" s="22">
        <f t="shared" si="162"/>
        <v>2.839744816738581E-12</v>
      </c>
      <c r="R159" s="62">
        <f t="shared" si="109"/>
        <v>293.33333333333616</v>
      </c>
      <c r="S159" s="62">
        <f ca="1">AVERAGE(OFFSET($R$3,0,0,'Données projet'!$E$9+1,1))-AVERAGE(OFFSET($H$3,0,0,'Données projet'!$E$9+1,1))</f>
        <v>183.65324264438817</v>
      </c>
      <c r="T159" s="62">
        <f t="shared" si="142"/>
        <v>208.38613882433765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21.465964600216111</v>
      </c>
      <c r="AA159" s="23">
        <f>EXP(-LN(2)/25)*AA158+(1-EXP(-LN(2)/25))/(LN(2)/25)*Calculateur!V159*Calculateur!X159*VLOOKUP('Données projet'!$B$9,Paramètres!$A$1:$I$89,3,0)*0.475*44/12</f>
        <v>1.2027345566959489</v>
      </c>
      <c r="AB159" s="23">
        <f>EXP(-LN(2)/2)*AB158+(1-EXP(-LN(2)/2))/(LN(2)/2)*V159*Y159*VLOOKUP('Données projet'!$B$9,Paramètres!$A$1:$I$89,3,0)*0.475*44/12</f>
        <v>3.8128355445945074E-14</v>
      </c>
      <c r="AC159" s="24">
        <f t="shared" si="163"/>
        <v>22.668699156912098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2.8421709430404007E-14</v>
      </c>
      <c r="AJ159" s="14">
        <f>AI159*VLOOKUP('Données projet'!$B$10,Paramètres!$A$1:$I$89,3,0)*VLOOKUP('Données projet'!$B$10,Paramètres!$A$1:$I$89,5,0)</f>
        <v>2.4829205358400945E-14</v>
      </c>
      <c r="AK159" s="14">
        <f t="shared" si="164"/>
        <v>4.3867331143352915E-13</v>
      </c>
      <c r="AL159" s="22">
        <f t="shared" si="165"/>
        <v>8.0726688341261168E-13</v>
      </c>
      <c r="AM159" s="62">
        <f t="shared" si="113"/>
        <v>293.33333333333411</v>
      </c>
      <c r="AN159" s="62">
        <f ca="1">AVERAGE(OFFSET($AM$3,0,0,'Données projet'!$E$10+1,1))-AVERAGE(OFFSET($H$3,0,0,'Données projet'!$E$10+1,1))</f>
        <v>195.53935591077345</v>
      </c>
      <c r="AO159" s="62">
        <f t="shared" si="144"/>
        <v>189.8782192260071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24.41021908692009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24.41021908692009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89.804000000000244</v>
      </c>
      <c r="D160" s="12">
        <f t="shared" si="140"/>
        <v>24.517948517342464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882.48521662510166</v>
      </c>
      <c r="H160" s="70">
        <f t="shared" si="110"/>
        <v>492.44406033437184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1.7053025658242404E-13</v>
      </c>
      <c r="O160" s="14">
        <f>N160*VLOOKUP('Données projet'!$B$9,Paramètres!$A$1:$I$89,3,0)*VLOOKUP('Données projet'!$B$9,Paramètres!$A$1:$I$89,5,0)</f>
        <v>1.0197709343628959E-13</v>
      </c>
      <c r="P160" s="14">
        <f t="shared" si="141"/>
        <v>1.5284983994279675E-12</v>
      </c>
      <c r="Q160" s="22">
        <f t="shared" si="162"/>
        <v>2.839744816738581E-12</v>
      </c>
      <c r="R160" s="62">
        <f t="shared" si="109"/>
        <v>293.33333333333616</v>
      </c>
      <c r="S160" s="62">
        <f ca="1">AVERAGE(OFFSET($R$3,0,0,'Données projet'!$E$9+1,1))-AVERAGE(OFFSET($H$3,0,0,'Données projet'!$E$9+1,1))</f>
        <v>183.65324264438817</v>
      </c>
      <c r="T160" s="62">
        <f t="shared" si="142"/>
        <v>208.38613882433765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21.04503012735146</v>
      </c>
      <c r="AA160" s="23">
        <f>EXP(-LN(2)/25)*AA159+(1-EXP(-LN(2)/25))/(LN(2)/25)*Calculateur!V160*Calculateur!X160*VLOOKUP('Données projet'!$B$9,Paramètres!$A$1:$I$89,3,0)*0.475*44/12</f>
        <v>1.1698457169940366</v>
      </c>
      <c r="AB160" s="23">
        <f>EXP(-LN(2)/2)*AB159+(1-EXP(-LN(2)/2))/(LN(2)/2)*V160*Y160*VLOOKUP('Données projet'!$B$9,Paramètres!$A$1:$I$89,3,0)*0.475*44/12</f>
        <v>2.6960818691318791E-14</v>
      </c>
      <c r="AC160" s="24">
        <f t="shared" si="163"/>
        <v>22.214875844345524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2.8421709430404007E-14</v>
      </c>
      <c r="AJ160" s="14">
        <f>AI160*VLOOKUP('Données projet'!$B$10,Paramètres!$A$1:$I$89,3,0)*VLOOKUP('Données projet'!$B$10,Paramètres!$A$1:$I$89,5,0)</f>
        <v>2.4829205358400945E-14</v>
      </c>
      <c r="AK160" s="14">
        <f t="shared" si="164"/>
        <v>4.3867331143352915E-13</v>
      </c>
      <c r="AL160" s="22">
        <f t="shared" si="165"/>
        <v>8.0726688341261168E-13</v>
      </c>
      <c r="AM160" s="62">
        <f t="shared" si="113"/>
        <v>293.33333333333411</v>
      </c>
      <c r="AN160" s="62">
        <f ca="1">AVERAGE(OFFSET($AM$3,0,0,'Données projet'!$E$10+1,1))-AVERAGE(OFFSET($H$3,0,0,'Données projet'!$E$10+1,1))</f>
        <v>195.53935591077345</v>
      </c>
      <c r="AO160" s="62">
        <f t="shared" si="144"/>
        <v>189.8782192260071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23.931549579389088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23.931549579389088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90.376000000000246</v>
      </c>
      <c r="D161" s="12">
        <f t="shared" si="140"/>
        <v>24.655885124991173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887.96542903502143</v>
      </c>
      <c r="H161" s="70">
        <f t="shared" si="110"/>
        <v>493.68053325936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1.7053025658242404E-13</v>
      </c>
      <c r="O161" s="14">
        <f>N161*VLOOKUP('Données projet'!$B$9,Paramètres!$A$1:$I$89,3,0)*VLOOKUP('Données projet'!$B$9,Paramètres!$A$1:$I$89,5,0)</f>
        <v>1.0197709343628959E-13</v>
      </c>
      <c r="P161" s="14">
        <f t="shared" si="141"/>
        <v>1.5284983994279675E-12</v>
      </c>
      <c r="Q161" s="22">
        <f t="shared" si="162"/>
        <v>2.839744816738581E-12</v>
      </c>
      <c r="R161" s="62">
        <f t="shared" si="109"/>
        <v>293.33333333333616</v>
      </c>
      <c r="S161" s="62">
        <f ca="1">AVERAGE(OFFSET($R$3,0,0,'Données projet'!$E$9+1,1))-AVERAGE(OFFSET($H$3,0,0,'Données projet'!$E$9+1,1))</f>
        <v>183.65324264438817</v>
      </c>
      <c r="T161" s="62">
        <f t="shared" si="142"/>
        <v>208.38613882433765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20.632349922755004</v>
      </c>
      <c r="AA161" s="23">
        <f>EXP(-LN(2)/25)*AA160+(1-EXP(-LN(2)/25))/(LN(2)/25)*Calculateur!V161*Calculateur!X161*VLOOKUP('Données projet'!$B$9,Paramètres!$A$1:$I$89,3,0)*0.475*44/12</f>
        <v>1.1378562243433221</v>
      </c>
      <c r="AB161" s="23">
        <f>EXP(-LN(2)/2)*AB160+(1-EXP(-LN(2)/2))/(LN(2)/2)*V161*Y161*VLOOKUP('Données projet'!$B$9,Paramètres!$A$1:$I$89,3,0)*0.475*44/12</f>
        <v>1.9064177722972537E-14</v>
      </c>
      <c r="AC161" s="24">
        <f t="shared" si="163"/>
        <v>21.770206147098346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2.8421709430404007E-14</v>
      </c>
      <c r="AJ161" s="14">
        <f>AI161*VLOOKUP('Données projet'!$B$10,Paramètres!$A$1:$I$89,3,0)*VLOOKUP('Données projet'!$B$10,Paramètres!$A$1:$I$89,5,0)</f>
        <v>2.4829205358400945E-14</v>
      </c>
      <c r="AK161" s="14">
        <f t="shared" si="164"/>
        <v>4.3867331143352915E-13</v>
      </c>
      <c r="AL161" s="22">
        <f t="shared" si="165"/>
        <v>8.0726688341261168E-13</v>
      </c>
      <c r="AM161" s="62">
        <f t="shared" si="113"/>
        <v>293.33333333333411</v>
      </c>
      <c r="AN161" s="62">
        <f ca="1">AVERAGE(OFFSET($AM$3,0,0,'Données projet'!$E$10+1,1))-AVERAGE(OFFSET($H$3,0,0,'Données projet'!$E$10+1,1))</f>
        <v>195.53935591077345</v>
      </c>
      <c r="AO161" s="62">
        <f t="shared" si="144"/>
        <v>189.8782192260071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23.462266488941196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23.462266488941196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90.948000000000249</v>
      </c>
      <c r="D162" s="12">
        <f t="shared" si="140"/>
        <v>24.793720150224051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893.44485729997712</v>
      </c>
      <c r="H162" s="70">
        <f t="shared" si="110"/>
        <v>494.9168292616406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1.7053025658242404E-13</v>
      </c>
      <c r="O162" s="14">
        <f>N162*VLOOKUP('Données projet'!$B$9,Paramètres!$A$1:$I$89,3,0)*VLOOKUP('Données projet'!$B$9,Paramètres!$A$1:$I$89,5,0)</f>
        <v>1.0197709343628959E-13</v>
      </c>
      <c r="P162" s="14">
        <f t="shared" si="141"/>
        <v>1.5284983994279675E-12</v>
      </c>
      <c r="Q162" s="22">
        <f t="shared" si="162"/>
        <v>2.839744816738581E-12</v>
      </c>
      <c r="R162" s="62">
        <f t="shared" si="109"/>
        <v>293.33333333333616</v>
      </c>
      <c r="S162" s="62">
        <f ca="1">AVERAGE(OFFSET($R$3,0,0,'Données projet'!$E$9+1,1))-AVERAGE(OFFSET($H$3,0,0,'Données projet'!$E$9+1,1))</f>
        <v>183.65324264438817</v>
      </c>
      <c r="T162" s="62">
        <f t="shared" si="142"/>
        <v>208.38613882433765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20.227762125260618</v>
      </c>
      <c r="AA162" s="23">
        <f>EXP(-LN(2)/25)*AA161+(1-EXP(-LN(2)/25))/(LN(2)/25)*Calculateur!V162*Calculateur!X162*VLOOKUP('Données projet'!$B$9,Paramètres!$A$1:$I$89,3,0)*0.475*44/12</f>
        <v>1.1067414860513958</v>
      </c>
      <c r="AB162" s="23">
        <f>EXP(-LN(2)/2)*AB161+(1-EXP(-LN(2)/2))/(LN(2)/2)*V162*Y162*VLOOKUP('Données projet'!$B$9,Paramètres!$A$1:$I$89,3,0)*0.475*44/12</f>
        <v>1.3480409345659396E-14</v>
      </c>
      <c r="AC162" s="24">
        <f t="shared" si="163"/>
        <v>21.334503611312027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2.8421709430404007E-14</v>
      </c>
      <c r="AJ162" s="14">
        <f>AI162*VLOOKUP('Données projet'!$B$10,Paramètres!$A$1:$I$89,3,0)*VLOOKUP('Données projet'!$B$10,Paramètres!$A$1:$I$89,5,0)</f>
        <v>2.4829205358400945E-14</v>
      </c>
      <c r="AK162" s="14">
        <f t="shared" si="164"/>
        <v>4.3867331143352915E-13</v>
      </c>
      <c r="AL162" s="22">
        <f t="shared" si="165"/>
        <v>8.0726688341261168E-13</v>
      </c>
      <c r="AM162" s="62">
        <f t="shared" si="113"/>
        <v>293.33333333333411</v>
      </c>
      <c r="AN162" s="62">
        <f ca="1">AVERAGE(OFFSET($AM$3,0,0,'Données projet'!$E$10+1,1))-AVERAGE(OFFSET($H$3,0,0,'Données projet'!$E$10+1,1))</f>
        <v>195.53935591077345</v>
      </c>
      <c r="AO162" s="62">
        <f t="shared" si="144"/>
        <v>189.8782192260071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23.002185753662566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23.002185753662566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91.520000000000252</v>
      </c>
      <c r="D163" s="12">
        <f t="shared" si="140"/>
        <v>24.931454306038624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898.92350692380887</v>
      </c>
      <c r="H163" s="70">
        <f t="shared" si="110"/>
        <v>496.15294958301769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1.7053025658242404E-13</v>
      </c>
      <c r="O163" s="14">
        <f>N163*VLOOKUP('Données projet'!$B$9,Paramètres!$A$1:$I$89,3,0)*VLOOKUP('Données projet'!$B$9,Paramètres!$A$1:$I$89,5,0)</f>
        <v>1.0197709343628959E-13</v>
      </c>
      <c r="P163" s="14">
        <f t="shared" si="141"/>
        <v>1.5284983994279675E-12</v>
      </c>
      <c r="Q163" s="22">
        <f t="shared" si="162"/>
        <v>2.839744816738581E-12</v>
      </c>
      <c r="R163" s="62">
        <f t="shared" si="109"/>
        <v>293.33333333333616</v>
      </c>
      <c r="S163" s="62">
        <f ca="1">AVERAGE(OFFSET($R$3,0,0,'Données projet'!$E$9+1,1))-AVERAGE(OFFSET($H$3,0,0,'Données projet'!$E$9+1,1))</f>
        <v>183.65324264438817</v>
      </c>
      <c r="T163" s="62">
        <f t="shared" si="142"/>
        <v>208.38613882433765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19.831108047700905</v>
      </c>
      <c r="AA163" s="23">
        <f>EXP(-LN(2)/25)*AA162+(1-EXP(-LN(2)/25))/(LN(2)/25)*Calculateur!V163*Calculateur!X163*VLOOKUP('Données projet'!$B$9,Paramètres!$A$1:$I$89,3,0)*0.475*44/12</f>
        <v>1.0764775819143151</v>
      </c>
      <c r="AB163" s="23">
        <f>EXP(-LN(2)/2)*AB162+(1-EXP(-LN(2)/2))/(LN(2)/2)*V163*Y163*VLOOKUP('Données projet'!$B$9,Paramètres!$A$1:$I$89,3,0)*0.475*44/12</f>
        <v>9.5320888614862684E-15</v>
      </c>
      <c r="AC163" s="24">
        <f t="shared" si="163"/>
        <v>20.90758562961523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2.8421709430404007E-14</v>
      </c>
      <c r="AJ163" s="14">
        <f>AI163*VLOOKUP('Données projet'!$B$10,Paramètres!$A$1:$I$89,3,0)*VLOOKUP('Données projet'!$B$10,Paramètres!$A$1:$I$89,5,0)</f>
        <v>2.4829205358400945E-14</v>
      </c>
      <c r="AK163" s="14">
        <f t="shared" si="164"/>
        <v>4.3867331143352915E-13</v>
      </c>
      <c r="AL163" s="22">
        <f t="shared" si="165"/>
        <v>8.0726688341261168E-13</v>
      </c>
      <c r="AM163" s="62">
        <f t="shared" si="113"/>
        <v>293.33333333333411</v>
      </c>
      <c r="AN163" s="62">
        <f ca="1">AVERAGE(OFFSET($AM$3,0,0,'Données projet'!$E$10+1,1))-AVERAGE(OFFSET($H$3,0,0,'Données projet'!$E$10+1,1))</f>
        <v>195.53935591077345</v>
      </c>
      <c r="AO163" s="62">
        <f t="shared" si="144"/>
        <v>189.8782192260071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22.551126920981211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22.551126920981211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92.092000000000255</v>
      </c>
      <c r="D164" s="12">
        <f t="shared" si="140"/>
        <v>25.069088296004519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904.4013833375808</v>
      </c>
      <c r="H164" s="70">
        <f t="shared" si="110"/>
        <v>497.38889544887496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1.7053025658242404E-13</v>
      </c>
      <c r="O164" s="14">
        <f>N164*VLOOKUP('Données projet'!$B$9,Paramètres!$A$1:$I$89,3,0)*VLOOKUP('Données projet'!$B$9,Paramètres!$A$1:$I$89,5,0)</f>
        <v>1.0197709343628959E-13</v>
      </c>
      <c r="P164" s="14">
        <f t="shared" si="141"/>
        <v>1.5284983994279675E-12</v>
      </c>
      <c r="Q164" s="22">
        <f t="shared" si="162"/>
        <v>2.839744816738581E-12</v>
      </c>
      <c r="R164" s="62">
        <f t="shared" si="109"/>
        <v>293.33333333333616</v>
      </c>
      <c r="S164" s="62">
        <f ca="1">AVERAGE(OFFSET($R$3,0,0,'Données projet'!$E$9+1,1))-AVERAGE(OFFSET($H$3,0,0,'Données projet'!$E$9+1,1))</f>
        <v>183.65324264438817</v>
      </c>
      <c r="T164" s="62">
        <f t="shared" si="142"/>
        <v>208.38613882433765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19.442232114667039</v>
      </c>
      <c r="AA164" s="23">
        <f>EXP(-LN(2)/25)*AA163+(1-EXP(-LN(2)/25))/(LN(2)/25)*Calculateur!V164*Calculateur!X164*VLOOKUP('Données projet'!$B$9,Paramètres!$A$1:$I$89,3,0)*0.475*44/12</f>
        <v>1.0470412458273723</v>
      </c>
      <c r="AB164" s="23">
        <f>EXP(-LN(2)/2)*AB163+(1-EXP(-LN(2)/2))/(LN(2)/2)*V164*Y164*VLOOKUP('Données projet'!$B$9,Paramètres!$A$1:$I$89,3,0)*0.475*44/12</f>
        <v>6.7402046728296978E-15</v>
      </c>
      <c r="AC164" s="24">
        <f t="shared" si="163"/>
        <v>20.489273360494419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2.8421709430404007E-14</v>
      </c>
      <c r="AJ164" s="14">
        <f>AI164*VLOOKUP('Données projet'!$B$10,Paramètres!$A$1:$I$89,3,0)*VLOOKUP('Données projet'!$B$10,Paramètres!$A$1:$I$89,5,0)</f>
        <v>2.4829205358400945E-14</v>
      </c>
      <c r="AK164" s="14">
        <f t="shared" si="164"/>
        <v>4.3867331143352915E-13</v>
      </c>
      <c r="AL164" s="22">
        <f t="shared" si="165"/>
        <v>8.0726688341261168E-13</v>
      </c>
      <c r="AM164" s="62">
        <f t="shared" si="113"/>
        <v>293.33333333333411</v>
      </c>
      <c r="AN164" s="62">
        <f ca="1">AVERAGE(OFFSET($AM$3,0,0,'Données projet'!$E$10+1,1))-AVERAGE(OFFSET($H$3,0,0,'Données projet'!$E$10+1,1))</f>
        <v>195.53935591077345</v>
      </c>
      <c r="AO164" s="62">
        <f t="shared" si="144"/>
        <v>189.8782192260071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22.108913076890016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22.108913076890016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92.664000000000257</v>
      </c>
      <c r="D165" s="12">
        <f t="shared" si="140"/>
        <v>25.206622814445836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909.87849190098734</v>
      </c>
      <c r="H165" s="70">
        <f t="shared" si="110"/>
        <v>498.62466806849358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1.7053025658242404E-13</v>
      </c>
      <c r="O165" s="14">
        <f>N165*VLOOKUP('Données projet'!$B$9,Paramètres!$A$1:$I$89,3,0)*VLOOKUP('Données projet'!$B$9,Paramètres!$A$1:$I$89,5,0)</f>
        <v>1.0197709343628959E-13</v>
      </c>
      <c r="P165" s="14">
        <f t="shared" si="141"/>
        <v>1.5284983994279675E-12</v>
      </c>
      <c r="Q165" s="22">
        <f t="shared" si="162"/>
        <v>2.839744816738581E-12</v>
      </c>
      <c r="R165" s="62">
        <f t="shared" si="109"/>
        <v>293.33333333333616</v>
      </c>
      <c r="S165" s="62">
        <f ca="1">AVERAGE(OFFSET($R$3,0,0,'Données projet'!$E$9+1,1))-AVERAGE(OFFSET($H$3,0,0,'Données projet'!$E$9+1,1))</f>
        <v>183.65324264438817</v>
      </c>
      <c r="T165" s="62">
        <f t="shared" si="142"/>
        <v>208.38613882433765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19.060981801489071</v>
      </c>
      <c r="AA165" s="23">
        <f>EXP(-LN(2)/25)*AA164+(1-EXP(-LN(2)/25))/(LN(2)/25)*Calculateur!V165*Calculateur!X165*VLOOKUP('Données projet'!$B$9,Paramètres!$A$1:$I$89,3,0)*0.475*44/12</f>
        <v>1.0184098478987167</v>
      </c>
      <c r="AB165" s="23">
        <f>EXP(-LN(2)/2)*AB164+(1-EXP(-LN(2)/2))/(LN(2)/2)*V165*Y165*VLOOKUP('Données projet'!$B$9,Paramètres!$A$1:$I$89,3,0)*0.475*44/12</f>
        <v>4.7660444307431342E-15</v>
      </c>
      <c r="AC165" s="24">
        <f t="shared" si="163"/>
        <v>20.079391649387791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2.8421709430404007E-14</v>
      </c>
      <c r="AJ165" s="14">
        <f>AI165*VLOOKUP('Données projet'!$B$10,Paramètres!$A$1:$I$89,3,0)*VLOOKUP('Données projet'!$B$10,Paramètres!$A$1:$I$89,5,0)</f>
        <v>2.4829205358400945E-14</v>
      </c>
      <c r="AK165" s="14">
        <f t="shared" si="164"/>
        <v>4.3867331143352915E-13</v>
      </c>
      <c r="AL165" s="22">
        <f t="shared" si="165"/>
        <v>8.0726688341261168E-13</v>
      </c>
      <c r="AM165" s="62">
        <f t="shared" si="113"/>
        <v>293.33333333333411</v>
      </c>
      <c r="AN165" s="62">
        <f ca="1">AVERAGE(OFFSET($AM$3,0,0,'Données projet'!$E$10+1,1))-AVERAGE(OFFSET($H$3,0,0,'Données projet'!$E$10+1,1))</f>
        <v>195.53935591077345</v>
      </c>
      <c r="AO165" s="62">
        <f t="shared" si="144"/>
        <v>189.8782192260071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21.675370776557635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21.675370776557635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93.23600000000026</v>
      </c>
      <c r="D166" s="12">
        <f t="shared" si="140"/>
        <v>25.34405854661895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915.35483790372734</v>
      </c>
      <c r="H166" s="70">
        <f t="shared" si="110"/>
        <v>499.86026863536176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1.7053025658242404E-13</v>
      </c>
      <c r="O166" s="14">
        <f>N166*VLOOKUP('Données projet'!$B$9,Paramètres!$A$1:$I$89,3,0)*VLOOKUP('Données projet'!$B$9,Paramètres!$A$1:$I$89,5,0)</f>
        <v>1.0197709343628959E-13</v>
      </c>
      <c r="P166" s="14">
        <f t="shared" si="141"/>
        <v>1.5284983994279675E-12</v>
      </c>
      <c r="Q166" s="22">
        <f t="shared" si="162"/>
        <v>2.839744816738581E-12</v>
      </c>
      <c r="R166" s="62">
        <f t="shared" si="109"/>
        <v>293.33333333333616</v>
      </c>
      <c r="S166" s="62">
        <f ca="1">AVERAGE(OFFSET($R$3,0,0,'Données projet'!$E$9+1,1))-AVERAGE(OFFSET($H$3,0,0,'Données projet'!$E$9+1,1))</f>
        <v>183.65324264438817</v>
      </c>
      <c r="T166" s="62">
        <f t="shared" si="142"/>
        <v>208.38613882433765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18.687207574412792</v>
      </c>
      <c r="AA166" s="23">
        <f>EXP(-LN(2)/25)*AA165+(1-EXP(-LN(2)/25))/(LN(2)/25)*Calculateur!V166*Calculateur!X166*VLOOKUP('Données projet'!$B$9,Paramètres!$A$1:$I$89,3,0)*0.475*44/12</f>
        <v>0.99056137705208003</v>
      </c>
      <c r="AB166" s="23">
        <f>EXP(-LN(2)/2)*AB165+(1-EXP(-LN(2)/2))/(LN(2)/2)*V166*Y166*VLOOKUP('Données projet'!$B$9,Paramètres!$A$1:$I$89,3,0)*0.475*44/12</f>
        <v>3.3701023364148489E-15</v>
      </c>
      <c r="AC166" s="24">
        <f t="shared" si="163"/>
        <v>19.677768951464877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2.8421709430404007E-14</v>
      </c>
      <c r="AJ166" s="14">
        <f>AI166*VLOOKUP('Données projet'!$B$10,Paramètres!$A$1:$I$89,3,0)*VLOOKUP('Données projet'!$B$10,Paramètres!$A$1:$I$89,5,0)</f>
        <v>2.4829205358400945E-14</v>
      </c>
      <c r="AK166" s="14">
        <f t="shared" si="164"/>
        <v>4.3867331143352915E-13</v>
      </c>
      <c r="AL166" s="22">
        <f t="shared" si="165"/>
        <v>8.0726688341261168E-13</v>
      </c>
      <c r="AM166" s="62">
        <f t="shared" si="113"/>
        <v>293.33333333333411</v>
      </c>
      <c r="AN166" s="62">
        <f ca="1">AVERAGE(OFFSET($AM$3,0,0,'Données projet'!$E$10+1,1))-AVERAGE(OFFSET($H$3,0,0,'Données projet'!$E$10+1,1))</f>
        <v>195.53935591077345</v>
      </c>
      <c r="AO166" s="62">
        <f t="shared" si="144"/>
        <v>189.8782192260071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21.25032997630008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21.25032997630008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93.808000000000263</v>
      </c>
      <c r="D167" s="12">
        <f t="shared" si="140"/>
        <v>25.481396168885922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920.83042656684074</v>
      </c>
      <c r="H167" s="70">
        <f t="shared" si="110"/>
        <v>501.09569832747673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1.7053025658242404E-13</v>
      </c>
      <c r="O167" s="14">
        <f>N167*VLOOKUP('Données projet'!$B$9,Paramètres!$A$1:$I$89,3,0)*VLOOKUP('Données projet'!$B$9,Paramètres!$A$1:$I$89,5,0)</f>
        <v>1.0197709343628959E-13</v>
      </c>
      <c r="P167" s="14">
        <f t="shared" si="141"/>
        <v>1.5284983994279675E-12</v>
      </c>
      <c r="Q167" s="22">
        <f t="shared" si="162"/>
        <v>2.839744816738581E-12</v>
      </c>
      <c r="R167" s="62">
        <f t="shared" si="109"/>
        <v>293.33333333333616</v>
      </c>
      <c r="S167" s="62">
        <f ca="1">AVERAGE(OFFSET($R$3,0,0,'Données projet'!$E$9+1,1))-AVERAGE(OFFSET($H$3,0,0,'Données projet'!$E$9+1,1))</f>
        <v>183.65324264438817</v>
      </c>
      <c r="T167" s="62">
        <f t="shared" si="142"/>
        <v>208.38613882433765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18.320762831949711</v>
      </c>
      <c r="AA167" s="23">
        <f>EXP(-LN(2)/25)*AA166+(1-EXP(-LN(2)/25))/(LN(2)/25)*Calculateur!V167*Calculateur!X167*VLOOKUP('Données projet'!$B$9,Paramètres!$A$1:$I$89,3,0)*0.475*44/12</f>
        <v>0.96347442410523199</v>
      </c>
      <c r="AB167" s="23">
        <f>EXP(-LN(2)/2)*AB166+(1-EXP(-LN(2)/2))/(LN(2)/2)*V167*Y167*VLOOKUP('Données projet'!$B$9,Paramètres!$A$1:$I$89,3,0)*0.475*44/12</f>
        <v>2.3830222153715671E-15</v>
      </c>
      <c r="AC167" s="24">
        <f t="shared" si="163"/>
        <v>19.284237256054947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2.8421709430404007E-14</v>
      </c>
      <c r="AJ167" s="14">
        <f>AI167*VLOOKUP('Données projet'!$B$10,Paramètres!$A$1:$I$89,3,0)*VLOOKUP('Données projet'!$B$10,Paramètres!$A$1:$I$89,5,0)</f>
        <v>2.4829205358400945E-14</v>
      </c>
      <c r="AK167" s="14">
        <f t="shared" si="164"/>
        <v>4.3867331143352915E-13</v>
      </c>
      <c r="AL167" s="22">
        <f t="shared" si="165"/>
        <v>8.0726688341261168E-13</v>
      </c>
      <c r="AM167" s="62">
        <f t="shared" si="113"/>
        <v>293.33333333333411</v>
      </c>
      <c r="AN167" s="62">
        <f ca="1">AVERAGE(OFFSET($AM$3,0,0,'Données projet'!$E$10+1,1))-AVERAGE(OFFSET($H$3,0,0,'Données projet'!$E$10+1,1))</f>
        <v>195.53935591077345</v>
      </c>
      <c r="AO167" s="62">
        <f t="shared" si="144"/>
        <v>189.8782192260071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20.833623966886286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20.833623966886286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94.380000000000265</v>
      </c>
      <c r="D168" s="12">
        <f t="shared" si="140"/>
        <v>25.618636348883278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926.30526304401337</v>
      </c>
      <c r="H168" s="70">
        <f t="shared" si="110"/>
        <v>502.33095830763881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1.7053025658242404E-13</v>
      </c>
      <c r="O168" s="14">
        <f>N168*VLOOKUP('Données projet'!$B$9,Paramètres!$A$1:$I$89,3,0)*VLOOKUP('Données projet'!$B$9,Paramètres!$A$1:$I$89,5,0)</f>
        <v>1.0197709343628959E-13</v>
      </c>
      <c r="P168" s="14">
        <f t="shared" si="141"/>
        <v>1.5284983994279675E-12</v>
      </c>
      <c r="Q168" s="22">
        <f t="shared" si="162"/>
        <v>2.839744816738581E-12</v>
      </c>
      <c r="R168" s="62">
        <f t="shared" si="109"/>
        <v>293.33333333333616</v>
      </c>
      <c r="S168" s="62">
        <f ca="1">AVERAGE(OFFSET($R$3,0,0,'Données projet'!$E$9+1,1))-AVERAGE(OFFSET($H$3,0,0,'Données projet'!$E$9+1,1))</f>
        <v>183.65324264438817</v>
      </c>
      <c r="T168" s="62">
        <f t="shared" si="142"/>
        <v>208.38613882433765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17.961503847377109</v>
      </c>
      <c r="AA168" s="23">
        <f>EXP(-LN(2)/25)*AA167+(1-EXP(-LN(2)/25))/(LN(2)/25)*Calculateur!V168*Calculateur!X168*VLOOKUP('Données projet'!$B$9,Paramètres!$A$1:$I$89,3,0)*0.475*44/12</f>
        <v>0.9371281653111565</v>
      </c>
      <c r="AB168" s="23">
        <f>EXP(-LN(2)/2)*AB167+(1-EXP(-LN(2)/2))/(LN(2)/2)*V168*Y168*VLOOKUP('Données projet'!$B$9,Paramètres!$A$1:$I$89,3,0)*0.475*44/12</f>
        <v>1.6850511682074245E-15</v>
      </c>
      <c r="AC168" s="24">
        <f t="shared" si="163"/>
        <v>18.898632012688267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2.8421709430404007E-14</v>
      </c>
      <c r="AJ168" s="14">
        <f>AI168*VLOOKUP('Données projet'!$B$10,Paramètres!$A$1:$I$89,3,0)*VLOOKUP('Données projet'!$B$10,Paramètres!$A$1:$I$89,5,0)</f>
        <v>2.4829205358400945E-14</v>
      </c>
      <c r="AK168" s="14">
        <f t="shared" si="164"/>
        <v>4.3867331143352915E-13</v>
      </c>
      <c r="AL168" s="22">
        <f t="shared" si="165"/>
        <v>8.0726688341261168E-13</v>
      </c>
      <c r="AM168" s="62">
        <f t="shared" si="113"/>
        <v>293.33333333333411</v>
      </c>
      <c r="AN168" s="62">
        <f ca="1">AVERAGE(OFFSET($AM$3,0,0,'Données projet'!$E$10+1,1))-AVERAGE(OFFSET($H$3,0,0,'Données projet'!$E$10+1,1))</f>
        <v>195.53935591077345</v>
      </c>
      <c r="AO168" s="62">
        <f t="shared" si="144"/>
        <v>189.8782192260071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20.425089308151527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20.425089308151527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94.952000000000268</v>
      </c>
      <c r="D169" s="12">
        <f t="shared" si="140"/>
        <v>25.755779745686979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931.779352422849</v>
      </c>
      <c r="H169" s="70">
        <f t="shared" si="110"/>
        <v>503.56604972373862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1.7053025658242404E-13</v>
      </c>
      <c r="O169" s="14">
        <f>N169*VLOOKUP('Données projet'!$B$9,Paramètres!$A$1:$I$89,3,0)*VLOOKUP('Données projet'!$B$9,Paramètres!$A$1:$I$89,5,0)</f>
        <v>1.0197709343628959E-13</v>
      </c>
      <c r="P169" s="14">
        <f t="shared" si="141"/>
        <v>1.5284983994279675E-12</v>
      </c>
      <c r="Q169" s="22">
        <f t="shared" si="162"/>
        <v>2.839744816738581E-12</v>
      </c>
      <c r="R169" s="62">
        <f t="shared" si="109"/>
        <v>293.33333333333616</v>
      </c>
      <c r="S169" s="62">
        <f ca="1">AVERAGE(OFFSET($R$3,0,0,'Données projet'!$E$9+1,1))-AVERAGE(OFFSET($H$3,0,0,'Données projet'!$E$9+1,1))</f>
        <v>183.65324264438817</v>
      </c>
      <c r="T169" s="62">
        <f t="shared" si="142"/>
        <v>208.38613882433765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17.60928971236563</v>
      </c>
      <c r="AA169" s="23">
        <f>EXP(-LN(2)/25)*AA168+(1-EXP(-LN(2)/25))/(LN(2)/25)*Calculateur!V169*Calculateur!X169*VLOOKUP('Données projet'!$B$9,Paramètres!$A$1:$I$89,3,0)*0.475*44/12</f>
        <v>0.9115023463492945</v>
      </c>
      <c r="AB169" s="23">
        <f>EXP(-LN(2)/2)*AB168+(1-EXP(-LN(2)/2))/(LN(2)/2)*V169*Y169*VLOOKUP('Données projet'!$B$9,Paramètres!$A$1:$I$89,3,0)*0.475*44/12</f>
        <v>1.1915111076857836E-15</v>
      </c>
      <c r="AC169" s="24">
        <f t="shared" si="163"/>
        <v>18.520792058714925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2.8421709430404007E-14</v>
      </c>
      <c r="AJ169" s="14">
        <f>AI169*VLOOKUP('Données projet'!$B$10,Paramètres!$A$1:$I$89,3,0)*VLOOKUP('Données projet'!$B$10,Paramètres!$A$1:$I$89,5,0)</f>
        <v>2.4829205358400945E-14</v>
      </c>
      <c r="AK169" s="14">
        <f t="shared" si="164"/>
        <v>4.3867331143352915E-13</v>
      </c>
      <c r="AL169" s="22">
        <f t="shared" si="165"/>
        <v>8.0726688341261168E-13</v>
      </c>
      <c r="AM169" s="62">
        <f t="shared" si="113"/>
        <v>293.33333333333411</v>
      </c>
      <c r="AN169" s="62">
        <f ca="1">AVERAGE(OFFSET($AM$3,0,0,'Données projet'!$E$10+1,1))-AVERAGE(OFFSET($H$3,0,0,'Données projet'!$E$10+1,1))</f>
        <v>195.53935591077345</v>
      </c>
      <c r="AO169" s="62">
        <f t="shared" si="144"/>
        <v>189.8782192260071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20.024565764893023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20.024565764893023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95.524000000000271</v>
      </c>
      <c r="D170" s="12">
        <f t="shared" si="140"/>
        <v>25.892827009972834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937.25269972610806</v>
      </c>
      <c r="H170" s="70">
        <f t="shared" si="110"/>
        <v>504.8009737090365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1.7053025658242404E-13</v>
      </c>
      <c r="O170" s="14">
        <f>N170*VLOOKUP('Données projet'!$B$9,Paramètres!$A$1:$I$89,3,0)*VLOOKUP('Données projet'!$B$9,Paramètres!$A$1:$I$89,5,0)</f>
        <v>1.0197709343628959E-13</v>
      </c>
      <c r="P170" s="14">
        <f t="shared" si="141"/>
        <v>1.5284983994279675E-12</v>
      </c>
      <c r="Q170" s="22">
        <f t="shared" si="162"/>
        <v>2.839744816738581E-12</v>
      </c>
      <c r="R170" s="62">
        <f t="shared" si="109"/>
        <v>293.33333333333616</v>
      </c>
      <c r="S170" s="62">
        <f ca="1">AVERAGE(OFFSET($R$3,0,0,'Données projet'!$E$9+1,1))-AVERAGE(OFFSET($H$3,0,0,'Données projet'!$E$9+1,1))</f>
        <v>183.65324264438817</v>
      </c>
      <c r="T170" s="62">
        <f t="shared" si="142"/>
        <v>208.38613882433765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17.263982281712316</v>
      </c>
      <c r="AA170" s="23">
        <f>EXP(-LN(2)/25)*AA169+(1-EXP(-LN(2)/25))/(LN(2)/25)*Calculateur!V170*Calculateur!X170*VLOOKUP('Données projet'!$B$9,Paramètres!$A$1:$I$89,3,0)*0.475*44/12</f>
        <v>0.88657726675454795</v>
      </c>
      <c r="AB170" s="23">
        <f>EXP(-LN(2)/2)*AB169+(1-EXP(-LN(2)/2))/(LN(2)/2)*V170*Y170*VLOOKUP('Données projet'!$B$9,Paramètres!$A$1:$I$89,3,0)*0.475*44/12</f>
        <v>8.4252558410371223E-16</v>
      </c>
      <c r="AC170" s="24">
        <f t="shared" si="163"/>
        <v>18.150559548466862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2.8421709430404007E-14</v>
      </c>
      <c r="AJ170" s="14">
        <f>AI170*VLOOKUP('Données projet'!$B$10,Paramètres!$A$1:$I$89,3,0)*VLOOKUP('Données projet'!$B$10,Paramètres!$A$1:$I$89,5,0)</f>
        <v>2.4829205358400945E-14</v>
      </c>
      <c r="AK170" s="14">
        <f t="shared" si="164"/>
        <v>4.3867331143352915E-13</v>
      </c>
      <c r="AL170" s="22">
        <f t="shared" si="165"/>
        <v>8.0726688341261168E-13</v>
      </c>
      <c r="AM170" s="62">
        <f t="shared" si="113"/>
        <v>293.33333333333411</v>
      </c>
      <c r="AN170" s="62">
        <f ca="1">AVERAGE(OFFSET($AM$3,0,0,'Données projet'!$E$10+1,1))-AVERAGE(OFFSET($H$3,0,0,'Données projet'!$E$10+1,1))</f>
        <v>195.53935591077345</v>
      </c>
      <c r="AO170" s="62">
        <f t="shared" si="144"/>
        <v>189.8782192260071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19.631896244022577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19.631896244022577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96.096000000000274</v>
      </c>
      <c r="D171" s="12">
        <f t="shared" si="140"/>
        <v>26.02977878417342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942.72530991291978</v>
      </c>
      <c r="H171" s="70">
        <f t="shared" si="110"/>
        <v>506.03573138243581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1.7053025658242404E-13</v>
      </c>
      <c r="O171" s="14">
        <f>N171*VLOOKUP('Données projet'!$B$9,Paramètres!$A$1:$I$89,3,0)*VLOOKUP('Données projet'!$B$9,Paramètres!$A$1:$I$89,5,0)</f>
        <v>1.0197709343628959E-13</v>
      </c>
      <c r="P171" s="14">
        <f t="shared" si="141"/>
        <v>1.5284983994279675E-12</v>
      </c>
      <c r="Q171" s="22">
        <f t="shared" si="162"/>
        <v>2.839744816738581E-12</v>
      </c>
      <c r="R171" s="62">
        <f t="shared" si="109"/>
        <v>293.33333333333616</v>
      </c>
      <c r="S171" s="62">
        <f ca="1">AVERAGE(OFFSET($R$3,0,0,'Données projet'!$E$9+1,1))-AVERAGE(OFFSET($H$3,0,0,'Données projet'!$E$9+1,1))</f>
        <v>183.65324264438817</v>
      </c>
      <c r="T171" s="62">
        <f t="shared" si="142"/>
        <v>208.38613882433765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16.925446119157378</v>
      </c>
      <c r="AA171" s="23">
        <f>EXP(-LN(2)/25)*AA170+(1-EXP(-LN(2)/25))/(LN(2)/25)*Calculateur!V171*Calculateur!X171*VLOOKUP('Données projet'!$B$9,Paramètres!$A$1:$I$89,3,0)*0.475*44/12</f>
        <v>0.86233376477207269</v>
      </c>
      <c r="AB171" s="23">
        <f>EXP(-LN(2)/2)*AB170+(1-EXP(-LN(2)/2))/(LN(2)/2)*V171*Y171*VLOOKUP('Données projet'!$B$9,Paramètres!$A$1:$I$89,3,0)*0.475*44/12</f>
        <v>5.9575555384289178E-16</v>
      </c>
      <c r="AC171" s="24">
        <f t="shared" si="163"/>
        <v>17.787779883929449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2.8421709430404007E-14</v>
      </c>
      <c r="AJ171" s="14">
        <f>AI171*VLOOKUP('Données projet'!$B$10,Paramètres!$A$1:$I$89,3,0)*VLOOKUP('Données projet'!$B$10,Paramètres!$A$1:$I$89,5,0)</f>
        <v>2.4829205358400945E-14</v>
      </c>
      <c r="AK171" s="14">
        <f t="shared" si="164"/>
        <v>4.3867331143352915E-13</v>
      </c>
      <c r="AL171" s="22">
        <f t="shared" si="165"/>
        <v>8.0726688341261168E-13</v>
      </c>
      <c r="AM171" s="62">
        <f t="shared" si="113"/>
        <v>293.33333333333411</v>
      </c>
      <c r="AN171" s="62">
        <f ca="1">AVERAGE(OFFSET($AM$3,0,0,'Données projet'!$E$10+1,1))-AVERAGE(OFFSET($H$3,0,0,'Données projet'!$E$10+1,1))</f>
        <v>195.53935591077345</v>
      </c>
      <c r="AO171" s="62">
        <f t="shared" si="144"/>
        <v>189.8782192260071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19.246926732951643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19.246926732951643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96.668000000000276</v>
      </c>
      <c r="D172" s="12">
        <f t="shared" si="140"/>
        <v>26.16663570263081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948.19718787995942</v>
      </c>
      <c r="H172" s="70">
        <f t="shared" si="110"/>
        <v>507.27032384874911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1.7053025658242404E-13</v>
      </c>
      <c r="O172" s="14">
        <f>N172*VLOOKUP('Données projet'!$B$9,Paramètres!$A$1:$I$89,3,0)*VLOOKUP('Données projet'!$B$9,Paramètres!$A$1:$I$89,5,0)</f>
        <v>1.0197709343628959E-13</v>
      </c>
      <c r="P172" s="14">
        <f t="shared" si="141"/>
        <v>1.5284983994279675E-12</v>
      </c>
      <c r="Q172" s="22">
        <f t="shared" si="162"/>
        <v>2.839744816738581E-12</v>
      </c>
      <c r="R172" s="62">
        <f t="shared" si="109"/>
        <v>293.33333333333616</v>
      </c>
      <c r="S172" s="62">
        <f ca="1">AVERAGE(OFFSET($R$3,0,0,'Données projet'!$E$9+1,1))-AVERAGE(OFFSET($H$3,0,0,'Données projet'!$E$9+1,1))</f>
        <v>183.65324264438817</v>
      </c>
      <c r="T172" s="62">
        <f t="shared" si="142"/>
        <v>208.38613882433765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16.593548444263472</v>
      </c>
      <c r="AA172" s="23">
        <f>EXP(-LN(2)/25)*AA171+(1-EXP(-LN(2)/25))/(LN(2)/25)*Calculateur!V172*Calculateur!X172*VLOOKUP('Données projet'!$B$9,Paramètres!$A$1:$I$89,3,0)*0.475*44/12</f>
        <v>0.83875320262621855</v>
      </c>
      <c r="AB172" s="23">
        <f>EXP(-LN(2)/2)*AB171+(1-EXP(-LN(2)/2))/(LN(2)/2)*V172*Y172*VLOOKUP('Données projet'!$B$9,Paramètres!$A$1:$I$89,3,0)*0.475*44/12</f>
        <v>4.2126279205185611E-16</v>
      </c>
      <c r="AC172" s="24">
        <f t="shared" si="163"/>
        <v>17.432301646889691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2.8421709430404007E-14</v>
      </c>
      <c r="AJ172" s="14">
        <f>AI172*VLOOKUP('Données projet'!$B$10,Paramètres!$A$1:$I$89,3,0)*VLOOKUP('Données projet'!$B$10,Paramètres!$A$1:$I$89,5,0)</f>
        <v>2.4829205358400945E-14</v>
      </c>
      <c r="AK172" s="14">
        <f t="shared" si="164"/>
        <v>4.3867331143352915E-13</v>
      </c>
      <c r="AL172" s="22">
        <f t="shared" si="165"/>
        <v>8.0726688341261168E-13</v>
      </c>
      <c r="AM172" s="62">
        <f t="shared" si="113"/>
        <v>293.33333333333411</v>
      </c>
      <c r="AN172" s="62">
        <f ca="1">AVERAGE(OFFSET($AM$3,0,0,'Données projet'!$E$10+1,1))-AVERAGE(OFFSET($H$3,0,0,'Données projet'!$E$10+1,1))</f>
        <v>195.53935591077345</v>
      </c>
      <c r="AO172" s="62">
        <f t="shared" si="144"/>
        <v>189.8782192260071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18.869506239184592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18.869506239184592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97.240000000000279</v>
      </c>
      <c r="D173" s="12">
        <f t="shared" si="140"/>
        <v>26.303398391745809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953.66833846260135</v>
      </c>
      <c r="H173" s="70">
        <f t="shared" si="110"/>
        <v>508.5047521989577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1.7053025658242404E-13</v>
      </c>
      <c r="O173" s="14">
        <f>N173*VLOOKUP('Données projet'!$B$9,Paramètres!$A$1:$I$89,3,0)*VLOOKUP('Données projet'!$B$9,Paramètres!$A$1:$I$89,5,0)</f>
        <v>1.0197709343628959E-13</v>
      </c>
      <c r="P173" s="14">
        <f t="shared" si="141"/>
        <v>1.5284983994279675E-12</v>
      </c>
      <c r="Q173" s="22">
        <f t="shared" si="162"/>
        <v>2.839744816738581E-12</v>
      </c>
      <c r="R173" s="62">
        <f t="shared" si="109"/>
        <v>293.33333333333616</v>
      </c>
      <c r="S173" s="62">
        <f ca="1">AVERAGE(OFFSET($R$3,0,0,'Données projet'!$E$9+1,1))-AVERAGE(OFFSET($H$3,0,0,'Données projet'!$E$9+1,1))</f>
        <v>183.65324264438817</v>
      </c>
      <c r="T173" s="62">
        <f t="shared" si="142"/>
        <v>208.38613882433765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16.268159080336645</v>
      </c>
      <c r="AA173" s="23">
        <f>EXP(-LN(2)/25)*AA172+(1-EXP(-LN(2)/25))/(LN(2)/25)*Calculateur!V173*Calculateur!X173*VLOOKUP('Données projet'!$B$9,Paramètres!$A$1:$I$89,3,0)*0.475*44/12</f>
        <v>0.81581745219229063</v>
      </c>
      <c r="AB173" s="23">
        <f>EXP(-LN(2)/2)*AB172+(1-EXP(-LN(2)/2))/(LN(2)/2)*V173*Y173*VLOOKUP('Données projet'!$B$9,Paramètres!$A$1:$I$89,3,0)*0.475*44/12</f>
        <v>2.9787777692144589E-16</v>
      </c>
      <c r="AC173" s="24">
        <f t="shared" si="163"/>
        <v>17.083976532528936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2.8421709430404007E-14</v>
      </c>
      <c r="AJ173" s="14">
        <f>AI173*VLOOKUP('Données projet'!$B$10,Paramètres!$A$1:$I$89,3,0)*VLOOKUP('Données projet'!$B$10,Paramètres!$A$1:$I$89,5,0)</f>
        <v>2.4829205358400945E-14</v>
      </c>
      <c r="AK173" s="14">
        <f t="shared" si="164"/>
        <v>4.3867331143352915E-13</v>
      </c>
      <c r="AL173" s="22">
        <f t="shared" si="165"/>
        <v>8.0726688341261168E-13</v>
      </c>
      <c r="AM173" s="62">
        <f t="shared" si="113"/>
        <v>293.33333333333411</v>
      </c>
      <c r="AN173" s="62">
        <f ca="1">AVERAGE(OFFSET($AM$3,0,0,'Données projet'!$E$10+1,1))-AVERAGE(OFFSET($H$3,0,0,'Données projet'!$E$10+1,1))</f>
        <v>195.53935591077345</v>
      </c>
      <c r="AO173" s="62">
        <f t="shared" si="144"/>
        <v>189.8782192260071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18.499486731096543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18.499486731096543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97.812000000000282</v>
      </c>
      <c r="D174" s="12">
        <f t="shared" si="140"/>
        <v>26.440067470123353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959.13876643604226</v>
      </c>
      <c r="H174" s="70">
        <f t="shared" si="110"/>
        <v>509.73901751046532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1.7053025658242404E-13</v>
      </c>
      <c r="O174" s="14">
        <f>N174*VLOOKUP('Données projet'!$B$9,Paramètres!$A$1:$I$89,3,0)*VLOOKUP('Données projet'!$B$9,Paramètres!$A$1:$I$89,5,0)</f>
        <v>1.0197709343628959E-13</v>
      </c>
      <c r="P174" s="14">
        <f t="shared" si="141"/>
        <v>1.5284983994279675E-12</v>
      </c>
      <c r="Q174" s="22">
        <f t="shared" si="162"/>
        <v>2.839744816738581E-12</v>
      </c>
      <c r="R174" s="62">
        <f t="shared" si="109"/>
        <v>293.33333333333616</v>
      </c>
      <c r="S174" s="62">
        <f ca="1">AVERAGE(OFFSET($R$3,0,0,'Données projet'!$E$9+1,1))-AVERAGE(OFFSET($H$3,0,0,'Données projet'!$E$9+1,1))</f>
        <v>183.65324264438817</v>
      </c>
      <c r="T174" s="62">
        <f t="shared" si="142"/>
        <v>208.38613882433765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15.949150403368508</v>
      </c>
      <c r="AA174" s="23">
        <f>EXP(-LN(2)/25)*AA173+(1-EXP(-LN(2)/25))/(LN(2)/25)*Calculateur!V174*Calculateur!X174*VLOOKUP('Données projet'!$B$9,Paramètres!$A$1:$I$89,3,0)*0.475*44/12</f>
        <v>0.79350888106011719</v>
      </c>
      <c r="AB174" s="23">
        <f>EXP(-LN(2)/2)*AB173+(1-EXP(-LN(2)/2))/(LN(2)/2)*V174*Y174*VLOOKUP('Données projet'!$B$9,Paramètres!$A$1:$I$89,3,0)*0.475*44/12</f>
        <v>2.1063139602592806E-16</v>
      </c>
      <c r="AC174" s="24">
        <f t="shared" si="163"/>
        <v>16.742659284428626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2.8421709430404007E-14</v>
      </c>
      <c r="AJ174" s="14">
        <f>AI174*VLOOKUP('Données projet'!$B$10,Paramètres!$A$1:$I$89,3,0)*VLOOKUP('Données projet'!$B$10,Paramètres!$A$1:$I$89,5,0)</f>
        <v>2.4829205358400945E-14</v>
      </c>
      <c r="AK174" s="14">
        <f t="shared" si="164"/>
        <v>4.3867331143352915E-13</v>
      </c>
      <c r="AL174" s="22">
        <f t="shared" si="165"/>
        <v>8.0726688341261168E-13</v>
      </c>
      <c r="AM174" s="62">
        <f t="shared" si="113"/>
        <v>293.33333333333411</v>
      </c>
      <c r="AN174" s="62">
        <f ca="1">AVERAGE(OFFSET($AM$3,0,0,'Données projet'!$E$10+1,1))-AVERAGE(OFFSET($H$3,0,0,'Données projet'!$E$10+1,1))</f>
        <v>195.53935591077345</v>
      </c>
      <c r="AO174" s="62">
        <f t="shared" si="144"/>
        <v>189.8782192260071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18.136723079872485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18.136723079872485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98.384000000000285</v>
      </c>
      <c r="D175" s="12">
        <f t="shared" si="140"/>
        <v>26.576643548714685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964.60847651639631</v>
      </c>
      <c r="H175" s="70">
        <f t="shared" si="110"/>
        <v>510.97312084734517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1.7053025658242404E-13</v>
      </c>
      <c r="O175" s="14">
        <f>N175*VLOOKUP('Données projet'!$B$9,Paramètres!$A$1:$I$89,3,0)*VLOOKUP('Données projet'!$B$9,Paramètres!$A$1:$I$89,5,0)</f>
        <v>1.0197709343628959E-13</v>
      </c>
      <c r="P175" s="14">
        <f t="shared" si="141"/>
        <v>1.5284983994279675E-12</v>
      </c>
      <c r="Q175" s="22">
        <f t="shared" si="162"/>
        <v>2.839744816738581E-12</v>
      </c>
      <c r="R175" s="62">
        <f t="shared" si="109"/>
        <v>293.33333333333616</v>
      </c>
      <c r="S175" s="62">
        <f ca="1">AVERAGE(OFFSET($R$3,0,0,'Données projet'!$E$9+1,1))-AVERAGE(OFFSET($H$3,0,0,'Données projet'!$E$9+1,1))</f>
        <v>183.65324264438817</v>
      </c>
      <c r="T175" s="62">
        <f t="shared" si="142"/>
        <v>208.38613882433765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15.636397291979636</v>
      </c>
      <c r="AA175" s="23">
        <f>EXP(-LN(2)/25)*AA174+(1-EXP(-LN(2)/25))/(LN(2)/25)*Calculateur!V175*Calculateur!X175*VLOOKUP('Données projet'!$B$9,Paramètres!$A$1:$I$89,3,0)*0.475*44/12</f>
        <v>0.77181033897870976</v>
      </c>
      <c r="AB175" s="23">
        <f>EXP(-LN(2)/2)*AB174+(1-EXP(-LN(2)/2))/(LN(2)/2)*V175*Y175*VLOOKUP('Données projet'!$B$9,Paramètres!$A$1:$I$89,3,0)*0.475*44/12</f>
        <v>1.4893888846072294E-16</v>
      </c>
      <c r="AC175" s="24">
        <f t="shared" si="163"/>
        <v>16.408207630958344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2.8421709430404007E-14</v>
      </c>
      <c r="AJ175" s="14">
        <f>AI175*VLOOKUP('Données projet'!$B$10,Paramètres!$A$1:$I$89,3,0)*VLOOKUP('Données projet'!$B$10,Paramètres!$A$1:$I$89,5,0)</f>
        <v>2.4829205358400945E-14</v>
      </c>
      <c r="AK175" s="14">
        <f t="shared" si="164"/>
        <v>4.3867331143352915E-13</v>
      </c>
      <c r="AL175" s="22">
        <f t="shared" si="165"/>
        <v>8.0726688341261168E-13</v>
      </c>
      <c r="AM175" s="62">
        <f t="shared" si="113"/>
        <v>293.33333333333411</v>
      </c>
      <c r="AN175" s="62">
        <f ca="1">AVERAGE(OFFSET($AM$3,0,0,'Données projet'!$E$10+1,1))-AVERAGE(OFFSET($H$3,0,0,'Données projet'!$E$10+1,1))</f>
        <v>195.53935591077345</v>
      </c>
      <c r="AO175" s="62">
        <f t="shared" si="144"/>
        <v>189.8782192260071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17.781073002584954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17.781073002584954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98.956000000000287</v>
      </c>
      <c r="D176" s="12">
        <f t="shared" si="140"/>
        <v>26.713127230955948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970.07747336176737</v>
      </c>
      <c r="H176" s="70">
        <f t="shared" si="110"/>
        <v>512.20706326058212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1.7053025658242404E-13</v>
      </c>
      <c r="O176" s="14">
        <f>N176*VLOOKUP('Données projet'!$B$9,Paramètres!$A$1:$I$89,3,0)*VLOOKUP('Données projet'!$B$9,Paramètres!$A$1:$I$89,5,0)</f>
        <v>1.0197709343628959E-13</v>
      </c>
      <c r="P176" s="14">
        <f t="shared" si="141"/>
        <v>1.5284983994279675E-12</v>
      </c>
      <c r="Q176" s="22">
        <f t="shared" si="162"/>
        <v>2.839744816738581E-12</v>
      </c>
      <c r="R176" s="62">
        <f t="shared" si="109"/>
        <v>293.33333333333616</v>
      </c>
      <c r="S176" s="62">
        <f ca="1">AVERAGE(OFFSET($R$3,0,0,'Données projet'!$E$9+1,1))-AVERAGE(OFFSET($H$3,0,0,'Données projet'!$E$9+1,1))</f>
        <v>183.65324264438817</v>
      </c>
      <c r="T176" s="62">
        <f t="shared" si="142"/>
        <v>208.38613882433765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15.329777078344536</v>
      </c>
      <c r="AA176" s="23">
        <f>EXP(-LN(2)/25)*AA175+(1-EXP(-LN(2)/25))/(LN(2)/25)*Calculateur!V176*Calculateur!X176*VLOOKUP('Données projet'!$B$9,Paramètres!$A$1:$I$89,3,0)*0.475*44/12</f>
        <v>0.75070514467159521</v>
      </c>
      <c r="AB176" s="23">
        <f>EXP(-LN(2)/2)*AB175+(1-EXP(-LN(2)/2))/(LN(2)/2)*V176*Y176*VLOOKUP('Données projet'!$B$9,Paramètres!$A$1:$I$89,3,0)*0.475*44/12</f>
        <v>1.0531569801296403E-16</v>
      </c>
      <c r="AC176" s="24">
        <f t="shared" si="163"/>
        <v>16.08048222301613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2.8421709430404007E-14</v>
      </c>
      <c r="AJ176" s="14">
        <f>AI176*VLOOKUP('Données projet'!$B$10,Paramètres!$A$1:$I$89,3,0)*VLOOKUP('Données projet'!$B$10,Paramètres!$A$1:$I$89,5,0)</f>
        <v>2.4829205358400945E-14</v>
      </c>
      <c r="AK176" s="14">
        <f t="shared" si="164"/>
        <v>4.3867331143352915E-13</v>
      </c>
      <c r="AL176" s="22">
        <f t="shared" si="165"/>
        <v>8.0726688341261168E-13</v>
      </c>
      <c r="AM176" s="62">
        <f t="shared" si="113"/>
        <v>293.33333333333411</v>
      </c>
      <c r="AN176" s="62">
        <f ca="1">AVERAGE(OFFSET($AM$3,0,0,'Données projet'!$E$10+1,1))-AVERAGE(OFFSET($H$3,0,0,'Données projet'!$E$10+1,1))</f>
        <v>195.53935591077345</v>
      </c>
      <c r="AO176" s="62">
        <f t="shared" si="144"/>
        <v>189.8782192260071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17.432397006387902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17.432397006387902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99.52800000000029</v>
      </c>
      <c r="D177" s="12">
        <f t="shared" si="140"/>
        <v>26.849519112903394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975.54576157329166</v>
      </c>
      <c r="H177" s="70">
        <f t="shared" si="110"/>
        <v>513.44084578830723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1.7053025658242404E-13</v>
      </c>
      <c r="O177" s="14">
        <f>N177*VLOOKUP('Données projet'!$B$9,Paramètres!$A$1:$I$89,3,0)*VLOOKUP('Données projet'!$B$9,Paramètres!$A$1:$I$89,5,0)</f>
        <v>1.0197709343628959E-13</v>
      </c>
      <c r="P177" s="14">
        <f t="shared" si="141"/>
        <v>1.5284983994279675E-12</v>
      </c>
      <c r="Q177" s="22">
        <f t="shared" si="162"/>
        <v>2.839744816738581E-12</v>
      </c>
      <c r="R177" s="62">
        <f t="shared" si="109"/>
        <v>293.33333333333616</v>
      </c>
      <c r="S177" s="62">
        <f ca="1">AVERAGE(OFFSET($R$3,0,0,'Données projet'!$E$9+1,1))-AVERAGE(OFFSET($H$3,0,0,'Données projet'!$E$9+1,1))</f>
        <v>183.65324264438817</v>
      </c>
      <c r="T177" s="62">
        <f t="shared" si="142"/>
        <v>208.38613882433765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15.029169500078957</v>
      </c>
      <c r="AA177" s="23">
        <f>EXP(-LN(2)/25)*AA176+(1-EXP(-LN(2)/25))/(LN(2)/25)*Calculateur!V177*Calculateur!X177*VLOOKUP('Données projet'!$B$9,Paramètres!$A$1:$I$89,3,0)*0.475*44/12</f>
        <v>0.73017707301268264</v>
      </c>
      <c r="AB177" s="23">
        <f>EXP(-LN(2)/2)*AB176+(1-EXP(-LN(2)/2))/(LN(2)/2)*V177*Y177*VLOOKUP('Données projet'!$B$9,Paramètres!$A$1:$I$89,3,0)*0.475*44/12</f>
        <v>7.4469444230361472E-17</v>
      </c>
      <c r="AC177" s="24">
        <f t="shared" si="163"/>
        <v>15.759346573091641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2.8421709430404007E-14</v>
      </c>
      <c r="AJ177" s="14">
        <f>AI177*VLOOKUP('Données projet'!$B$10,Paramètres!$A$1:$I$89,3,0)*VLOOKUP('Données projet'!$B$10,Paramètres!$A$1:$I$89,5,0)</f>
        <v>2.4829205358400945E-14</v>
      </c>
      <c r="AK177" s="14">
        <f t="shared" si="164"/>
        <v>4.3867331143352915E-13</v>
      </c>
      <c r="AL177" s="22">
        <f t="shared" si="165"/>
        <v>8.0726688341261168E-13</v>
      </c>
      <c r="AM177" s="62">
        <f t="shared" si="113"/>
        <v>293.33333333333411</v>
      </c>
      <c r="AN177" s="62">
        <f ca="1">AVERAGE(OFFSET($AM$3,0,0,'Données projet'!$E$10+1,1))-AVERAGE(OFFSET($H$3,0,0,'Données projet'!$E$10+1,1))</f>
        <v>195.53935591077345</v>
      </c>
      <c r="AO177" s="62">
        <f t="shared" si="144"/>
        <v>189.8782192260071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17.090558333804914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17.090558333804914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100.10000000000029</v>
      </c>
      <c r="D178" s="12">
        <f t="shared" si="140"/>
        <v>26.985819783365756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981.01334569615904</v>
      </c>
      <c r="H178" s="70">
        <f t="shared" si="110"/>
        <v>514.6744694560291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1.7053025658242404E-13</v>
      </c>
      <c r="O178" s="14">
        <f>N178*VLOOKUP('Données projet'!$B$9,Paramètres!$A$1:$I$89,3,0)*VLOOKUP('Données projet'!$B$9,Paramètres!$A$1:$I$89,5,0)</f>
        <v>1.0197709343628959E-13</v>
      </c>
      <c r="P178" s="14">
        <f t="shared" si="141"/>
        <v>1.5284983994279675E-12</v>
      </c>
      <c r="Q178" s="22">
        <f t="shared" si="162"/>
        <v>2.839744816738581E-12</v>
      </c>
      <c r="R178" s="62">
        <f t="shared" si="109"/>
        <v>293.33333333333616</v>
      </c>
      <c r="S178" s="62">
        <f ca="1">AVERAGE(OFFSET($R$3,0,0,'Données projet'!$E$9+1,1))-AVERAGE(OFFSET($H$3,0,0,'Données projet'!$E$9+1,1))</f>
        <v>183.65324264438817</v>
      </c>
      <c r="T178" s="62">
        <f t="shared" si="142"/>
        <v>208.38613882433765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14.73445665307065</v>
      </c>
      <c r="AA178" s="23">
        <f>EXP(-LN(2)/25)*AA177+(1-EXP(-LN(2)/25))/(LN(2)/25)*Calculateur!V178*Calculateur!X178*VLOOKUP('Données projet'!$B$9,Paramètres!$A$1:$I$89,3,0)*0.475*44/12</f>
        <v>0.71021034255280746</v>
      </c>
      <c r="AB178" s="23">
        <f>EXP(-LN(2)/2)*AB177+(1-EXP(-LN(2)/2))/(LN(2)/2)*V178*Y178*VLOOKUP('Données projet'!$B$9,Paramètres!$A$1:$I$89,3,0)*0.475*44/12</f>
        <v>5.2657849006482014E-17</v>
      </c>
      <c r="AC178" s="24">
        <f t="shared" si="163"/>
        <v>15.444666995623457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2.8421709430404007E-14</v>
      </c>
      <c r="AJ178" s="14">
        <f>AI178*VLOOKUP('Données projet'!$B$10,Paramètres!$A$1:$I$89,3,0)*VLOOKUP('Données projet'!$B$10,Paramètres!$A$1:$I$89,5,0)</f>
        <v>2.4829205358400945E-14</v>
      </c>
      <c r="AK178" s="14">
        <f t="shared" si="164"/>
        <v>4.3867331143352915E-13</v>
      </c>
      <c r="AL178" s="22">
        <f t="shared" si="165"/>
        <v>8.0726688341261168E-13</v>
      </c>
      <c r="AM178" s="62">
        <f t="shared" si="113"/>
        <v>293.33333333333411</v>
      </c>
      <c r="AN178" s="62">
        <f ca="1">AVERAGE(OFFSET($AM$3,0,0,'Données projet'!$E$10+1,1))-AVERAGE(OFFSET($H$3,0,0,'Données projet'!$E$10+1,1))</f>
        <v>195.53935591077345</v>
      </c>
      <c r="AO178" s="62">
        <f t="shared" si="144"/>
        <v>189.8782192260071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16.755422909090278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16.755422909090278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100.6720000000003</v>
      </c>
      <c r="D179" s="12">
        <f t="shared" si="140"/>
        <v>27.122029824032985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986.48023022060772</v>
      </c>
      <c r="H179" s="70">
        <f t="shared" si="110"/>
        <v>515.90793527685798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1.7053025658242404E-13</v>
      </c>
      <c r="O179" s="14">
        <f>N179*VLOOKUP('Données projet'!$B$9,Paramètres!$A$1:$I$89,3,0)*VLOOKUP('Données projet'!$B$9,Paramètres!$A$1:$I$89,5,0)</f>
        <v>1.0197709343628959E-13</v>
      </c>
      <c r="P179" s="14">
        <f t="shared" si="141"/>
        <v>1.5284983994279675E-12</v>
      </c>
      <c r="Q179" s="22">
        <f t="shared" si="162"/>
        <v>2.839744816738581E-12</v>
      </c>
      <c r="R179" s="62">
        <f t="shared" si="109"/>
        <v>293.33333333333616</v>
      </c>
      <c r="S179" s="62">
        <f ca="1">AVERAGE(OFFSET($R$3,0,0,'Données projet'!$E$9+1,1))-AVERAGE(OFFSET($H$3,0,0,'Données projet'!$E$9+1,1))</f>
        <v>183.65324264438817</v>
      </c>
      <c r="T179" s="62">
        <f t="shared" si="142"/>
        <v>208.38613882433765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14.445522945235087</v>
      </c>
      <c r="AA179" s="23">
        <f>EXP(-LN(2)/25)*AA178+(1-EXP(-LN(2)/25))/(LN(2)/25)*Calculateur!V179*Calculateur!X179*VLOOKUP('Données projet'!$B$9,Paramètres!$A$1:$I$89,3,0)*0.475*44/12</f>
        <v>0.69078960338736228</v>
      </c>
      <c r="AB179" s="23">
        <f>EXP(-LN(2)/2)*AB178+(1-EXP(-LN(2)/2))/(LN(2)/2)*V179*Y179*VLOOKUP('Données projet'!$B$9,Paramètres!$A$1:$I$89,3,0)*0.475*44/12</f>
        <v>3.7234722115180736E-17</v>
      </c>
      <c r="AC179" s="24">
        <f t="shared" si="163"/>
        <v>15.136312548622449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2.8421709430404007E-14</v>
      </c>
      <c r="AJ179" s="14">
        <f>AI179*VLOOKUP('Données projet'!$B$10,Paramètres!$A$1:$I$89,3,0)*VLOOKUP('Données projet'!$B$10,Paramètres!$A$1:$I$89,5,0)</f>
        <v>2.4829205358400945E-14</v>
      </c>
      <c r="AK179" s="14">
        <f t="shared" si="164"/>
        <v>4.3867331143352915E-13</v>
      </c>
      <c r="AL179" s="22">
        <f t="shared" si="165"/>
        <v>8.0726688341261168E-13</v>
      </c>
      <c r="AM179" s="62">
        <f t="shared" si="113"/>
        <v>293.33333333333411</v>
      </c>
      <c r="AN179" s="62">
        <f ca="1">AVERAGE(OFFSET($AM$3,0,0,'Données projet'!$E$10+1,1))-AVERAGE(OFFSET($H$3,0,0,'Données projet'!$E$10+1,1))</f>
        <v>195.53935591077345</v>
      </c>
      <c r="AO179" s="62">
        <f t="shared" si="144"/>
        <v>189.8782192260071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16.426859285641871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16.426859285641871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101.2440000000003</v>
      </c>
      <c r="D180" s="12">
        <f t="shared" si="140"/>
        <v>27.258149809602568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991.94641958289924</v>
      </c>
      <c r="H180" s="70">
        <f t="shared" si="110"/>
        <v>517.14124425172497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1.7053025658242404E-13</v>
      </c>
      <c r="O180" s="14">
        <f>N180*VLOOKUP('Données projet'!$B$9,Paramètres!$A$1:$I$89,3,0)*VLOOKUP('Données projet'!$B$9,Paramètres!$A$1:$I$89,5,0)</f>
        <v>1.0197709343628959E-13</v>
      </c>
      <c r="P180" s="14">
        <f t="shared" si="141"/>
        <v>1.5284983994279675E-12</v>
      </c>
      <c r="Q180" s="22">
        <f t="shared" si="162"/>
        <v>2.839744816738581E-12</v>
      </c>
      <c r="R180" s="62">
        <f t="shared" si="109"/>
        <v>293.33333333333616</v>
      </c>
      <c r="S180" s="62">
        <f ca="1">AVERAGE(OFFSET($R$3,0,0,'Données projet'!$E$9+1,1))-AVERAGE(OFFSET($H$3,0,0,'Données projet'!$E$9+1,1))</f>
        <v>183.65324264438817</v>
      </c>
      <c r="T180" s="62">
        <f t="shared" si="142"/>
        <v>208.38613882433765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14.16225505117802</v>
      </c>
      <c r="AA180" s="23">
        <f>EXP(-LN(2)/25)*AA179+(1-EXP(-LN(2)/25))/(LN(2)/25)*Calculateur!V180*Calculateur!X180*VLOOKUP('Données projet'!$B$9,Paramètres!$A$1:$I$89,3,0)*0.475*44/12</f>
        <v>0.67189992535568843</v>
      </c>
      <c r="AB180" s="23">
        <f>EXP(-LN(2)/2)*AB179+(1-EXP(-LN(2)/2))/(LN(2)/2)*V180*Y180*VLOOKUP('Données projet'!$B$9,Paramètres!$A$1:$I$89,3,0)*0.475*44/12</f>
        <v>2.6328924503241007E-17</v>
      </c>
      <c r="AC180" s="24">
        <f t="shared" si="163"/>
        <v>14.834154976533709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2.8421709430404007E-14</v>
      </c>
      <c r="AJ180" s="14">
        <f>AI180*VLOOKUP('Données projet'!$B$10,Paramètres!$A$1:$I$89,3,0)*VLOOKUP('Données projet'!$B$10,Paramètres!$A$1:$I$89,5,0)</f>
        <v>2.4829205358400945E-14</v>
      </c>
      <c r="AK180" s="14">
        <f t="shared" si="164"/>
        <v>4.3867331143352915E-13</v>
      </c>
      <c r="AL180" s="22">
        <f t="shared" si="165"/>
        <v>8.0726688341261168E-13</v>
      </c>
      <c r="AM180" s="62">
        <f t="shared" si="113"/>
        <v>293.33333333333411</v>
      </c>
      <c r="AN180" s="62">
        <f ca="1">AVERAGE(OFFSET($AM$3,0,0,'Données projet'!$E$10+1,1))-AVERAGE(OFFSET($H$3,0,0,'Données projet'!$E$10+1,1))</f>
        <v>195.53935591077345</v>
      </c>
      <c r="AO180" s="62">
        <f t="shared" si="144"/>
        <v>189.8782192260071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16.104738594445266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16.104738594445266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101.8160000000003</v>
      </c>
      <c r="D181" s="12">
        <f t="shared" si="140"/>
        <v>27.394180307902275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997.41191816626576</v>
      </c>
      <c r="H181" s="70">
        <f t="shared" si="110"/>
        <v>518.37439736959698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1.7053025658242404E-13</v>
      </c>
      <c r="O181" s="14">
        <f>N181*VLOOKUP('Données projet'!$B$9,Paramètres!$A$1:$I$89,3,0)*VLOOKUP('Données projet'!$B$9,Paramètres!$A$1:$I$89,5,0)</f>
        <v>1.0197709343628959E-13</v>
      </c>
      <c r="P181" s="14">
        <f t="shared" si="141"/>
        <v>1.5284983994279675E-12</v>
      </c>
      <c r="Q181" s="22">
        <f t="shared" si="162"/>
        <v>2.839744816738581E-12</v>
      </c>
      <c r="R181" s="62">
        <f t="shared" si="109"/>
        <v>293.33333333333616</v>
      </c>
      <c r="S181" s="62">
        <f ca="1">AVERAGE(OFFSET($R$3,0,0,'Données projet'!$E$9+1,1))-AVERAGE(OFFSET($H$3,0,0,'Données projet'!$E$9+1,1))</f>
        <v>183.65324264438817</v>
      </c>
      <c r="T181" s="62">
        <f t="shared" si="142"/>
        <v>208.38613882433765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13.884541867747057</v>
      </c>
      <c r="AA181" s="23">
        <f>EXP(-LN(2)/25)*AA180+(1-EXP(-LN(2)/25))/(LN(2)/25)*Calculateur!V181*Calculateur!X181*VLOOKUP('Données projet'!$B$9,Paramètres!$A$1:$I$89,3,0)*0.475*44/12</f>
        <v>0.65352678656315566</v>
      </c>
      <c r="AB181" s="23">
        <f>EXP(-LN(2)/2)*AB180+(1-EXP(-LN(2)/2))/(LN(2)/2)*V181*Y181*VLOOKUP('Données projet'!$B$9,Paramètres!$A$1:$I$89,3,0)*0.475*44/12</f>
        <v>1.8617361057590368E-17</v>
      </c>
      <c r="AC181" s="24">
        <f t="shared" si="163"/>
        <v>14.538068654310212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2.8421709430404007E-14</v>
      </c>
      <c r="AJ181" s="14">
        <f>AI181*VLOOKUP('Données projet'!$B$10,Paramètres!$A$1:$I$89,3,0)*VLOOKUP('Données projet'!$B$10,Paramètres!$A$1:$I$89,5,0)</f>
        <v>2.4829205358400945E-14</v>
      </c>
      <c r="AK181" s="14">
        <f t="shared" si="164"/>
        <v>4.3867331143352915E-13</v>
      </c>
      <c r="AL181" s="22">
        <f t="shared" si="165"/>
        <v>8.0726688341261168E-13</v>
      </c>
      <c r="AM181" s="62">
        <f t="shared" si="113"/>
        <v>293.33333333333411</v>
      </c>
      <c r="AN181" s="62">
        <f ca="1">AVERAGE(OFFSET($AM$3,0,0,'Données projet'!$E$10+1,1))-AVERAGE(OFFSET($H$3,0,0,'Données projet'!$E$10+1,1))</f>
        <v>195.53935591077345</v>
      </c>
      <c r="AO181" s="62">
        <f t="shared" si="144"/>
        <v>189.8782192260071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15.788934493528803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15.788934493528803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102.3880000000003</v>
      </c>
      <c r="D182" s="12">
        <f t="shared" si="140"/>
        <v>27.530121880010768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1002.87673030184</v>
      </c>
      <c r="H182" s="70">
        <f t="shared" si="110"/>
        <v>519.60739560768593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1.7053025658242404E-13</v>
      </c>
      <c r="O182" s="14">
        <f>N182*VLOOKUP('Données projet'!$B$9,Paramètres!$A$1:$I$89,3,0)*VLOOKUP('Données projet'!$B$9,Paramètres!$A$1:$I$89,5,0)</f>
        <v>1.0197709343628959E-13</v>
      </c>
      <c r="P182" s="14">
        <f t="shared" si="141"/>
        <v>1.5284983994279675E-12</v>
      </c>
      <c r="Q182" s="22">
        <f t="shared" si="162"/>
        <v>2.839744816738581E-12</v>
      </c>
      <c r="R182" s="62">
        <f t="shared" si="109"/>
        <v>293.33333333333616</v>
      </c>
      <c r="S182" s="62">
        <f ca="1">AVERAGE(OFFSET($R$3,0,0,'Données projet'!$E$9+1,1))-AVERAGE(OFFSET($H$3,0,0,'Données projet'!$E$9+1,1))</f>
        <v>183.65324264438817</v>
      </c>
      <c r="T182" s="62">
        <f t="shared" si="142"/>
        <v>208.38613882433765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13.612274470454858</v>
      </c>
      <c r="AA182" s="23">
        <f>EXP(-LN(2)/25)*AA181+(1-EXP(-LN(2)/25))/(LN(2)/25)*Calculateur!V182*Calculateur!X182*VLOOKUP('Données projet'!$B$9,Paramètres!$A$1:$I$89,3,0)*0.475*44/12</f>
        <v>0.63565606221710613</v>
      </c>
      <c r="AB182" s="23">
        <f>EXP(-LN(2)/2)*AB181+(1-EXP(-LN(2)/2))/(LN(2)/2)*V182*Y182*VLOOKUP('Données projet'!$B$9,Paramètres!$A$1:$I$89,3,0)*0.475*44/12</f>
        <v>1.3164462251620504E-17</v>
      </c>
      <c r="AC182" s="24">
        <f t="shared" si="163"/>
        <v>14.247930532671965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2.8421709430404007E-14</v>
      </c>
      <c r="AJ182" s="14">
        <f>AI182*VLOOKUP('Données projet'!$B$10,Paramètres!$A$1:$I$89,3,0)*VLOOKUP('Données projet'!$B$10,Paramètres!$A$1:$I$89,5,0)</f>
        <v>2.4829205358400945E-14</v>
      </c>
      <c r="AK182" s="14">
        <f t="shared" si="164"/>
        <v>4.3867331143352915E-13</v>
      </c>
      <c r="AL182" s="22">
        <f t="shared" si="165"/>
        <v>8.0726688341261168E-13</v>
      </c>
      <c r="AM182" s="62">
        <f t="shared" si="113"/>
        <v>293.33333333333411</v>
      </c>
      <c r="AN182" s="62">
        <f ca="1">AVERAGE(OFFSET($AM$3,0,0,'Données projet'!$E$10+1,1))-AVERAGE(OFFSET($H$3,0,0,'Données projet'!$E$10+1,1))</f>
        <v>195.53935591077345</v>
      </c>
      <c r="AO182" s="62">
        <f t="shared" si="144"/>
        <v>189.8782192260071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15.47932311840983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15.47932311840983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102.96000000000031</v>
      </c>
      <c r="D183" s="12">
        <f t="shared" si="140"/>
        <v>27.665975080374707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1008.3408602695614</v>
      </c>
      <c r="H183" s="70">
        <f t="shared" si="110"/>
        <v>520.84023993165306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1.7053025658242404E-13</v>
      </c>
      <c r="O183" s="14">
        <f>N183*VLOOKUP('Données projet'!$B$9,Paramètres!$A$1:$I$89,3,0)*VLOOKUP('Données projet'!$B$9,Paramètres!$A$1:$I$89,5,0)</f>
        <v>1.0197709343628959E-13</v>
      </c>
      <c r="P183" s="14">
        <f t="shared" si="141"/>
        <v>1.5284983994279675E-12</v>
      </c>
      <c r="Q183" s="22">
        <f t="shared" si="162"/>
        <v>2.839744816738581E-12</v>
      </c>
      <c r="R183" s="62">
        <f t="shared" si="109"/>
        <v>293.33333333333616</v>
      </c>
      <c r="S183" s="62">
        <f ca="1">AVERAGE(OFFSET($R$3,0,0,'Données projet'!$E$9+1,1))-AVERAGE(OFFSET($H$3,0,0,'Données projet'!$E$9+1,1))</f>
        <v>183.65324264438817</v>
      </c>
      <c r="T183" s="62">
        <f t="shared" si="142"/>
        <v>208.38613882433765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13.345346070756845</v>
      </c>
      <c r="AA183" s="23">
        <f>EXP(-LN(2)/25)*AA182+(1-EXP(-LN(2)/25))/(LN(2)/25)*Calculateur!V183*Calculateur!X183*VLOOKUP('Données projet'!$B$9,Paramètres!$A$1:$I$89,3,0)*0.475*44/12</f>
        <v>0.61827401376807989</v>
      </c>
      <c r="AB183" s="23">
        <f>EXP(-LN(2)/2)*AB182+(1-EXP(-LN(2)/2))/(LN(2)/2)*V183*Y183*VLOOKUP('Données projet'!$B$9,Paramètres!$A$1:$I$89,3,0)*0.475*44/12</f>
        <v>9.308680528795184E-18</v>
      </c>
      <c r="AC183" s="24">
        <f t="shared" si="163"/>
        <v>13.963620084524925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2.8421709430404007E-14</v>
      </c>
      <c r="AJ183" s="14">
        <f>AI183*VLOOKUP('Données projet'!$B$10,Paramètres!$A$1:$I$89,3,0)*VLOOKUP('Données projet'!$B$10,Paramètres!$A$1:$I$89,5,0)</f>
        <v>2.4829205358400945E-14</v>
      </c>
      <c r="AK183" s="14">
        <f t="shared" si="164"/>
        <v>4.3867331143352915E-13</v>
      </c>
      <c r="AL183" s="22">
        <f t="shared" si="165"/>
        <v>8.0726688341261168E-13</v>
      </c>
      <c r="AM183" s="62">
        <f t="shared" si="113"/>
        <v>293.33333333333411</v>
      </c>
      <c r="AN183" s="62">
        <f ca="1">AVERAGE(OFFSET($AM$3,0,0,'Données projet'!$E$10+1,1))-AVERAGE(OFFSET($H$3,0,0,'Données projet'!$E$10+1,1))</f>
        <v>195.53935591077345</v>
      </c>
      <c r="AO183" s="62">
        <f t="shared" si="144"/>
        <v>189.8782192260071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15.17578303351265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15.17578303351265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103.53200000000031</v>
      </c>
      <c r="D184" s="12">
        <f t="shared" si="140"/>
        <v>27.801740456923778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1013.8043122990631</v>
      </c>
      <c r="H184" s="70">
        <f t="shared" si="110"/>
        <v>522.07293129580944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1.7053025658242404E-13</v>
      </c>
      <c r="O184" s="14">
        <f>N184*VLOOKUP('Données projet'!$B$9,Paramètres!$A$1:$I$89,3,0)*VLOOKUP('Données projet'!$B$9,Paramètres!$A$1:$I$89,5,0)</f>
        <v>1.0197709343628959E-13</v>
      </c>
      <c r="P184" s="14">
        <f t="shared" si="141"/>
        <v>1.5284983994279675E-12</v>
      </c>
      <c r="Q184" s="22">
        <f t="shared" si="162"/>
        <v>2.839744816738581E-12</v>
      </c>
      <c r="R184" s="62">
        <f t="shared" si="109"/>
        <v>293.33333333333616</v>
      </c>
      <c r="S184" s="62">
        <f ca="1">AVERAGE(OFFSET($R$3,0,0,'Données projet'!$E$9+1,1))-AVERAGE(OFFSET($H$3,0,0,'Données projet'!$E$9+1,1))</f>
        <v>183.65324264438817</v>
      </c>
      <c r="T184" s="62">
        <f t="shared" si="142"/>
        <v>208.38613882433765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13.083651974166662</v>
      </c>
      <c r="AA184" s="23">
        <f>EXP(-LN(2)/25)*AA183+(1-EXP(-LN(2)/25))/(LN(2)/25)*Calculateur!V184*Calculateur!X184*VLOOKUP('Données projet'!$B$9,Paramètres!$A$1:$I$89,3,0)*0.475*44/12</f>
        <v>0.60136727834797443</v>
      </c>
      <c r="AB184" s="23">
        <f>EXP(-LN(2)/2)*AB183+(1-EXP(-LN(2)/2))/(LN(2)/2)*V184*Y184*VLOOKUP('Données projet'!$B$9,Paramètres!$A$1:$I$89,3,0)*0.475*44/12</f>
        <v>6.5822311258102518E-18</v>
      </c>
      <c r="AC184" s="24">
        <f t="shared" si="163"/>
        <v>13.685019252514635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2.8421709430404007E-14</v>
      </c>
      <c r="AJ184" s="14">
        <f>AI184*VLOOKUP('Données projet'!$B$10,Paramètres!$A$1:$I$89,3,0)*VLOOKUP('Données projet'!$B$10,Paramètres!$A$1:$I$89,5,0)</f>
        <v>2.4829205358400945E-14</v>
      </c>
      <c r="AK184" s="14">
        <f t="shared" si="164"/>
        <v>4.3867331143352915E-13</v>
      </c>
      <c r="AL184" s="22">
        <f t="shared" si="165"/>
        <v>8.0726688341261168E-13</v>
      </c>
      <c r="AM184" s="62">
        <f t="shared" si="113"/>
        <v>293.33333333333411</v>
      </c>
      <c r="AN184" s="62">
        <f ca="1">AVERAGE(OFFSET($AM$3,0,0,'Données projet'!$E$10+1,1))-AVERAGE(OFFSET($H$3,0,0,'Données projet'!$E$10+1,1))</f>
        <v>195.53935591077345</v>
      </c>
      <c r="AO184" s="62">
        <f t="shared" si="144"/>
        <v>189.8782192260071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14.878195184539132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14.878195184539132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104.10400000000031</v>
      </c>
      <c r="D185" s="12">
        <f t="shared" si="140"/>
        <v>27.937418551182752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1019.267090570536</v>
      </c>
      <c r="H185" s="70">
        <f t="shared" si="110"/>
        <v>523.3054706433104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1.7053025658242404E-13</v>
      </c>
      <c r="O185" s="14">
        <f>N185*VLOOKUP('Données projet'!$B$9,Paramètres!$A$1:$I$89,3,0)*VLOOKUP('Données projet'!$B$9,Paramètres!$A$1:$I$89,5,0)</f>
        <v>1.0197709343628959E-13</v>
      </c>
      <c r="P185" s="14">
        <f t="shared" si="141"/>
        <v>1.5284983994279675E-12</v>
      </c>
      <c r="Q185" s="22">
        <f t="shared" si="162"/>
        <v>2.839744816738581E-12</v>
      </c>
      <c r="R185" s="62">
        <f t="shared" si="109"/>
        <v>293.33333333333616</v>
      </c>
      <c r="S185" s="62">
        <f ca="1">AVERAGE(OFFSET($R$3,0,0,'Données projet'!$E$9+1,1))-AVERAGE(OFFSET($H$3,0,0,'Données projet'!$E$9+1,1))</f>
        <v>183.65324264438817</v>
      </c>
      <c r="T185" s="62">
        <f t="shared" si="142"/>
        <v>208.38613882433765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12.827089539192974</v>
      </c>
      <c r="AA185" s="23">
        <f>EXP(-LN(2)/25)*AA184+(1-EXP(-LN(2)/25))/(LN(2)/25)*Calculateur!V185*Calculateur!X185*VLOOKUP('Données projet'!$B$9,Paramètres!$A$1:$I$89,3,0)*0.475*44/12</f>
        <v>0.58492285849701831</v>
      </c>
      <c r="AB185" s="23">
        <f>EXP(-LN(2)/2)*AB184+(1-EXP(-LN(2)/2))/(LN(2)/2)*V185*Y185*VLOOKUP('Données projet'!$B$9,Paramètres!$A$1:$I$89,3,0)*0.475*44/12</f>
        <v>4.654340264397592E-18</v>
      </c>
      <c r="AC185" s="24">
        <f t="shared" si="163"/>
        <v>13.412012397689992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2.8421709430404007E-14</v>
      </c>
      <c r="AJ185" s="14">
        <f>AI185*VLOOKUP('Données projet'!$B$10,Paramètres!$A$1:$I$89,3,0)*VLOOKUP('Données projet'!$B$10,Paramètres!$A$1:$I$89,5,0)</f>
        <v>2.4829205358400945E-14</v>
      </c>
      <c r="AK185" s="14">
        <f t="shared" si="164"/>
        <v>4.3867331143352915E-13</v>
      </c>
      <c r="AL185" s="22">
        <f t="shared" si="165"/>
        <v>8.0726688341261168E-13</v>
      </c>
      <c r="AM185" s="62">
        <f t="shared" si="113"/>
        <v>293.33333333333411</v>
      </c>
      <c r="AN185" s="62">
        <f ca="1">AVERAGE(OFFSET($AM$3,0,0,'Données projet'!$E$10+1,1))-AVERAGE(OFFSET($H$3,0,0,'Données projet'!$E$10+1,1))</f>
        <v>195.53935591077345</v>
      </c>
      <c r="AO185" s="62">
        <f t="shared" si="144"/>
        <v>189.8782192260071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14.58644285177332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14.58644285177332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104.67600000000031</v>
      </c>
      <c r="D186" s="12">
        <f t="shared" si="140"/>
        <v>28.073009898381205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1024.7291992155767</v>
      </c>
      <c r="H186" s="70">
        <f t="shared" si="110"/>
        <v>524.53785890634776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1.7053025658242404E-13</v>
      </c>
      <c r="O186" s="14">
        <f>N186*VLOOKUP('Données projet'!$B$9,Paramètres!$A$1:$I$89,3,0)*VLOOKUP('Données projet'!$B$9,Paramètres!$A$1:$I$89,5,0)</f>
        <v>1.0197709343628959E-13</v>
      </c>
      <c r="P186" s="14">
        <f t="shared" si="141"/>
        <v>1.5284983994279675E-12</v>
      </c>
      <c r="Q186" s="22">
        <f t="shared" si="162"/>
        <v>2.839744816738581E-12</v>
      </c>
      <c r="R186" s="62">
        <f t="shared" si="109"/>
        <v>293.33333333333616</v>
      </c>
      <c r="S186" s="62">
        <f ca="1">AVERAGE(OFFSET($R$3,0,0,'Données projet'!$E$9+1,1))-AVERAGE(OFFSET($H$3,0,0,'Données projet'!$E$9+1,1))</f>
        <v>183.65324264438817</v>
      </c>
      <c r="T186" s="62">
        <f t="shared" si="142"/>
        <v>208.38613882433765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12.575558137081487</v>
      </c>
      <c r="AA186" s="23">
        <f>EXP(-LN(2)/25)*AA185+(1-EXP(-LN(2)/25))/(LN(2)/25)*Calculateur!V186*Calculateur!X186*VLOOKUP('Données projet'!$B$9,Paramètres!$A$1:$I$89,3,0)*0.475*44/12</f>
        <v>0.56892811217166106</v>
      </c>
      <c r="AB186" s="23">
        <f>EXP(-LN(2)/2)*AB185+(1-EXP(-LN(2)/2))/(LN(2)/2)*V186*Y186*VLOOKUP('Données projet'!$B$9,Paramètres!$A$1:$I$89,3,0)*0.475*44/12</f>
        <v>3.2911155629051259E-18</v>
      </c>
      <c r="AC186" s="24">
        <f t="shared" si="163"/>
        <v>13.144486249253148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2.8421709430404007E-14</v>
      </c>
      <c r="AJ186" s="14">
        <f>AI186*VLOOKUP('Données projet'!$B$10,Paramètres!$A$1:$I$89,3,0)*VLOOKUP('Données projet'!$B$10,Paramètres!$A$1:$I$89,5,0)</f>
        <v>2.4829205358400945E-14</v>
      </c>
      <c r="AK186" s="14">
        <f t="shared" si="164"/>
        <v>4.3867331143352915E-13</v>
      </c>
      <c r="AL186" s="22">
        <f t="shared" si="165"/>
        <v>8.0726688341261168E-13</v>
      </c>
      <c r="AM186" s="62">
        <f t="shared" si="113"/>
        <v>293.33333333333411</v>
      </c>
      <c r="AN186" s="62">
        <f ca="1">AVERAGE(OFFSET($AM$3,0,0,'Données projet'!$E$10+1,1))-AVERAGE(OFFSET($H$3,0,0,'Données projet'!$E$10+1,1))</f>
        <v>195.53935591077345</v>
      </c>
      <c r="AO186" s="62">
        <f t="shared" si="144"/>
        <v>189.8782192260071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14.300411604301694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14.300411604301694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105.24800000000032</v>
      </c>
      <c r="D187" s="12">
        <f t="shared" si="140"/>
        <v>28.208515027560601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1030.1906423180142</v>
      </c>
      <c r="H187" s="70">
        <f t="shared" si="110"/>
        <v>525.77009700633528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1.7053025658242404E-13</v>
      </c>
      <c r="O187" s="14">
        <f>N187*VLOOKUP('Données projet'!$B$9,Paramètres!$A$1:$I$89,3,0)*VLOOKUP('Données projet'!$B$9,Paramètres!$A$1:$I$89,5,0)</f>
        <v>1.0197709343628959E-13</v>
      </c>
      <c r="P187" s="14">
        <f t="shared" si="141"/>
        <v>1.5284983994279675E-12</v>
      </c>
      <c r="Q187" s="22">
        <f t="shared" si="162"/>
        <v>2.839744816738581E-12</v>
      </c>
      <c r="R187" s="62">
        <f t="shared" si="109"/>
        <v>293.33333333333616</v>
      </c>
      <c r="S187" s="62">
        <f ca="1">AVERAGE(OFFSET($R$3,0,0,'Données projet'!$E$9+1,1))-AVERAGE(OFFSET($H$3,0,0,'Données projet'!$E$9+1,1))</f>
        <v>183.65324264438817</v>
      </c>
      <c r="T187" s="62">
        <f t="shared" si="142"/>
        <v>208.38613882433765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12.3289591123464</v>
      </c>
      <c r="AA187" s="23">
        <f>EXP(-LN(2)/25)*AA186+(1-EXP(-LN(2)/25))/(LN(2)/25)*Calculateur!V187*Calculateur!X187*VLOOKUP('Données projet'!$B$9,Paramètres!$A$1:$I$89,3,0)*0.475*44/12</f>
        <v>0.55337074302569789</v>
      </c>
      <c r="AB187" s="23">
        <f>EXP(-LN(2)/2)*AB186+(1-EXP(-LN(2)/2))/(LN(2)/2)*V187*Y187*VLOOKUP('Données projet'!$B$9,Paramètres!$A$1:$I$89,3,0)*0.475*44/12</f>
        <v>2.327170132198796E-18</v>
      </c>
      <c r="AC187" s="24">
        <f t="shared" si="163"/>
        <v>12.882329855372097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2.8421709430404007E-14</v>
      </c>
      <c r="AJ187" s="14">
        <f>AI187*VLOOKUP('Données projet'!$B$10,Paramètres!$A$1:$I$89,3,0)*VLOOKUP('Données projet'!$B$10,Paramètres!$A$1:$I$89,5,0)</f>
        <v>2.4829205358400945E-14</v>
      </c>
      <c r="AK187" s="14">
        <f t="shared" si="164"/>
        <v>4.3867331143352915E-13</v>
      </c>
      <c r="AL187" s="22">
        <f t="shared" si="165"/>
        <v>8.0726688341261168E-13</v>
      </c>
      <c r="AM187" s="62">
        <f t="shared" si="113"/>
        <v>293.33333333333411</v>
      </c>
      <c r="AN187" s="62">
        <f ca="1">AVERAGE(OFFSET($AM$3,0,0,'Données projet'!$E$10+1,1))-AVERAGE(OFFSET($H$3,0,0,'Données projet'!$E$10+1,1))</f>
        <v>195.53935591077345</v>
      </c>
      <c r="AO187" s="62">
        <f t="shared" si="144"/>
        <v>189.8782192260071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14.019989255131151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14.019989255131151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105.82000000000032</v>
      </c>
      <c r="D188" s="12">
        <f t="shared" si="140"/>
        <v>28.343934461679151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1035.6514239147189</v>
      </c>
      <c r="H188" s="70">
        <f t="shared" si="110"/>
        <v>527.00218585409175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1.7053025658242404E-13</v>
      </c>
      <c r="O188" s="14">
        <f>N188*VLOOKUP('Données projet'!$B$9,Paramètres!$A$1:$I$89,3,0)*VLOOKUP('Données projet'!$B$9,Paramètres!$A$1:$I$89,5,0)</f>
        <v>1.0197709343628959E-13</v>
      </c>
      <c r="P188" s="14">
        <f t="shared" si="141"/>
        <v>1.5284983994279675E-12</v>
      </c>
      <c r="Q188" s="22">
        <f t="shared" si="162"/>
        <v>2.839744816738581E-12</v>
      </c>
      <c r="R188" s="62">
        <f t="shared" si="109"/>
        <v>293.33333333333616</v>
      </c>
      <c r="S188" s="62">
        <f ca="1">AVERAGE(OFFSET($R$3,0,0,'Données projet'!$E$9+1,1))-AVERAGE(OFFSET($H$3,0,0,'Données projet'!$E$9+1,1))</f>
        <v>183.65324264438817</v>
      </c>
      <c r="T188" s="62">
        <f t="shared" si="142"/>
        <v>208.38613882433765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12.087195744075816</v>
      </c>
      <c r="AA188" s="23">
        <f>EXP(-LN(2)/25)*AA187+(1-EXP(-LN(2)/25))/(LN(2)/25)*Calculateur!V188*Calculateur!X188*VLOOKUP('Données projet'!$B$9,Paramètres!$A$1:$I$89,3,0)*0.475*44/12</f>
        <v>0.53823879095715754</v>
      </c>
      <c r="AB188" s="23">
        <f>EXP(-LN(2)/2)*AB187+(1-EXP(-LN(2)/2))/(LN(2)/2)*V188*Y188*VLOOKUP('Données projet'!$B$9,Paramètres!$A$1:$I$89,3,0)*0.475*44/12</f>
        <v>1.6455577814525629E-18</v>
      </c>
      <c r="AC188" s="24">
        <f t="shared" si="163"/>
        <v>12.625434535032973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2.8421709430404007E-14</v>
      </c>
      <c r="AJ188" s="14">
        <f>AI188*VLOOKUP('Données projet'!$B$10,Paramètres!$A$1:$I$89,3,0)*VLOOKUP('Données projet'!$B$10,Paramètres!$A$1:$I$89,5,0)</f>
        <v>2.4829205358400945E-14</v>
      </c>
      <c r="AK188" s="14">
        <f t="shared" si="164"/>
        <v>4.3867331143352915E-13</v>
      </c>
      <c r="AL188" s="22">
        <f t="shared" si="165"/>
        <v>8.0726688341261168E-13</v>
      </c>
      <c r="AM188" s="62">
        <f t="shared" si="113"/>
        <v>293.33333333333411</v>
      </c>
      <c r="AN188" s="62">
        <f ca="1">AVERAGE(OFFSET($AM$3,0,0,'Données projet'!$E$10+1,1))-AVERAGE(OFFSET($H$3,0,0,'Données projet'!$E$10+1,1))</f>
        <v>195.53935591077345</v>
      </c>
      <c r="AO188" s="62">
        <f t="shared" si="144"/>
        <v>189.8782192260071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13.745065817187099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13.745065817187099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106.39200000000032</v>
      </c>
      <c r="D189" s="12">
        <f t="shared" si="140"/>
        <v>28.479268717714149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1041.1115479963926</v>
      </c>
      <c r="H189" s="70">
        <f t="shared" si="110"/>
        <v>528.23412635001932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1.7053025658242404E-13</v>
      </c>
      <c r="O189" s="14">
        <f>N189*VLOOKUP('Données projet'!$B$9,Paramètres!$A$1:$I$89,3,0)*VLOOKUP('Données projet'!$B$9,Paramètres!$A$1:$I$89,5,0)</f>
        <v>1.0197709343628959E-13</v>
      </c>
      <c r="P189" s="14">
        <f t="shared" si="141"/>
        <v>1.5284983994279675E-12</v>
      </c>
      <c r="Q189" s="22">
        <f t="shared" si="162"/>
        <v>2.839744816738581E-12</v>
      </c>
      <c r="R189" s="62">
        <f t="shared" si="109"/>
        <v>293.33333333333616</v>
      </c>
      <c r="S189" s="62">
        <f ca="1">AVERAGE(OFFSET($R$3,0,0,'Données projet'!$E$9+1,1))-AVERAGE(OFFSET($H$3,0,0,'Données projet'!$E$9+1,1))</f>
        <v>183.65324264438817</v>
      </c>
      <c r="T189" s="62">
        <f t="shared" si="142"/>
        <v>208.38613882433765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11.850173207995923</v>
      </c>
      <c r="AA189" s="23">
        <f>EXP(-LN(2)/25)*AA188+(1-EXP(-LN(2)/25))/(LN(2)/25)*Calculateur!V189*Calculateur!X189*VLOOKUP('Données projet'!$B$9,Paramètres!$A$1:$I$89,3,0)*0.475*44/12</f>
        <v>0.52352062291368617</v>
      </c>
      <c r="AB189" s="23">
        <f>EXP(-LN(2)/2)*AB188+(1-EXP(-LN(2)/2))/(LN(2)/2)*V189*Y189*VLOOKUP('Données projet'!$B$9,Paramètres!$A$1:$I$89,3,0)*0.475*44/12</f>
        <v>1.163585066099398E-18</v>
      </c>
      <c r="AC189" s="24">
        <f t="shared" si="163"/>
        <v>12.373693830909609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2.8421709430404007E-14</v>
      </c>
      <c r="AJ189" s="14">
        <f>AI189*VLOOKUP('Données projet'!$B$10,Paramètres!$A$1:$I$89,3,0)*VLOOKUP('Données projet'!$B$10,Paramètres!$A$1:$I$89,5,0)</f>
        <v>2.4829205358400945E-14</v>
      </c>
      <c r="AK189" s="14">
        <f t="shared" si="164"/>
        <v>4.3867331143352915E-13</v>
      </c>
      <c r="AL189" s="22">
        <f t="shared" si="165"/>
        <v>8.0726688341261168E-13</v>
      </c>
      <c r="AM189" s="62">
        <f t="shared" si="113"/>
        <v>293.33333333333411</v>
      </c>
      <c r="AN189" s="62">
        <f ca="1">AVERAGE(OFFSET($AM$3,0,0,'Données projet'!$E$10+1,1))-AVERAGE(OFFSET($H$3,0,0,'Données projet'!$E$10+1,1))</f>
        <v>195.53935591077345</v>
      </c>
      <c r="AO189" s="62">
        <f t="shared" si="144"/>
        <v>189.8782192260071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13.47553346017439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13.47553346017439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106.96400000000033</v>
      </c>
      <c r="D190" s="12">
        <f t="shared" si="140"/>
        <v>28.614518306762331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1046.5710185083433</v>
      </c>
      <c r="H190" s="70">
        <f t="shared" si="110"/>
        <v>529.46591938427832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1.7053025658242404E-13</v>
      </c>
      <c r="O190" s="14">
        <f>N190*VLOOKUP('Données projet'!$B$9,Paramètres!$A$1:$I$89,3,0)*VLOOKUP('Données projet'!$B$9,Paramètres!$A$1:$I$89,5,0)</f>
        <v>1.0197709343628959E-13</v>
      </c>
      <c r="P190" s="14">
        <f t="shared" si="141"/>
        <v>1.5284983994279675E-12</v>
      </c>
      <c r="Q190" s="22">
        <f t="shared" si="162"/>
        <v>2.839744816738581E-12</v>
      </c>
      <c r="R190" s="62">
        <f t="shared" si="109"/>
        <v>293.33333333333616</v>
      </c>
      <c r="S190" s="62">
        <f ca="1">AVERAGE(OFFSET($R$3,0,0,'Données projet'!$E$9+1,1))-AVERAGE(OFFSET($H$3,0,0,'Données projet'!$E$9+1,1))</f>
        <v>183.65324264438817</v>
      </c>
      <c r="T190" s="62">
        <f t="shared" si="142"/>
        <v>208.38613882433765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11.617798539279084</v>
      </c>
      <c r="AA190" s="23">
        <f>EXP(-LN(2)/25)*AA189+(1-EXP(-LN(2)/25))/(LN(2)/25)*Calculateur!V190*Calculateur!X190*VLOOKUP('Données projet'!$B$9,Paramètres!$A$1:$I$89,3,0)*0.475*44/12</f>
        <v>0.50920492394935835</v>
      </c>
      <c r="AB190" s="23">
        <f>EXP(-LN(2)/2)*AB189+(1-EXP(-LN(2)/2))/(LN(2)/2)*V190*Y190*VLOOKUP('Données projet'!$B$9,Paramètres!$A$1:$I$89,3,0)*0.475*44/12</f>
        <v>8.2277889072628147E-19</v>
      </c>
      <c r="AC190" s="24">
        <f t="shared" si="163"/>
        <v>12.127003463228442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2.8421709430404007E-14</v>
      </c>
      <c r="AJ190" s="14">
        <f>AI190*VLOOKUP('Données projet'!$B$10,Paramètres!$A$1:$I$89,3,0)*VLOOKUP('Données projet'!$B$10,Paramètres!$A$1:$I$89,5,0)</f>
        <v>2.4829205358400945E-14</v>
      </c>
      <c r="AK190" s="14">
        <f t="shared" si="164"/>
        <v>4.3867331143352915E-13</v>
      </c>
      <c r="AL190" s="22">
        <f t="shared" si="165"/>
        <v>8.0726688341261168E-13</v>
      </c>
      <c r="AM190" s="62">
        <f t="shared" si="113"/>
        <v>293.33333333333411</v>
      </c>
      <c r="AN190" s="62">
        <f ca="1">AVERAGE(OFFSET($AM$3,0,0,'Données projet'!$E$10+1,1))-AVERAGE(OFFSET($H$3,0,0,'Données projet'!$E$10+1,1))</f>
        <v>195.53935591077345</v>
      </c>
      <c r="AO190" s="62">
        <f t="shared" si="144"/>
        <v>189.8782192260071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13.211286468284195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13.211286468284195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107.53600000000033</v>
      </c>
      <c r="D191" s="12">
        <f t="shared" si="140"/>
        <v>28.749683734137641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1052.0298393512405</v>
      </c>
      <c r="H191" s="70">
        <f t="shared" si="110"/>
        <v>530.69756583695687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1.7053025658242404E-13</v>
      </c>
      <c r="O191" s="14">
        <f>N191*VLOOKUP('Données projet'!$B$9,Paramètres!$A$1:$I$89,3,0)*VLOOKUP('Données projet'!$B$9,Paramètres!$A$1:$I$89,5,0)</f>
        <v>1.0197709343628959E-13</v>
      </c>
      <c r="P191" s="14">
        <f t="shared" si="141"/>
        <v>1.5284983994279675E-12</v>
      </c>
      <c r="Q191" s="22">
        <f t="shared" si="162"/>
        <v>2.839744816738581E-12</v>
      </c>
      <c r="R191" s="62">
        <f t="shared" si="109"/>
        <v>293.33333333333616</v>
      </c>
      <c r="S191" s="62">
        <f ca="1">AVERAGE(OFFSET($R$3,0,0,'Données projet'!$E$9+1,1))-AVERAGE(OFFSET($H$3,0,0,'Données projet'!$E$9+1,1))</f>
        <v>183.65324264438817</v>
      </c>
      <c r="T191" s="62">
        <f t="shared" si="142"/>
        <v>208.38613882433765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11.38998059608123</v>
      </c>
      <c r="AA191" s="23">
        <f>EXP(-LN(2)/25)*AA190+(1-EXP(-LN(2)/25))/(LN(2)/25)*Calculateur!V191*Calculateur!X191*VLOOKUP('Données projet'!$B$9,Paramètres!$A$1:$I$89,3,0)*0.475*44/12</f>
        <v>0.49528068852604001</v>
      </c>
      <c r="AB191" s="23">
        <f>EXP(-LN(2)/2)*AB190+(1-EXP(-LN(2)/2))/(LN(2)/2)*V191*Y191*VLOOKUP('Données projet'!$B$9,Paramètres!$A$1:$I$89,3,0)*0.475*44/12</f>
        <v>5.81792533049699E-19</v>
      </c>
      <c r="AC191" s="24">
        <f t="shared" si="163"/>
        <v>11.885261284607271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2.8421709430404007E-14</v>
      </c>
      <c r="AJ191" s="14">
        <f>AI191*VLOOKUP('Données projet'!$B$10,Paramètres!$A$1:$I$89,3,0)*VLOOKUP('Données projet'!$B$10,Paramètres!$A$1:$I$89,5,0)</f>
        <v>2.4829205358400945E-14</v>
      </c>
      <c r="AK191" s="14">
        <f t="shared" si="164"/>
        <v>4.3867331143352915E-13</v>
      </c>
      <c r="AL191" s="22">
        <f t="shared" si="165"/>
        <v>8.0726688341261168E-13</v>
      </c>
      <c r="AM191" s="62">
        <f t="shared" si="113"/>
        <v>293.33333333333411</v>
      </c>
      <c r="AN191" s="62">
        <f ca="1">AVERAGE(OFFSET($AM$3,0,0,'Données projet'!$E$10+1,1))-AVERAGE(OFFSET($H$3,0,0,'Données projet'!$E$10+1,1))</f>
        <v>195.53935591077345</v>
      </c>
      <c r="AO191" s="62">
        <f t="shared" si="144"/>
        <v>189.8782192260071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12.952221198730218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12.952221198730218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108.10800000000033</v>
      </c>
      <c r="D192" s="12">
        <f t="shared" si="140"/>
        <v>28.884765499467239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1057.488014381855</v>
      </c>
      <c r="H192" s="70">
        <f t="shared" si="110"/>
        <v>531.92906657823937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1.7053025658242404E-13</v>
      </c>
      <c r="O192" s="14">
        <f>N192*VLOOKUP('Données projet'!$B$9,Paramètres!$A$1:$I$89,3,0)*VLOOKUP('Données projet'!$B$9,Paramètres!$A$1:$I$89,5,0)</f>
        <v>1.0197709343628959E-13</v>
      </c>
      <c r="P192" s="14">
        <f t="shared" si="141"/>
        <v>1.5284983994279675E-12</v>
      </c>
      <c r="Q192" s="22">
        <f t="shared" si="162"/>
        <v>2.839744816738581E-12</v>
      </c>
      <c r="R192" s="62">
        <f t="shared" si="109"/>
        <v>293.33333333333616</v>
      </c>
      <c r="S192" s="62">
        <f ca="1">AVERAGE(OFFSET($R$3,0,0,'Données projet'!$E$9+1,1))-AVERAGE(OFFSET($H$3,0,0,'Données projet'!$E$9+1,1))</f>
        <v>183.65324264438817</v>
      </c>
      <c r="T192" s="62">
        <f t="shared" si="142"/>
        <v>208.38613882433765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11.166630023794262</v>
      </c>
      <c r="AA192" s="23">
        <f>EXP(-LN(2)/25)*AA191+(1-EXP(-LN(2)/25))/(LN(2)/25)*Calculateur!V192*Calculateur!X192*VLOOKUP('Données projet'!$B$9,Paramètres!$A$1:$I$89,3,0)*0.475*44/12</f>
        <v>0.48173721205261599</v>
      </c>
      <c r="AB192" s="23">
        <f>EXP(-LN(2)/2)*AB191+(1-EXP(-LN(2)/2))/(LN(2)/2)*V192*Y192*VLOOKUP('Données projet'!$B$9,Paramètres!$A$1:$I$89,3,0)*0.475*44/12</f>
        <v>4.1138944536314074E-19</v>
      </c>
      <c r="AC192" s="24">
        <f t="shared" si="163"/>
        <v>11.648367235846878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2.8421709430404007E-14</v>
      </c>
      <c r="AJ192" s="14">
        <f>AI192*VLOOKUP('Données projet'!$B$10,Paramètres!$A$1:$I$89,3,0)*VLOOKUP('Données projet'!$B$10,Paramètres!$A$1:$I$89,5,0)</f>
        <v>2.4829205358400945E-14</v>
      </c>
      <c r="AK192" s="14">
        <f t="shared" si="164"/>
        <v>4.3867331143352915E-13</v>
      </c>
      <c r="AL192" s="22">
        <f t="shared" si="165"/>
        <v>8.0726688341261168E-13</v>
      </c>
      <c r="AM192" s="62">
        <f t="shared" si="113"/>
        <v>293.33333333333411</v>
      </c>
      <c r="AN192" s="62">
        <f ca="1">AVERAGE(OFFSET($AM$3,0,0,'Données projet'!$E$10+1,1))-AVERAGE(OFFSET($H$3,0,0,'Données projet'!$E$10+1,1))</f>
        <v>195.53935591077345</v>
      </c>
      <c r="AO192" s="62">
        <f t="shared" si="144"/>
        <v>189.8782192260071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12.698236041097982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12.698236041097982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108.68000000000033</v>
      </c>
      <c r="D193" s="12">
        <f t="shared" si="140"/>
        <v>29.019764096785064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1062.9455474137819</v>
      </c>
      <c r="H193" s="70">
        <f t="shared" si="110"/>
        <v>533.16042246856784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1.7053025658242404E-13</v>
      </c>
      <c r="O193" s="14">
        <f>N193*VLOOKUP('Données projet'!$B$9,Paramètres!$A$1:$I$89,3,0)*VLOOKUP('Données projet'!$B$9,Paramètres!$A$1:$I$89,5,0)</f>
        <v>1.0197709343628959E-13</v>
      </c>
      <c r="P193" s="14">
        <f t="shared" si="141"/>
        <v>1.5284983994279675E-12</v>
      </c>
      <c r="Q193" s="22">
        <f t="shared" si="162"/>
        <v>2.839744816738581E-12</v>
      </c>
      <c r="R193" s="62">
        <f t="shared" si="109"/>
        <v>293.33333333333616</v>
      </c>
      <c r="S193" s="62">
        <f ca="1">AVERAGE(OFFSET($R$3,0,0,'Données projet'!$E$9+1,1))-AVERAGE(OFFSET($H$3,0,0,'Données projet'!$E$9+1,1))</f>
        <v>183.65324264438817</v>
      </c>
      <c r="T193" s="62">
        <f t="shared" si="142"/>
        <v>208.38613882433765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10.947659219999444</v>
      </c>
      <c r="AA193" s="23">
        <f>EXP(-LN(2)/25)*AA192+(1-EXP(-LN(2)/25))/(LN(2)/25)*Calculateur!V193*Calculateur!X193*VLOOKUP('Données projet'!$B$9,Paramètres!$A$1:$I$89,3,0)*0.475*44/12</f>
        <v>0.46856408265557825</v>
      </c>
      <c r="AB193" s="23">
        <f>EXP(-LN(2)/2)*AB192+(1-EXP(-LN(2)/2))/(LN(2)/2)*V193*Y193*VLOOKUP('Données projet'!$B$9,Paramètres!$A$1:$I$89,3,0)*0.475*44/12</f>
        <v>2.908962665248495E-19</v>
      </c>
      <c r="AC193" s="24">
        <f t="shared" si="163"/>
        <v>11.416223302655023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2.8421709430404007E-14</v>
      </c>
      <c r="AJ193" s="14">
        <f>AI193*VLOOKUP('Données projet'!$B$10,Paramètres!$A$1:$I$89,3,0)*VLOOKUP('Données projet'!$B$10,Paramètres!$A$1:$I$89,5,0)</f>
        <v>2.4829205358400945E-14</v>
      </c>
      <c r="AK193" s="14">
        <f t="shared" si="164"/>
        <v>4.3867331143352915E-13</v>
      </c>
      <c r="AL193" s="22">
        <f t="shared" si="165"/>
        <v>8.0726688341261168E-13</v>
      </c>
      <c r="AM193" s="62">
        <f t="shared" si="113"/>
        <v>293.33333333333411</v>
      </c>
      <c r="AN193" s="62">
        <f ca="1">AVERAGE(OFFSET($AM$3,0,0,'Données projet'!$E$10+1,1))-AVERAGE(OFFSET($H$3,0,0,'Données projet'!$E$10+1,1))</f>
        <v>195.53935591077345</v>
      </c>
      <c r="AO193" s="62">
        <f t="shared" si="144"/>
        <v>189.8782192260071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12.449231377491264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12.449231377491264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109.25200000000034</v>
      </c>
      <c r="D194" s="12">
        <f t="shared" si="140"/>
        <v>29.15468001462375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1068.402442218151</v>
      </c>
      <c r="H194" s="70">
        <f t="shared" si="110"/>
        <v>534.39163435880369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1.7053025658242404E-13</v>
      </c>
      <c r="O194" s="14">
        <f>N194*VLOOKUP('Données projet'!$B$9,Paramètres!$A$1:$I$89,3,0)*VLOOKUP('Données projet'!$B$9,Paramètres!$A$1:$I$89,5,0)</f>
        <v>1.0197709343628959E-13</v>
      </c>
      <c r="P194" s="14">
        <f t="shared" si="141"/>
        <v>1.5284983994279675E-12</v>
      </c>
      <c r="Q194" s="22">
        <f t="shared" si="162"/>
        <v>2.839744816738581E-12</v>
      </c>
      <c r="R194" s="62">
        <f t="shared" si="109"/>
        <v>293.33333333333616</v>
      </c>
      <c r="S194" s="62">
        <f ca="1">AVERAGE(OFFSET($R$3,0,0,'Données projet'!$E$9+1,1))-AVERAGE(OFFSET($H$3,0,0,'Données projet'!$E$9+1,1))</f>
        <v>183.65324264438817</v>
      </c>
      <c r="T194" s="62">
        <f t="shared" si="142"/>
        <v>208.38613882433765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10.73298230010804</v>
      </c>
      <c r="AA194" s="23">
        <f>EXP(-LN(2)/25)*AA193+(1-EXP(-LN(2)/25))/(LN(2)/25)*Calculateur!V194*Calculateur!X194*VLOOKUP('Données projet'!$B$9,Paramètres!$A$1:$I$89,3,0)*0.475*44/12</f>
        <v>0.45575117317464725</v>
      </c>
      <c r="AB194" s="23">
        <f>EXP(-LN(2)/2)*AB193+(1-EXP(-LN(2)/2))/(LN(2)/2)*V194*Y194*VLOOKUP('Données projet'!$B$9,Paramètres!$A$1:$I$89,3,0)*0.475*44/12</f>
        <v>2.0569472268157037E-19</v>
      </c>
      <c r="AC194" s="24">
        <f t="shared" si="163"/>
        <v>11.188733473282687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2.8421709430404007E-14</v>
      </c>
      <c r="AJ194" s="14">
        <f>AI194*VLOOKUP('Données projet'!$B$10,Paramètres!$A$1:$I$89,3,0)*VLOOKUP('Données projet'!$B$10,Paramètres!$A$1:$I$89,5,0)</f>
        <v>2.4829205358400945E-14</v>
      </c>
      <c r="AK194" s="14">
        <f t="shared" si="164"/>
        <v>4.3867331143352915E-13</v>
      </c>
      <c r="AL194" s="22">
        <f t="shared" si="165"/>
        <v>8.0726688341261168E-13</v>
      </c>
      <c r="AM194" s="62">
        <f t="shared" si="113"/>
        <v>293.33333333333411</v>
      </c>
      <c r="AN194" s="62">
        <f ca="1">AVERAGE(OFFSET($AM$3,0,0,'Données projet'!$E$10+1,1))-AVERAGE(OFFSET($H$3,0,0,'Données projet'!$E$10+1,1))</f>
        <v>195.53935591077345</v>
      </c>
      <c r="AO194" s="62">
        <f t="shared" si="144"/>
        <v>189.8782192260071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12.205109543460026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12.205109543460026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109.82400000000034</v>
      </c>
      <c r="D195" s="12">
        <f t="shared" si="140"/>
        <v>29.289513736104212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1073.8587025243157</v>
      </c>
      <c r="H195" s="70">
        <f t="shared" si="110"/>
        <v>535.62270309038206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1.7053025658242404E-13</v>
      </c>
      <c r="O195" s="14">
        <f>N195*VLOOKUP('Données projet'!$B$9,Paramètres!$A$1:$I$89,3,0)*VLOOKUP('Données projet'!$B$9,Paramètres!$A$1:$I$89,5,0)</f>
        <v>1.0197709343628959E-13</v>
      </c>
      <c r="P195" s="14">
        <f t="shared" si="141"/>
        <v>1.5284983994279675E-12</v>
      </c>
      <c r="Q195" s="22">
        <f t="shared" si="162"/>
        <v>2.839744816738581E-12</v>
      </c>
      <c r="R195" s="62">
        <f t="shared" ref="R195:R203" si="191">Q195+(I195+J195)*44/12</f>
        <v>293.33333333333616</v>
      </c>
      <c r="S195" s="62">
        <f ca="1">AVERAGE(OFFSET($R$3,0,0,'Données projet'!$E$9+1,1))-AVERAGE(OFFSET($H$3,0,0,'Données projet'!$E$9+1,1))</f>
        <v>183.65324264438817</v>
      </c>
      <c r="T195" s="62">
        <f t="shared" si="142"/>
        <v>208.38613882433765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10.522515063675714</v>
      </c>
      <c r="AA195" s="23">
        <f>EXP(-LN(2)/25)*AA194+(1-EXP(-LN(2)/25))/(LN(2)/25)*Calculateur!V195*Calculateur!X195*VLOOKUP('Données projet'!$B$9,Paramètres!$A$1:$I$89,3,0)*0.475*44/12</f>
        <v>0.44328863337727398</v>
      </c>
      <c r="AB195" s="23">
        <f>EXP(-LN(2)/2)*AB194+(1-EXP(-LN(2)/2))/(LN(2)/2)*V195*Y195*VLOOKUP('Données projet'!$B$9,Paramètres!$A$1:$I$89,3,0)*0.475*44/12</f>
        <v>1.4544813326242475E-19</v>
      </c>
      <c r="AC195" s="24">
        <f t="shared" si="163"/>
        <v>10.965803697052987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2.8421709430404007E-14</v>
      </c>
      <c r="AJ195" s="14">
        <f>AI195*VLOOKUP('Données projet'!$B$10,Paramètres!$A$1:$I$89,3,0)*VLOOKUP('Données projet'!$B$10,Paramètres!$A$1:$I$89,5,0)</f>
        <v>2.4829205358400945E-14</v>
      </c>
      <c r="AK195" s="14">
        <f t="shared" si="164"/>
        <v>4.3867331143352915E-13</v>
      </c>
      <c r="AL195" s="22">
        <f t="shared" si="165"/>
        <v>8.0726688341261168E-13</v>
      </c>
      <c r="AM195" s="62">
        <f t="shared" si="113"/>
        <v>293.33333333333411</v>
      </c>
      <c r="AN195" s="62">
        <f ca="1">AVERAGE(OFFSET($AM$3,0,0,'Données projet'!$E$10+1,1))-AVERAGE(OFFSET($H$3,0,0,'Données projet'!$E$10+1,1))</f>
        <v>195.53935591077345</v>
      </c>
      <c r="AO195" s="62">
        <f t="shared" si="144"/>
        <v>189.8782192260071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11.965774789694525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11.965774789694525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110.39600000000034</v>
      </c>
      <c r="D196" s="12">
        <f t="shared" si="140"/>
        <v>29.424265739023529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1079.3143320205352</v>
      </c>
      <c r="H196" s="70">
        <f t="shared" ref="H196:H203" si="192">(B196+E196+F196)*44/12+(C196+D196)*0.475*44/12</f>
        <v>536.85362949546652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1.7053025658242404E-13</v>
      </c>
      <c r="O196" s="14">
        <f>N196*VLOOKUP('Données projet'!$B$9,Paramètres!$A$1:$I$89,3,0)*VLOOKUP('Données projet'!$B$9,Paramètres!$A$1:$I$89,5,0)</f>
        <v>1.0197709343628959E-13</v>
      </c>
      <c r="P196" s="14">
        <f t="shared" si="141"/>
        <v>1.5284983994279675E-12</v>
      </c>
      <c r="Q196" s="22">
        <f t="shared" si="162"/>
        <v>2.839744816738581E-12</v>
      </c>
      <c r="R196" s="62">
        <f t="shared" si="191"/>
        <v>293.33333333333616</v>
      </c>
      <c r="S196" s="62">
        <f ca="1">AVERAGE(OFFSET($R$3,0,0,'Données projet'!$E$9+1,1))-AVERAGE(OFFSET($H$3,0,0,'Données projet'!$E$9+1,1))</f>
        <v>183.65324264438817</v>
      </c>
      <c r="T196" s="62">
        <f t="shared" si="142"/>
        <v>208.38613882433765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10.316174961377488</v>
      </c>
      <c r="AA196" s="23">
        <f>EXP(-LN(2)/25)*AA195+(1-EXP(-LN(2)/25))/(LN(2)/25)*Calculateur!V196*Calculateur!X196*VLOOKUP('Données projet'!$B$9,Paramètres!$A$1:$I$89,3,0)*0.475*44/12</f>
        <v>0.43116688238603634</v>
      </c>
      <c r="AB196" s="23">
        <f>EXP(-LN(2)/2)*AB195+(1-EXP(-LN(2)/2))/(LN(2)/2)*V196*Y196*VLOOKUP('Données projet'!$B$9,Paramètres!$A$1:$I$89,3,0)*0.475*44/12</f>
        <v>1.0284736134078518E-19</v>
      </c>
      <c r="AC196" s="24">
        <f t="shared" si="163"/>
        <v>10.747341843763524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2.8421709430404007E-14</v>
      </c>
      <c r="AJ196" s="14">
        <f>AI196*VLOOKUP('Données projet'!$B$10,Paramètres!$A$1:$I$89,3,0)*VLOOKUP('Données projet'!$B$10,Paramètres!$A$1:$I$89,5,0)</f>
        <v>2.4829205358400945E-14</v>
      </c>
      <c r="AK196" s="14">
        <f t="shared" si="164"/>
        <v>4.3867331143352915E-13</v>
      </c>
      <c r="AL196" s="22">
        <f t="shared" si="165"/>
        <v>8.0726688341261168E-13</v>
      </c>
      <c r="AM196" s="62">
        <f t="shared" ref="AM196:AM203" si="193">AL196+(AD196+AE196)*44/12</f>
        <v>293.33333333333411</v>
      </c>
      <c r="AN196" s="62">
        <f ca="1">AVERAGE(OFFSET($AM$3,0,0,'Données projet'!$E$10+1,1))-AVERAGE(OFFSET($H$3,0,0,'Données projet'!$E$10+1,1))</f>
        <v>195.53935591077345</v>
      </c>
      <c r="AO196" s="62">
        <f t="shared" si="144"/>
        <v>189.8782192260071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11.731133244470579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11.731133244470579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110.96800000000034</v>
      </c>
      <c r="D197" s="12">
        <f t="shared" ref="D197:D203" si="202">IFERROR(EXP(-1.0587+0.8836*LN(C197)+0.284),0)</f>
        <v>29.558936495940792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1084.7693343546332</v>
      </c>
      <c r="H197" s="70">
        <f t="shared" si="192"/>
        <v>538.08441439709748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1.7053025658242404E-13</v>
      </c>
      <c r="O197" s="14">
        <f>N197*VLOOKUP('Données projet'!$B$9,Paramètres!$A$1:$I$89,3,0)*VLOOKUP('Données projet'!$B$9,Paramètres!$A$1:$I$89,5,0)</f>
        <v>1.0197709343628959E-13</v>
      </c>
      <c r="P197" s="14">
        <f t="shared" ref="P197:P203" si="203">EXP(-1.0587+0.8836*LN(O197)+0.284)</f>
        <v>1.5284983994279675E-12</v>
      </c>
      <c r="Q197" s="22">
        <f t="shared" si="162"/>
        <v>2.839744816738581E-12</v>
      </c>
      <c r="R197" s="62">
        <f t="shared" si="191"/>
        <v>293.33333333333616</v>
      </c>
      <c r="S197" s="62">
        <f ca="1">AVERAGE(OFFSET($R$3,0,0,'Données projet'!$E$9+1,1))-AVERAGE(OFFSET($H$3,0,0,'Données projet'!$E$9+1,1))</f>
        <v>183.65324264438817</v>
      </c>
      <c r="T197" s="62">
        <f t="shared" ref="T197:T203" si="204">$T$3</f>
        <v>208.38613882433765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10.113881062630295</v>
      </c>
      <c r="AA197" s="23">
        <f>EXP(-LN(2)/25)*AA196+(1-EXP(-LN(2)/25))/(LN(2)/25)*Calculateur!V197*Calculateur!X197*VLOOKUP('Données projet'!$B$9,Paramètres!$A$1:$I$89,3,0)*0.475*44/12</f>
        <v>0.41937660131310928</v>
      </c>
      <c r="AB197" s="23">
        <f>EXP(-LN(2)/2)*AB196+(1-EXP(-LN(2)/2))/(LN(2)/2)*V197*Y197*VLOOKUP('Données projet'!$B$9,Paramètres!$A$1:$I$89,3,0)*0.475*44/12</f>
        <v>7.2724066631212375E-20</v>
      </c>
      <c r="AC197" s="24">
        <f t="shared" si="163"/>
        <v>10.533257663943404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2.8421709430404007E-14</v>
      </c>
      <c r="AJ197" s="14">
        <f>AI197*VLOOKUP('Données projet'!$B$10,Paramètres!$A$1:$I$89,3,0)*VLOOKUP('Données projet'!$B$10,Paramètres!$A$1:$I$89,5,0)</f>
        <v>2.4829205358400945E-14</v>
      </c>
      <c r="AK197" s="14">
        <f t="shared" si="164"/>
        <v>4.3867331143352915E-13</v>
      </c>
      <c r="AL197" s="22">
        <f t="shared" si="165"/>
        <v>8.0726688341261168E-13</v>
      </c>
      <c r="AM197" s="62">
        <f t="shared" si="193"/>
        <v>293.33333333333411</v>
      </c>
      <c r="AN197" s="62">
        <f ca="1">AVERAGE(OFFSET($AM$3,0,0,'Données projet'!$E$10+1,1))-AVERAGE(OFFSET($H$3,0,0,'Données projet'!$E$10+1,1))</f>
        <v>195.53935591077345</v>
      </c>
      <c r="AO197" s="62">
        <f t="shared" ref="AO197:AO203" si="205">$AO$3</f>
        <v>189.8782192260071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11.501092876831263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11.501092876831263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111.54000000000035</v>
      </c>
      <c r="D198" s="12">
        <f t="shared" si="202"/>
        <v>29.693526474261354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1090.2237131346519</v>
      </c>
      <c r="H198" s="70">
        <f t="shared" si="192"/>
        <v>539.31505860933908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1.7053025658242404E-13</v>
      </c>
      <c r="O198" s="14">
        <f>N198*VLOOKUP('Données projet'!$B$9,Paramètres!$A$1:$I$89,3,0)*VLOOKUP('Données projet'!$B$9,Paramètres!$A$1:$I$89,5,0)</f>
        <v>1.0197709343628959E-13</v>
      </c>
      <c r="P198" s="14">
        <f t="shared" si="203"/>
        <v>1.5284983994279675E-12</v>
      </c>
      <c r="Q198" s="22">
        <f t="shared" si="162"/>
        <v>2.839744816738581E-12</v>
      </c>
      <c r="R198" s="62">
        <f t="shared" si="191"/>
        <v>293.33333333333616</v>
      </c>
      <c r="S198" s="62">
        <f ca="1">AVERAGE(OFFSET($R$3,0,0,'Données projet'!$E$9+1,1))-AVERAGE(OFFSET($H$3,0,0,'Données projet'!$E$9+1,1))</f>
        <v>183.65324264438817</v>
      </c>
      <c r="T198" s="62">
        <f t="shared" si="204"/>
        <v>208.38613882433765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9.9155540238504383</v>
      </c>
      <c r="AA198" s="23">
        <f>EXP(-LN(2)/25)*AA197+(1-EXP(-LN(2)/25))/(LN(2)/25)*Calculateur!V198*Calculateur!X198*VLOOKUP('Données projet'!$B$9,Paramètres!$A$1:$I$89,3,0)*0.475*44/12</f>
        <v>0.40790872609614531</v>
      </c>
      <c r="AB198" s="23">
        <f>EXP(-LN(2)/2)*AB197+(1-EXP(-LN(2)/2))/(LN(2)/2)*V198*Y198*VLOOKUP('Données projet'!$B$9,Paramètres!$A$1:$I$89,3,0)*0.475*44/12</f>
        <v>5.1423680670392592E-20</v>
      </c>
      <c r="AC198" s="24">
        <f t="shared" si="163"/>
        <v>10.323462749946584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2.8421709430404007E-14</v>
      </c>
      <c r="AJ198" s="14">
        <f>AI198*VLOOKUP('Données projet'!$B$10,Paramètres!$A$1:$I$89,3,0)*VLOOKUP('Données projet'!$B$10,Paramètres!$A$1:$I$89,5,0)</f>
        <v>2.4829205358400945E-14</v>
      </c>
      <c r="AK198" s="14">
        <f t="shared" si="164"/>
        <v>4.3867331143352915E-13</v>
      </c>
      <c r="AL198" s="22">
        <f t="shared" si="165"/>
        <v>8.0726688341261168E-13</v>
      </c>
      <c r="AM198" s="62">
        <f t="shared" si="193"/>
        <v>293.33333333333411</v>
      </c>
      <c r="AN198" s="62">
        <f ca="1">AVERAGE(OFFSET($AM$3,0,0,'Données projet'!$E$10+1,1))-AVERAGE(OFFSET($H$3,0,0,'Données projet'!$E$10+1,1))</f>
        <v>195.53935591077345</v>
      </c>
      <c r="AO198" s="62">
        <f t="shared" si="205"/>
        <v>189.8782192260071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11.275563460490586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11.275563460490586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112.11200000000035</v>
      </c>
      <c r="D199" s="12">
        <f t="shared" si="202"/>
        <v>29.828036136319131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1095.6774719294838</v>
      </c>
      <c r="H199" s="70">
        <f t="shared" si="192"/>
        <v>540.54556293742314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1.7053025658242404E-13</v>
      </c>
      <c r="O199" s="14">
        <f>N199*VLOOKUP('Données projet'!$B$9,Paramètres!$A$1:$I$89,3,0)*VLOOKUP('Données projet'!$B$9,Paramètres!$A$1:$I$89,5,0)</f>
        <v>1.0197709343628959E-13</v>
      </c>
      <c r="P199" s="14">
        <f t="shared" si="203"/>
        <v>1.5284983994279675E-12</v>
      </c>
      <c r="Q199" s="22">
        <f t="shared" si="162"/>
        <v>2.839744816738581E-12</v>
      </c>
      <c r="R199" s="62">
        <f t="shared" si="191"/>
        <v>293.33333333333616</v>
      </c>
      <c r="S199" s="62">
        <f ca="1">AVERAGE(OFFSET($R$3,0,0,'Données projet'!$E$9+1,1))-AVERAGE(OFFSET($H$3,0,0,'Données projet'!$E$9+1,1))</f>
        <v>183.65324264438817</v>
      </c>
      <c r="T199" s="62">
        <f t="shared" si="204"/>
        <v>208.38613882433765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9.7211160573335054</v>
      </c>
      <c r="AA199" s="23">
        <f>EXP(-LN(2)/25)*AA198+(1-EXP(-LN(2)/25))/(LN(2)/25)*Calculateur!V199*Calculateur!X199*VLOOKUP('Données projet'!$B$9,Paramètres!$A$1:$I$89,3,0)*0.475*44/12</f>
        <v>0.39675444053005859</v>
      </c>
      <c r="AB199" s="23">
        <f>EXP(-LN(2)/2)*AB198+(1-EXP(-LN(2)/2))/(LN(2)/2)*V199*Y199*VLOOKUP('Données projet'!$B$9,Paramètres!$A$1:$I$89,3,0)*0.475*44/12</f>
        <v>3.6362033315606188E-20</v>
      </c>
      <c r="AC199" s="24">
        <f t="shared" si="163"/>
        <v>10.117870497863564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2.8421709430404007E-14</v>
      </c>
      <c r="AJ199" s="14">
        <f>AI199*VLOOKUP('Données projet'!$B$10,Paramètres!$A$1:$I$89,3,0)*VLOOKUP('Données projet'!$B$10,Paramètres!$A$1:$I$89,5,0)</f>
        <v>2.4829205358400945E-14</v>
      </c>
      <c r="AK199" s="14">
        <f t="shared" si="164"/>
        <v>4.3867331143352915E-13</v>
      </c>
      <c r="AL199" s="22">
        <f t="shared" si="165"/>
        <v>8.0726688341261168E-13</v>
      </c>
      <c r="AM199" s="62">
        <f t="shared" si="193"/>
        <v>293.33333333333411</v>
      </c>
      <c r="AN199" s="62">
        <f ca="1">AVERAGE(OFFSET($AM$3,0,0,'Données projet'!$E$10+1,1))-AVERAGE(OFFSET($H$3,0,0,'Données projet'!$E$10+1,1))</f>
        <v>195.53935591077345</v>
      </c>
      <c r="AO199" s="62">
        <f t="shared" si="205"/>
        <v>189.8782192260071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11.054456538444988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11.054456538444988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112.68400000000035</v>
      </c>
      <c r="D200" s="12">
        <f t="shared" si="202"/>
        <v>29.962465939457136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1101.1306142694966</v>
      </c>
      <c r="H200" s="70">
        <f t="shared" si="192"/>
        <v>541.77592817788843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1.7053025658242404E-13</v>
      </c>
      <c r="O200" s="14">
        <f>N200*VLOOKUP('Données projet'!$B$9,Paramètres!$A$1:$I$89,3,0)*VLOOKUP('Données projet'!$B$9,Paramètres!$A$1:$I$89,5,0)</f>
        <v>1.0197709343628959E-13</v>
      </c>
      <c r="P200" s="14">
        <f t="shared" si="203"/>
        <v>1.5284983994279675E-12</v>
      </c>
      <c r="Q200" s="22">
        <f t="shared" si="162"/>
        <v>2.839744816738581E-12</v>
      </c>
      <c r="R200" s="62">
        <f t="shared" si="191"/>
        <v>293.33333333333616</v>
      </c>
      <c r="S200" s="62">
        <f ca="1">AVERAGE(OFFSET($R$3,0,0,'Données projet'!$E$9+1,1))-AVERAGE(OFFSET($H$3,0,0,'Données projet'!$E$9+1,1))</f>
        <v>183.65324264438817</v>
      </c>
      <c r="T200" s="62">
        <f t="shared" si="204"/>
        <v>208.38613882433765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9.5304909007445211</v>
      </c>
      <c r="AA200" s="23">
        <f>EXP(-LN(2)/25)*AA199+(1-EXP(-LN(2)/25))/(LN(2)/25)*Calculateur!V200*Calculateur!X200*VLOOKUP('Données projet'!$B$9,Paramètres!$A$1:$I$89,3,0)*0.475*44/12</f>
        <v>0.38590516948935488</v>
      </c>
      <c r="AB200" s="23">
        <f>EXP(-LN(2)/2)*AB199+(1-EXP(-LN(2)/2))/(LN(2)/2)*V200*Y200*VLOOKUP('Données projet'!$B$9,Paramètres!$A$1:$I$89,3,0)*0.475*44/12</f>
        <v>2.5711840335196296E-20</v>
      </c>
      <c r="AC200" s="24">
        <f t="shared" si="163"/>
        <v>9.9163960702338763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2.8421709430404007E-14</v>
      </c>
      <c r="AJ200" s="14">
        <f>AI200*VLOOKUP('Données projet'!$B$10,Paramètres!$A$1:$I$89,3,0)*VLOOKUP('Données projet'!$B$10,Paramètres!$A$1:$I$89,5,0)</f>
        <v>2.4829205358400945E-14</v>
      </c>
      <c r="AK200" s="14">
        <f t="shared" si="164"/>
        <v>4.3867331143352915E-13</v>
      </c>
      <c r="AL200" s="22">
        <f t="shared" si="165"/>
        <v>8.0726688341261168E-13</v>
      </c>
      <c r="AM200" s="62">
        <f t="shared" si="193"/>
        <v>293.33333333333411</v>
      </c>
      <c r="AN200" s="62">
        <f ca="1">AVERAGE(OFFSET($AM$3,0,0,'Données projet'!$E$10+1,1))-AVERAGE(OFFSET($H$3,0,0,'Données projet'!$E$10+1,1))</f>
        <v>195.53935591077345</v>
      </c>
      <c r="AO200" s="62">
        <f t="shared" si="205"/>
        <v>189.8782192260071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10.837685388278798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10.837685388278798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113.25600000000036</v>
      </c>
      <c r="D201" s="12">
        <f t="shared" si="202"/>
        <v>30.096816336106492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1106.5831436471406</v>
      </c>
      <c r="H201" s="70">
        <f t="shared" si="192"/>
        <v>543.00615511871945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1.7053025658242404E-13</v>
      </c>
      <c r="O201" s="14">
        <f>N201*VLOOKUP('Données projet'!$B$9,Paramètres!$A$1:$I$89,3,0)*VLOOKUP('Données projet'!$B$9,Paramètres!$A$1:$I$89,5,0)</f>
        <v>1.0197709343628959E-13</v>
      </c>
      <c r="P201" s="14">
        <f t="shared" si="203"/>
        <v>1.5284983994279675E-12</v>
      </c>
      <c r="Q201" s="22">
        <f t="shared" si="162"/>
        <v>2.839744816738581E-12</v>
      </c>
      <c r="R201" s="62">
        <f t="shared" si="191"/>
        <v>293.33333333333616</v>
      </c>
      <c r="S201" s="62">
        <f ca="1">AVERAGE(OFFSET($R$3,0,0,'Données projet'!$E$9+1,1))-AVERAGE(OFFSET($H$3,0,0,'Données projet'!$E$9+1,1))</f>
        <v>183.65324264438817</v>
      </c>
      <c r="T201" s="62">
        <f t="shared" si="204"/>
        <v>208.38613882433765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9.3436037872063817</v>
      </c>
      <c r="AA201" s="23">
        <f>EXP(-LN(2)/25)*AA200+(1-EXP(-LN(2)/25))/(LN(2)/25)*Calculateur!V201*Calculateur!X201*VLOOKUP('Données projet'!$B$9,Paramètres!$A$1:$I$89,3,0)*0.475*44/12</f>
        <v>0.37535257233579761</v>
      </c>
      <c r="AB201" s="23">
        <f>EXP(-LN(2)/2)*AB200+(1-EXP(-LN(2)/2))/(LN(2)/2)*V201*Y201*VLOOKUP('Données projet'!$B$9,Paramètres!$A$1:$I$89,3,0)*0.475*44/12</f>
        <v>1.8181016657803094E-20</v>
      </c>
      <c r="AC201" s="24">
        <f t="shared" si="163"/>
        <v>9.7189563595421795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2.8421709430404007E-14</v>
      </c>
      <c r="AJ201" s="14">
        <f>AI201*VLOOKUP('Données projet'!$B$10,Paramètres!$A$1:$I$89,3,0)*VLOOKUP('Données projet'!$B$10,Paramètres!$A$1:$I$89,5,0)</f>
        <v>2.4829205358400945E-14</v>
      </c>
      <c r="AK201" s="14">
        <f t="shared" si="164"/>
        <v>4.3867331143352915E-13</v>
      </c>
      <c r="AL201" s="22">
        <f t="shared" si="165"/>
        <v>8.0726688341261168E-13</v>
      </c>
      <c r="AM201" s="62">
        <f t="shared" si="193"/>
        <v>293.33333333333411</v>
      </c>
      <c r="AN201" s="62">
        <f ca="1">AVERAGE(OFFSET($AM$3,0,0,'Données projet'!$E$10+1,1))-AVERAGE(OFFSET($H$3,0,0,'Données projet'!$E$10+1,1))</f>
        <v>195.53935591077345</v>
      </c>
      <c r="AO201" s="62">
        <f t="shared" si="205"/>
        <v>189.8782192260071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10.625164988150022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10.625164988150022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113.82800000000036</v>
      </c>
      <c r="D202" s="12">
        <f t="shared" si="202"/>
        <v>30.231087773863734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1112.0350635175473</v>
      </c>
      <c r="H202" s="70">
        <f t="shared" si="192"/>
        <v>544.23624453947991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1.7053025658242404E-13</v>
      </c>
      <c r="O202" s="14">
        <f>N202*VLOOKUP('Données projet'!$B$9,Paramètres!$A$1:$I$89,3,0)*VLOOKUP('Données projet'!$B$9,Paramètres!$A$1:$I$89,5,0)</f>
        <v>1.0197709343628959E-13</v>
      </c>
      <c r="P202" s="14">
        <f t="shared" si="203"/>
        <v>1.5284983994279675E-12</v>
      </c>
      <c r="Q202" s="22">
        <f t="shared" si="162"/>
        <v>2.839744816738581E-12</v>
      </c>
      <c r="R202" s="62">
        <f t="shared" si="191"/>
        <v>293.33333333333616</v>
      </c>
      <c r="S202" s="62">
        <f ca="1">AVERAGE(OFFSET($R$3,0,0,'Données projet'!$E$9+1,1))-AVERAGE(OFFSET($H$3,0,0,'Données projet'!$E$9+1,1))</f>
        <v>183.65324264438817</v>
      </c>
      <c r="T202" s="62">
        <f t="shared" si="204"/>
        <v>208.38613882433765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9.1603814159748413</v>
      </c>
      <c r="AA202" s="23">
        <f>EXP(-LN(2)/25)*AA201+(1-EXP(-LN(2)/25))/(LN(2)/25)*Calculateur!V202*Calculateur!X202*VLOOKUP('Données projet'!$B$9,Paramètres!$A$1:$I$89,3,0)*0.475*44/12</f>
        <v>0.36508853650634132</v>
      </c>
      <c r="AB202" s="23">
        <f>EXP(-LN(2)/2)*AB201+(1-EXP(-LN(2)/2))/(LN(2)/2)*V202*Y202*VLOOKUP('Données projet'!$B$9,Paramètres!$A$1:$I$89,3,0)*0.475*44/12</f>
        <v>1.2855920167598148E-20</v>
      </c>
      <c r="AC202" s="24">
        <f t="shared" si="163"/>
        <v>9.525469952481183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2.8421709430404007E-14</v>
      </c>
      <c r="AJ202" s="14">
        <f>AI202*VLOOKUP('Données projet'!$B$10,Paramètres!$A$1:$I$89,3,0)*VLOOKUP('Données projet'!$B$10,Paramètres!$A$1:$I$89,5,0)</f>
        <v>2.4829205358400945E-14</v>
      </c>
      <c r="AK202" s="14">
        <f t="shared" si="164"/>
        <v>4.3867331143352915E-13</v>
      </c>
      <c r="AL202" s="22">
        <f t="shared" si="165"/>
        <v>8.0726688341261168E-13</v>
      </c>
      <c r="AM202" s="62">
        <f t="shared" si="193"/>
        <v>293.33333333333411</v>
      </c>
      <c r="AN202" s="62">
        <f ca="1">AVERAGE(OFFSET($AM$3,0,0,'Données projet'!$E$10+1,1))-AVERAGE(OFFSET($H$3,0,0,'Données projet'!$E$10+1,1))</f>
        <v>195.53935591077345</v>
      </c>
      <c r="AO202" s="62">
        <f t="shared" si="205"/>
        <v>189.8782192260071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10.416811983443125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10.416811983443125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114.40000000000036</v>
      </c>
      <c r="D203" s="12">
        <f t="shared" si="202"/>
        <v>30.365280695566366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1117.4863772991116</v>
      </c>
      <c r="H203" s="70">
        <f t="shared" si="192"/>
        <v>545.46619721144532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1.7053025658242404E-13</v>
      </c>
      <c r="O203" s="14">
        <f>N203*VLOOKUP('Données projet'!$B$9,Paramètres!$A$1:$I$89,3,0)*VLOOKUP('Données projet'!$B$9,Paramètres!$A$1:$I$89,5,0)</f>
        <v>1.0197709343628959E-13</v>
      </c>
      <c r="P203" s="14">
        <f t="shared" si="203"/>
        <v>1.5284983994279675E-12</v>
      </c>
      <c r="Q203" s="22">
        <f t="shared" si="162"/>
        <v>2.839744816738581E-12</v>
      </c>
      <c r="R203" s="62">
        <f t="shared" si="191"/>
        <v>293.33333333333616</v>
      </c>
      <c r="S203" s="62">
        <f ca="1">AVERAGE(OFFSET($R$3,0,0,'Données projet'!$E$9+1,1))-AVERAGE(OFFSET($H$3,0,0,'Données projet'!$E$9+1,1))</f>
        <v>183.65324264438817</v>
      </c>
      <c r="T203" s="62">
        <f t="shared" si="204"/>
        <v>208.38613882433765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8.9807519236885405</v>
      </c>
      <c r="AA203" s="23">
        <f>EXP(-LN(2)/25)*AA202+(1-EXP(-LN(2)/25))/(LN(2)/25)*Calculateur!V203*Calculateur!X203*VLOOKUP('Données projet'!$B$9,Paramètres!$A$1:$I$89,3,0)*0.475*44/12</f>
        <v>0.35510517127640373</v>
      </c>
      <c r="AB203" s="23">
        <f>EXP(-LN(2)/2)*AB202+(1-EXP(-LN(2)/2))/(LN(2)/2)*V203*Y203*VLOOKUP('Données projet'!$B$9,Paramètres!$A$1:$I$89,3,0)*0.475*44/12</f>
        <v>9.0905083289015469E-21</v>
      </c>
      <c r="AC203" s="24">
        <f t="shared" si="163"/>
        <v>9.3358570949649433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2.8421709430404007E-14</v>
      </c>
      <c r="AJ203" s="14">
        <f>AI203*VLOOKUP('Données projet'!$B$10,Paramètres!$A$1:$I$89,3,0)*VLOOKUP('Données projet'!$B$10,Paramètres!$A$1:$I$89,5,0)</f>
        <v>2.4829205358400945E-14</v>
      </c>
      <c r="AK203" s="14">
        <f t="shared" si="164"/>
        <v>4.3867331143352915E-13</v>
      </c>
      <c r="AL203" s="22">
        <f t="shared" si="165"/>
        <v>8.0726688341261168E-13</v>
      </c>
      <c r="AM203" s="62">
        <f t="shared" si="193"/>
        <v>293.33333333333411</v>
      </c>
      <c r="AN203" s="62">
        <f ca="1">AVERAGE(OFFSET($AM$3,0,0,'Données projet'!$E$10+1,1))-AVERAGE(OFFSET($H$3,0,0,'Données projet'!$E$10+1,1))</f>
        <v>195.53935591077345</v>
      </c>
      <c r="AO203" s="62">
        <f t="shared" si="205"/>
        <v>189.8782192260071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10.212544654075748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10.212544654075748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1.2716765087493749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1.335141362540313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 x14ac:dyDescent="0.2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">
      <c r="A93" s="131" t="s">
        <v>208</v>
      </c>
    </row>
    <row r="94" spans="1:14" x14ac:dyDescent="0.2">
      <c r="A94" s="131" t="s">
        <v>209</v>
      </c>
    </row>
    <row r="95" spans="1:14" x14ac:dyDescent="0.2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2" zoomScale="90" zoomScaleNormal="90" workbookViewId="0">
      <selection activeCell="M24" sqref="M24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Pin maritime</v>
      </c>
      <c r="B6" s="155">
        <f>'Données projet'!D9</f>
        <v>2.254</v>
      </c>
      <c r="C6" s="156">
        <f ca="1">IF(OR('Données projet'!B9="",'Données projet'!C9="",'Données projet'!C9=0%),0,Calculateur!S3)</f>
        <v>183.65324264438817</v>
      </c>
      <c r="D6" s="156">
        <f>IF(OR('Données projet'!B9="",'Données projet'!C9="",'Données projet'!C9=0%),0,Calculateur!T3)</f>
        <v>208.38613882433765</v>
      </c>
      <c r="E6" s="156">
        <f ca="1">MIN(C6,D6)</f>
        <v>183.65324264438817</v>
      </c>
      <c r="F6" s="156">
        <f ca="1">E6*B6</f>
        <v>413.95440892045093</v>
      </c>
      <c r="G6" s="156">
        <f ca="1">F6*(100%-'Données projet'!$C$24)*(100%-'Données projet'!$C$25)*(100%-'Données projet'!$C$26)*(100%-'Données projet'!$C$27)</f>
        <v>316.67512282414498</v>
      </c>
      <c r="H6" s="157">
        <f>IF(OR('Données projet'!B9="",'Données projet'!C9="",'Données projet'!C9=0%),0,AVERAGE(Calculateur!$AC$3:$AC$33)*B6)</f>
        <v>8.4759805114675508</v>
      </c>
      <c r="I6" s="158">
        <f>H6*(100%-'Données projet'!$C$24)*(100%-'Données projet'!$C$25)*(100%-'Données projet'!$C$26)*(100%-'Données projet'!$C$27)</f>
        <v>6.4841250912726762</v>
      </c>
      <c r="J6" s="159">
        <f>IF(OR('Données projet'!B9="",'Données projet'!C9="",'Données projet'!C9=0%),0,SUM(Calculateur!$V$3:$V$33)*VLOOKUP('Données projet'!$B$9,Paramètres!$A$1:$I$89,9,0)*B6)</f>
        <v>88.435689999999994</v>
      </c>
      <c r="K6" s="160">
        <f>J6*(100%-'Données projet'!$C$24)*(100%-'Données projet'!$C$25)*(100%-'Données projet'!$C$26)*(100%-'Données projet'!$C$27)</f>
        <v>67.653302849999989</v>
      </c>
      <c r="L6" s="161">
        <f ca="1">G6+I6+K6</f>
        <v>390.81255076541765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>Chêne rouge d'Amérique</v>
      </c>
      <c r="B7" s="163">
        <f>'Données projet'!D10</f>
        <v>4.5999999999999999E-2</v>
      </c>
      <c r="C7" s="156">
        <f ca="1">IF(OR('Données projet'!B10="",'Données projet'!C10="",'Données projet'!C10=0%),0,Calculateur!AN3)</f>
        <v>195.53935591077345</v>
      </c>
      <c r="D7" s="156">
        <f>IF(OR('Données projet'!B10="",'Données projet'!C10="",'Données projet'!C10=0%),0,Calculateur!AO3)</f>
        <v>189.8782192260071</v>
      </c>
      <c r="E7" s="156">
        <f t="shared" ref="E7:E15" ca="1" si="0">MIN(C7,D7)</f>
        <v>189.8782192260071</v>
      </c>
      <c r="F7" s="156">
        <f t="shared" ref="F7:F15" ca="1" si="1">E7*B7</f>
        <v>8.7343980843963269</v>
      </c>
      <c r="G7" s="156">
        <f ca="1">F7*(100%-'Données projet'!$C$24)*(100%-'Données projet'!$C$25)*(100%-'Données projet'!$C$26)*(100%-'Données projet'!$C$27)</f>
        <v>6.6818145345631894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0.78200000000000003</v>
      </c>
      <c r="K7" s="160">
        <f>J7*(100%-'Données projet'!$C$24)*(100%-'Données projet'!$C$25)*(100%-'Données projet'!$C$26)*(100%-'Données projet'!$C$27)</f>
        <v>0.59823000000000004</v>
      </c>
      <c r="L7" s="161">
        <f t="shared" ref="L7:L15" ca="1" si="2">G7+I7+K7</f>
        <v>7.2800445345631895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5"/>
      <c r="B16" s="232"/>
      <c r="C16" s="233"/>
      <c r="D16" s="25"/>
      <c r="E16" s="25"/>
      <c r="F16" s="174">
        <f t="shared" ref="F16:L16" ca="1" si="3">SUM(F6:F15)</f>
        <v>422.68880700484726</v>
      </c>
      <c r="G16" s="175">
        <f t="shared" ca="1" si="3"/>
        <v>323.35693735870819</v>
      </c>
      <c r="H16" s="176">
        <f t="shared" si="3"/>
        <v>8.4759805114675508</v>
      </c>
      <c r="I16" s="176">
        <f t="shared" si="3"/>
        <v>6.4841250912726762</v>
      </c>
      <c r="J16" s="177">
        <f t="shared" si="3"/>
        <v>89.21768999999999</v>
      </c>
      <c r="K16" s="177">
        <f t="shared" si="3"/>
        <v>68.25153284999999</v>
      </c>
      <c r="L16" s="178">
        <f t="shared" ca="1" si="3"/>
        <v>398.09259529998087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5"/>
      <c r="B17" s="232"/>
      <c r="C17" s="233"/>
      <c r="D17" s="230"/>
      <c r="E17" s="230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5"/>
      <c r="B18" s="232"/>
      <c r="C18" s="233"/>
      <c r="D18" s="230"/>
      <c r="E18" s="230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>Chêne rouge d'Amérique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/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/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/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J1" zoomScale="80" zoomScaleNormal="80" workbookViewId="0">
      <selection activeCell="S49" sqref="S49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39" t="s">
        <v>315</v>
      </c>
      <c r="I4" s="339"/>
      <c r="K4" s="336" t="s">
        <v>253</v>
      </c>
      <c r="L4" s="337"/>
      <c r="M4" s="267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8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28" t="s">
        <v>310</v>
      </c>
      <c r="S7" s="329"/>
      <c r="T7" s="329"/>
      <c r="U7" s="329"/>
      <c r="V7" s="330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-378.04256698825361</v>
      </c>
      <c r="U10" s="190">
        <f>'Données projet'!D9</f>
        <v>2.254</v>
      </c>
      <c r="V10" s="189">
        <f>U10*T10</f>
        <v>-852.10794599152359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5" t="str">
        <f>B45</f>
        <v>Chêne rouge d'Amérique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-2312.7261990228708</v>
      </c>
      <c r="U11" s="190">
        <f>'Données projet'!D10</f>
        <v>4.5999999999999999E-2</v>
      </c>
      <c r="V11" s="189">
        <f t="shared" ref="V11" si="0">U11*T11</f>
        <v>-106.38540515505206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5" t="str">
        <f>B76</f>
        <v/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0"/>
      <c r="J13" s="25"/>
      <c r="K13" s="224"/>
      <c r="L13" s="184" t="s">
        <v>257</v>
      </c>
      <c r="M13" s="25"/>
      <c r="N13" s="25"/>
      <c r="O13" s="25"/>
      <c r="P13" s="25"/>
      <c r="Q13" s="264"/>
      <c r="R13" s="25"/>
      <c r="S13" s="185" t="str">
        <f>B107</f>
        <v/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0"/>
      <c r="G14" s="220"/>
      <c r="H14" s="185" t="s">
        <v>178</v>
      </c>
      <c r="I14" s="185" t="s">
        <v>290</v>
      </c>
      <c r="J14" s="214"/>
      <c r="K14" s="183"/>
      <c r="L14" s="216"/>
      <c r="M14" s="25"/>
      <c r="N14" s="25"/>
      <c r="O14" s="5"/>
      <c r="P14" s="5"/>
      <c r="Q14" s="265"/>
      <c r="R14" s="5"/>
      <c r="S14" s="185" t="str">
        <f>B138</f>
        <v/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0"/>
      <c r="G15" s="340" t="s">
        <v>318</v>
      </c>
      <c r="H15" s="203"/>
      <c r="I15" s="204"/>
      <c r="J15" s="215"/>
      <c r="K15" s="224"/>
      <c r="L15" s="216"/>
      <c r="M15" s="25"/>
      <c r="N15" s="25"/>
      <c r="O15" s="25"/>
      <c r="P15" s="25"/>
      <c r="Q15" s="264"/>
      <c r="R15" s="25"/>
      <c r="S15" s="185" t="str">
        <f>B169</f>
        <v/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40"/>
      <c r="H16" s="203"/>
      <c r="I16" s="204"/>
      <c r="J16" s="215"/>
      <c r="K16" s="224"/>
      <c r="L16" s="336" t="s">
        <v>254</v>
      </c>
      <c r="M16" s="337"/>
      <c r="N16" s="2">
        <v>60</v>
      </c>
      <c r="O16" s="25"/>
      <c r="P16" s="25"/>
      <c r="Q16" s="264"/>
      <c r="R16" s="25"/>
      <c r="S16" s="185" t="str">
        <f>B200</f>
        <v/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09">
        <v>0</v>
      </c>
      <c r="B17" s="212" t="s">
        <v>132</v>
      </c>
      <c r="C17" s="211" t="s">
        <v>132</v>
      </c>
      <c r="D17" s="210" t="s">
        <v>132</v>
      </c>
      <c r="E17" s="206">
        <f>2025+435.6</f>
        <v>2460.6</v>
      </c>
      <c r="F17" s="260"/>
      <c r="G17" s="340"/>
      <c r="J17" s="215"/>
      <c r="K17" s="224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59.999999999999964</v>
      </c>
      <c r="O17" s="25"/>
      <c r="P17" s="25"/>
      <c r="Q17" s="264"/>
      <c r="R17" s="25"/>
      <c r="S17" s="185" t="str">
        <f>B231</f>
        <v/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09">
        <v>1</v>
      </c>
      <c r="B18" s="212" t="s">
        <v>132</v>
      </c>
      <c r="C18" s="211" t="s">
        <v>132</v>
      </c>
      <c r="D18" s="210" t="s">
        <v>132</v>
      </c>
      <c r="E18" s="206"/>
      <c r="F18" s="260"/>
      <c r="G18" s="340"/>
      <c r="J18" s="215"/>
      <c r="K18" s="224"/>
      <c r="L18" s="294" t="s">
        <v>255</v>
      </c>
      <c r="M18" s="296"/>
      <c r="N18" s="205">
        <v>10</v>
      </c>
      <c r="O18" s="25"/>
      <c r="P18" s="25"/>
      <c r="Q18" s="264"/>
      <c r="R18" s="25"/>
      <c r="S18" s="185" t="str">
        <f>B262</f>
        <v/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09">
        <v>2</v>
      </c>
      <c r="B19" s="212" t="s">
        <v>132</v>
      </c>
      <c r="C19" s="211" t="s">
        <v>132</v>
      </c>
      <c r="D19" s="210" t="s">
        <v>132</v>
      </c>
      <c r="E19" s="206"/>
      <c r="F19" s="260"/>
      <c r="G19" s="340"/>
      <c r="H19" s="231" t="s">
        <v>178</v>
      </c>
      <c r="I19" s="231" t="s">
        <v>287</v>
      </c>
      <c r="J19" s="259"/>
      <c r="K19" s="183"/>
      <c r="L19" s="336" t="s">
        <v>288</v>
      </c>
      <c r="M19" s="337"/>
      <c r="N19" s="191">
        <f>N17*N18</f>
        <v>599.99999999999966</v>
      </c>
      <c r="O19" s="25"/>
      <c r="P19" s="5"/>
      <c r="Q19" s="265"/>
      <c r="R19" s="5"/>
      <c r="S19" s="185" t="str">
        <f>B293</f>
        <v/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09">
        <v>3</v>
      </c>
      <c r="B20" s="212" t="s">
        <v>132</v>
      </c>
      <c r="C20" s="211" t="s">
        <v>132</v>
      </c>
      <c r="D20" s="210" t="s">
        <v>132</v>
      </c>
      <c r="E20" s="206"/>
      <c r="F20" s="260"/>
      <c r="G20" s="340"/>
      <c r="H20" s="203">
        <v>0</v>
      </c>
      <c r="I20" s="204">
        <f>1200+420</f>
        <v>1620</v>
      </c>
      <c r="J20" s="5"/>
      <c r="K20" s="183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09">
        <v>4</v>
      </c>
      <c r="B21" s="212" t="s">
        <v>132</v>
      </c>
      <c r="C21" s="211" t="s">
        <v>132</v>
      </c>
      <c r="D21" s="210" t="s">
        <v>132</v>
      </c>
      <c r="E21" s="206"/>
      <c r="F21" s="260"/>
      <c r="H21" s="203">
        <v>1</v>
      </c>
      <c r="I21" s="204">
        <v>600</v>
      </c>
      <c r="K21" s="183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09">
        <v>5</v>
      </c>
      <c r="B22" s="212" t="s">
        <v>132</v>
      </c>
      <c r="C22" s="211" t="s">
        <v>132</v>
      </c>
      <c r="D22" s="210" t="s">
        <v>132</v>
      </c>
      <c r="E22" s="206"/>
      <c r="F22" s="260"/>
      <c r="H22" s="203">
        <v>2</v>
      </c>
      <c r="I22" s="204">
        <v>600</v>
      </c>
      <c r="K22" s="183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20</v>
      </c>
      <c r="B23" s="193">
        <f>'Données projet'!D36</f>
        <v>22.58</v>
      </c>
      <c r="C23" s="206">
        <f>'Données projet'!E36*42+SUM('Données projet'!F36:G36)*19.4+'Données projet'!H36*10</f>
        <v>19.399999999999999</v>
      </c>
      <c r="D23" s="194">
        <f>B23*C23</f>
        <v>438.05199999999991</v>
      </c>
      <c r="E23" s="206"/>
      <c r="F23" s="260"/>
      <c r="H23" s="203">
        <v>3</v>
      </c>
      <c r="I23" s="204">
        <v>600</v>
      </c>
      <c r="K23" s="224"/>
      <c r="L23" s="338" t="s">
        <v>260</v>
      </c>
      <c r="M23" s="338"/>
      <c r="N23" s="338"/>
      <c r="O23" s="25"/>
      <c r="P23" s="25"/>
      <c r="Q23" s="264"/>
      <c r="R23" s="25"/>
      <c r="S23" s="185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-8478.064160129361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25</v>
      </c>
      <c r="B24" s="193">
        <f>'Données projet'!D37</f>
        <v>19.72</v>
      </c>
      <c r="C24" s="206">
        <f>'Données projet'!E37*42+SUM('Données projet'!F37:G37)*19.4+'Données projet'!H37*10</f>
        <v>19.399999999999999</v>
      </c>
      <c r="D24" s="194">
        <f t="shared" ref="D24:D42" si="2">B24*C24</f>
        <v>382.56799999999993</v>
      </c>
      <c r="E24" s="206"/>
      <c r="F24" s="263"/>
      <c r="H24" s="203">
        <v>4</v>
      </c>
      <c r="I24" s="204"/>
      <c r="K24" s="224"/>
      <c r="O24" s="25"/>
      <c r="P24" s="25"/>
      <c r="Q24" s="264"/>
      <c r="R24" s="25"/>
      <c r="S24" s="185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98.37883142742092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30</v>
      </c>
      <c r="B25" s="193">
        <f>'Données projet'!D38</f>
        <v>24.2</v>
      </c>
      <c r="C25" s="206">
        <f>'Données projet'!E38*42+SUM('Données projet'!F38:G38)*19.4+'Données projet'!H38*10</f>
        <v>23.92</v>
      </c>
      <c r="D25" s="194">
        <f t="shared" si="2"/>
        <v>578.86400000000003</v>
      </c>
      <c r="E25" s="206"/>
      <c r="F25" s="263"/>
      <c r="G25" s="1"/>
      <c r="H25" s="203">
        <v>5</v>
      </c>
      <c r="I25" s="204"/>
      <c r="K25" s="224"/>
      <c r="L25" s="270" t="s">
        <v>285</v>
      </c>
      <c r="M25" s="270"/>
      <c r="N25" s="270"/>
      <c r="O25" s="270"/>
      <c r="P25" s="205"/>
      <c r="Q25" s="264"/>
      <c r="R25" s="25"/>
      <c r="S25" s="198" t="s">
        <v>266</v>
      </c>
      <c r="T25" s="335">
        <f ca="1">T23-T24</f>
        <v>-8576.4429915567816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35</v>
      </c>
      <c r="B26" s="193">
        <f>'Données projet'!D39</f>
        <v>25.3</v>
      </c>
      <c r="C26" s="206">
        <f>'Données projet'!E39*42+SUM('Données projet'!F39:G39)*19.4+'Données projet'!H39*10</f>
        <v>28.44</v>
      </c>
      <c r="D26" s="194">
        <f t="shared" si="2"/>
        <v>719.53200000000004</v>
      </c>
      <c r="E26" s="206"/>
      <c r="F26" s="263"/>
      <c r="G26" s="258"/>
      <c r="H26" s="203"/>
      <c r="I26" s="204"/>
      <c r="K26" s="224"/>
      <c r="L26" s="322" t="s">
        <v>258</v>
      </c>
      <c r="M26" s="323"/>
      <c r="N26" s="323"/>
      <c r="O26" s="323"/>
      <c r="P26" s="324"/>
      <c r="Q26" s="264"/>
      <c r="R26" s="25"/>
      <c r="S26" s="198" t="s">
        <v>265</v>
      </c>
      <c r="T26" s="332" t="str">
        <f ca="1">IF(T25&lt;0,"Votre projet est additionnel","Votre projet n'est pas additionnel")</f>
        <v>Votre projet est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40</v>
      </c>
      <c r="B27" s="193">
        <f>'Données projet'!D40</f>
        <v>31.9</v>
      </c>
      <c r="C27" s="206">
        <f>'Données projet'!E40*42+SUM('Données projet'!F40:G40)*19.4+'Données projet'!H40*10</f>
        <v>32.96</v>
      </c>
      <c r="D27" s="194">
        <f t="shared" si="2"/>
        <v>1051.424</v>
      </c>
      <c r="E27" s="206"/>
      <c r="F27" s="263"/>
      <c r="G27" s="258"/>
      <c r="H27" s="203"/>
      <c r="I27" s="204"/>
      <c r="K27" s="224"/>
      <c r="L27" s="325"/>
      <c r="M27" s="326"/>
      <c r="N27" s="326"/>
      <c r="O27" s="326"/>
      <c r="P27" s="327"/>
      <c r="Q27" s="264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50</v>
      </c>
      <c r="B28" s="193">
        <f>'Données projet'!D41</f>
        <v>41.01</v>
      </c>
      <c r="C28" s="206">
        <f>'Données projet'!E41*42+SUM('Données projet'!F41:G41)*19.4+'Données projet'!H41*10</f>
        <v>37.480000000000004</v>
      </c>
      <c r="D28" s="194">
        <f t="shared" si="2"/>
        <v>1537.0548000000001</v>
      </c>
      <c r="E28" s="206"/>
      <c r="F28" s="263"/>
      <c r="G28" s="221"/>
      <c r="H28" s="203"/>
      <c r="I28" s="204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60</v>
      </c>
      <c r="B29" s="193">
        <f>'Données projet'!D42</f>
        <v>393.21</v>
      </c>
      <c r="C29" s="206">
        <f>'Données projet'!E42*42+SUM('Données projet'!F42:G42)*19.4+'Données projet'!H42*10</f>
        <v>39.74</v>
      </c>
      <c r="D29" s="194">
        <f t="shared" si="2"/>
        <v>15626.1654</v>
      </c>
      <c r="E29" s="206"/>
      <c r="F29" s="263"/>
      <c r="G29" s="217"/>
      <c r="H29" s="203"/>
      <c r="I29" s="204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0</v>
      </c>
      <c r="B30" s="193">
        <f>'Données projet'!D43</f>
        <v>0</v>
      </c>
      <c r="C30" s="206">
        <f>'Données projet'!E43*42+SUM('Données projet'!F43:G43)*19.4+'Données projet'!H43*10</f>
        <v>0</v>
      </c>
      <c r="D30" s="194">
        <f t="shared" si="2"/>
        <v>0</v>
      </c>
      <c r="E30" s="206"/>
      <c r="F30" s="263"/>
      <c r="G30" s="217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0</v>
      </c>
      <c r="B31" s="193">
        <f>'Données projet'!D44</f>
        <v>0</v>
      </c>
      <c r="C31" s="206">
        <f>'Données projet'!E44*42+SUM('Données projet'!F44:G44)*19.4+'Données projet'!H44*10</f>
        <v>0</v>
      </c>
      <c r="D31" s="194">
        <f t="shared" si="2"/>
        <v>0</v>
      </c>
      <c r="E31" s="206"/>
      <c r="F31" s="263"/>
      <c r="G31" s="217"/>
      <c r="H31" s="203"/>
      <c r="I31" s="204"/>
      <c r="K31" s="183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0</v>
      </c>
      <c r="B32" s="193">
        <f>'Données projet'!D45</f>
        <v>0</v>
      </c>
      <c r="C32" s="206">
        <f>'Données projet'!E45*42+SUM('Données projet'!F45:G45)*19.4+'Données projet'!H45*10</f>
        <v>0</v>
      </c>
      <c r="D32" s="194">
        <f t="shared" si="2"/>
        <v>0</v>
      </c>
      <c r="E32" s="206"/>
      <c r="F32" s="263"/>
      <c r="G32" s="217"/>
      <c r="H32" s="203"/>
      <c r="I32" s="204"/>
      <c r="K32" s="183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0</v>
      </c>
      <c r="B33" s="193">
        <f>'Données projet'!D46</f>
        <v>0</v>
      </c>
      <c r="C33" s="206">
        <f>'Données projet'!E46*42+SUM('Données projet'!F46:G46)*19.4+'Données projet'!H46*10</f>
        <v>0</v>
      </c>
      <c r="D33" s="194">
        <f t="shared" si="2"/>
        <v>0</v>
      </c>
      <c r="E33" s="206"/>
      <c r="F33" s="263"/>
      <c r="G33" s="217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0</v>
      </c>
      <c r="B34" s="193">
        <f>'Données projet'!D47</f>
        <v>0</v>
      </c>
      <c r="C34" s="206">
        <f>'Données projet'!E47*42+SUM('Données projet'!F47:G47)*19.4+'Données projet'!H47*10</f>
        <v>0</v>
      </c>
      <c r="D34" s="194">
        <f t="shared" si="2"/>
        <v>0</v>
      </c>
      <c r="E34" s="206"/>
      <c r="F34" s="263"/>
      <c r="G34" s="217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0</v>
      </c>
      <c r="B35" s="193">
        <f>'Données projet'!D48</f>
        <v>0</v>
      </c>
      <c r="C35" s="206">
        <f>'Données projet'!E48*42+SUM('Données projet'!F48:G48)*19.4+'Données projet'!H48*10</f>
        <v>0</v>
      </c>
      <c r="D35" s="194">
        <f t="shared" si="2"/>
        <v>0</v>
      </c>
      <c r="E35" s="206"/>
      <c r="F35" s="263"/>
      <c r="G35" s="217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0</v>
      </c>
      <c r="B36" s="193">
        <f>'Données projet'!D49</f>
        <v>0</v>
      </c>
      <c r="C36" s="206">
        <f>'Données projet'!E49*42+SUM('Données projet'!F49:G49)*19.4+'Données projet'!H49*10</f>
        <v>0</v>
      </c>
      <c r="D36" s="194">
        <f t="shared" si="2"/>
        <v>0</v>
      </c>
      <c r="E36" s="206"/>
      <c r="F36" s="263"/>
      <c r="G36" s="217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0</v>
      </c>
      <c r="B37" s="193">
        <f>'Données projet'!D50</f>
        <v>0</v>
      </c>
      <c r="C37" s="206">
        <f>'Données projet'!E50*42+SUM('Données projet'!F50:G50)*19.4+'Données projet'!H50*10</f>
        <v>0</v>
      </c>
      <c r="D37" s="194">
        <f t="shared" si="2"/>
        <v>0</v>
      </c>
      <c r="E37" s="206"/>
      <c r="F37" s="263"/>
      <c r="G37" s="217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0</v>
      </c>
      <c r="B38" s="193">
        <f>'Données projet'!D51</f>
        <v>0</v>
      </c>
      <c r="C38" s="206">
        <f>'Données projet'!E51*42+SUM('Données projet'!F51:G51)*19.4+'Données projet'!H51*10</f>
        <v>0</v>
      </c>
      <c r="D38" s="194">
        <f t="shared" si="2"/>
        <v>0</v>
      </c>
      <c r="E38" s="206"/>
      <c r="F38" s="263"/>
      <c r="G38" s="217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0</v>
      </c>
      <c r="B39" s="193">
        <f>'Données projet'!D52</f>
        <v>0</v>
      </c>
      <c r="C39" s="206">
        <f>'Données projet'!E52*42+SUM('Données projet'!F52:G52)*19.4+'Données projet'!H52*10</f>
        <v>0</v>
      </c>
      <c r="D39" s="194">
        <f t="shared" si="2"/>
        <v>0</v>
      </c>
      <c r="E39" s="206"/>
      <c r="F39" s="263"/>
      <c r="G39" s="217"/>
      <c r="H39" s="203"/>
      <c r="I39" s="204"/>
      <c r="K39" s="224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0</v>
      </c>
      <c r="B40" s="193">
        <f>'Données projet'!D53</f>
        <v>0</v>
      </c>
      <c r="C40" s="206">
        <f>'Données projet'!E53*42+SUM('Données projet'!F53:G53)*19.4+'Données projet'!H53*10</f>
        <v>0</v>
      </c>
      <c r="D40" s="194">
        <f t="shared" si="2"/>
        <v>0</v>
      </c>
      <c r="E40" s="206"/>
      <c r="F40" s="263"/>
      <c r="G40" s="217"/>
      <c r="H40" s="203"/>
      <c r="I40" s="204"/>
      <c r="K40" s="224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0</v>
      </c>
      <c r="B41" s="193">
        <f>'Données projet'!D54</f>
        <v>0</v>
      </c>
      <c r="C41" s="206">
        <f>'Données projet'!E54*42+SUM('Données projet'!F54:G54)*19.4+'Données projet'!H54*10</f>
        <v>0</v>
      </c>
      <c r="D41" s="194">
        <f t="shared" si="2"/>
        <v>0</v>
      </c>
      <c r="E41" s="206"/>
      <c r="F41" s="263"/>
      <c r="G41" s="217"/>
      <c r="H41" s="203"/>
      <c r="I41" s="204"/>
      <c r="K41" s="224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0</v>
      </c>
      <c r="B42" s="193">
        <f>'Données projet'!D55</f>
        <v>0</v>
      </c>
      <c r="C42" s="206">
        <f>'Données projet'!E55*42+SUM('Données projet'!F55:G55)*19.4+'Données projet'!H55*10</f>
        <v>0</v>
      </c>
      <c r="D42" s="194">
        <f t="shared" si="2"/>
        <v>0</v>
      </c>
      <c r="E42" s="206"/>
      <c r="F42" s="263"/>
      <c r="G42" s="217"/>
      <c r="H42" s="203"/>
      <c r="I42" s="204"/>
      <c r="K42" s="224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5"/>
      <c r="E43" s="255"/>
      <c r="F43" s="268"/>
      <c r="G43" s="217"/>
      <c r="H43" s="203"/>
      <c r="I43" s="204"/>
      <c r="K43" s="224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0"/>
      <c r="G44" s="217"/>
      <c r="H44" s="203"/>
      <c r="I44" s="204"/>
      <c r="K44" s="224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>Chêne rouge d'Amérique</v>
      </c>
      <c r="C45" s="5"/>
      <c r="D45" s="5"/>
      <c r="E45" s="5"/>
      <c r="F45" s="260"/>
      <c r="G45" s="217"/>
      <c r="H45" s="203"/>
      <c r="I45" s="204"/>
      <c r="J45" s="25"/>
      <c r="K45" s="224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0"/>
      <c r="G46" s="217"/>
      <c r="H46" s="203"/>
      <c r="I46" s="204"/>
      <c r="J46" s="25"/>
      <c r="K46" s="224"/>
      <c r="L46" s="219"/>
      <c r="M46" s="219"/>
      <c r="N46" s="219"/>
      <c r="O46" s="207">
        <f>IF(O45+1&lt;=MIN('Données projet'!$E$9:$E$18),O45+1,"STOP")</f>
        <v>13</v>
      </c>
      <c r="P46" s="200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3"/>
      <c r="I47" s="204"/>
      <c r="J47" s="25"/>
      <c r="K47" s="224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09">
        <v>0</v>
      </c>
      <c r="B48" s="212" t="s">
        <v>132</v>
      </c>
      <c r="C48" s="211" t="s">
        <v>132</v>
      </c>
      <c r="D48" s="210" t="s">
        <v>132</v>
      </c>
      <c r="E48" s="206">
        <f>3525+555.6</f>
        <v>4080.6</v>
      </c>
      <c r="F48" s="261"/>
      <c r="G48" s="217"/>
      <c r="H48" s="203"/>
      <c r="I48" s="204"/>
      <c r="J48" s="25"/>
      <c r="K48" s="224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09">
        <v>1</v>
      </c>
      <c r="B49" s="212" t="s">
        <v>132</v>
      </c>
      <c r="C49" s="211" t="s">
        <v>132</v>
      </c>
      <c r="D49" s="210" t="s">
        <v>132</v>
      </c>
      <c r="E49" s="206"/>
      <c r="F49" s="261"/>
      <c r="G49" s="218"/>
      <c r="H49" s="203"/>
      <c r="I49" s="204"/>
      <c r="J49" s="219"/>
      <c r="K49" s="226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6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09">
        <v>2</v>
      </c>
      <c r="B50" s="212" t="s">
        <v>132</v>
      </c>
      <c r="C50" s="211" t="s">
        <v>132</v>
      </c>
      <c r="D50" s="210" t="s">
        <v>132</v>
      </c>
      <c r="E50" s="206"/>
      <c r="F50" s="261"/>
      <c r="G50" s="220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09">
        <v>3</v>
      </c>
      <c r="B51" s="212" t="s">
        <v>132</v>
      </c>
      <c r="C51" s="211" t="s">
        <v>132</v>
      </c>
      <c r="D51" s="210" t="s">
        <v>132</v>
      </c>
      <c r="E51" s="206"/>
      <c r="F51" s="261"/>
      <c r="G51" s="220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09">
        <v>4</v>
      </c>
      <c r="B52" s="212" t="s">
        <v>132</v>
      </c>
      <c r="C52" s="211" t="s">
        <v>132</v>
      </c>
      <c r="D52" s="210" t="s">
        <v>132</v>
      </c>
      <c r="E52" s="206"/>
      <c r="F52" s="261"/>
      <c r="G52" s="220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09">
        <v>5</v>
      </c>
      <c r="B53" s="212" t="s">
        <v>132</v>
      </c>
      <c r="C53" s="211" t="s">
        <v>132</v>
      </c>
      <c r="D53" s="210" t="s">
        <v>132</v>
      </c>
      <c r="E53" s="206"/>
      <c r="F53" s="261"/>
      <c r="G53" s="221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10</v>
      </c>
      <c r="B54" s="193">
        <f>'Données projet'!D62</f>
        <v>0</v>
      </c>
      <c r="C54" s="204">
        <f>'Données projet'!E62*150+SUM('Données projet'!F62:G62)*13.8+'Données projet'!H62*10</f>
        <v>10</v>
      </c>
      <c r="D54" s="191">
        <f>B54*C54</f>
        <v>0</v>
      </c>
      <c r="E54" s="206"/>
      <c r="F54" s="262"/>
      <c r="G54" s="221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15</v>
      </c>
      <c r="B55" s="193">
        <f>'Données projet'!D63</f>
        <v>0</v>
      </c>
      <c r="C55" s="204">
        <f>'Données projet'!E63*150+SUM('Données projet'!F63:G63)*13.8+'Données projet'!H63*10</f>
        <v>10</v>
      </c>
      <c r="D55" s="191">
        <f t="shared" ref="D55:D73" si="4">B55*C55</f>
        <v>0</v>
      </c>
      <c r="E55" s="206"/>
      <c r="F55" s="262"/>
      <c r="G55" s="221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20</v>
      </c>
      <c r="B56" s="193">
        <f>'Données projet'!D64</f>
        <v>29</v>
      </c>
      <c r="C56" s="204">
        <f>'Données projet'!E64*150+SUM('Données projet'!F64:G64)*13.8+'Données projet'!H64*10</f>
        <v>10</v>
      </c>
      <c r="D56" s="191">
        <f t="shared" si="4"/>
        <v>290</v>
      </c>
      <c r="E56" s="206"/>
      <c r="F56" s="262"/>
      <c r="G56" s="221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25</v>
      </c>
      <c r="B57" s="193">
        <f>'Données projet'!D65</f>
        <v>19</v>
      </c>
      <c r="C57" s="204">
        <f>'Données projet'!E65*150+SUM('Données projet'!F65:G65)*13.8+'Données projet'!H65*10</f>
        <v>10</v>
      </c>
      <c r="D57" s="191">
        <f t="shared" si="4"/>
        <v>190</v>
      </c>
      <c r="E57" s="206"/>
      <c r="F57" s="262"/>
      <c r="G57" s="221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30</v>
      </c>
      <c r="B58" s="193">
        <f>'Données projet'!D66</f>
        <v>20</v>
      </c>
      <c r="C58" s="204">
        <f>'Données projet'!E66*150+SUM('Données projet'!F66:G66)*13.8+'Données projet'!H66*10</f>
        <v>10</v>
      </c>
      <c r="D58" s="191">
        <f t="shared" si="4"/>
        <v>200</v>
      </c>
      <c r="E58" s="206"/>
      <c r="F58" s="262"/>
      <c r="G58" s="221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35</v>
      </c>
      <c r="B59" s="193">
        <f>'Données projet'!D67</f>
        <v>20</v>
      </c>
      <c r="C59" s="204">
        <f>'Données projet'!E67*150+SUM('Données projet'!F67:G67)*13.8+'Données projet'!H67*10</f>
        <v>38</v>
      </c>
      <c r="D59" s="191">
        <f t="shared" si="4"/>
        <v>760</v>
      </c>
      <c r="E59" s="206"/>
      <c r="F59" s="262"/>
      <c r="G59" s="221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40</v>
      </c>
      <c r="B60" s="193">
        <f>'Données projet'!D68</f>
        <v>20</v>
      </c>
      <c r="C60" s="204">
        <f>'Données projet'!E68*150+SUM('Données projet'!F68:G68)*13.8+'Données projet'!H68*10</f>
        <v>52</v>
      </c>
      <c r="D60" s="191">
        <f t="shared" si="4"/>
        <v>1040</v>
      </c>
      <c r="E60" s="206"/>
      <c r="F60" s="262"/>
      <c r="G60" s="222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45</v>
      </c>
      <c r="B61" s="193">
        <f>'Données projet'!D69</f>
        <v>19</v>
      </c>
      <c r="C61" s="204">
        <f>'Données projet'!E69*150+SUM('Données projet'!F69:G69)*13.8+'Données projet'!H69*10</f>
        <v>52</v>
      </c>
      <c r="D61" s="191">
        <f t="shared" si="4"/>
        <v>988</v>
      </c>
      <c r="E61" s="206"/>
      <c r="F61" s="262"/>
      <c r="G61" s="222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50</v>
      </c>
      <c r="B62" s="193">
        <f>'Données projet'!D70</f>
        <v>18</v>
      </c>
      <c r="C62" s="204">
        <f>'Données projet'!E70*150+SUM('Données projet'!F70:G70)*13.8+'Données projet'!H70*10</f>
        <v>66</v>
      </c>
      <c r="D62" s="191">
        <f t="shared" si="4"/>
        <v>1188</v>
      </c>
      <c r="E62" s="206"/>
      <c r="F62" s="262"/>
      <c r="G62" s="222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55</v>
      </c>
      <c r="B63" s="193">
        <f>'Données projet'!D71</f>
        <v>17</v>
      </c>
      <c r="C63" s="204">
        <f>'Données projet'!E71*150+SUM('Données projet'!F71:G71)*13.8+'Données projet'!H71*10</f>
        <v>66</v>
      </c>
      <c r="D63" s="191">
        <f t="shared" si="4"/>
        <v>1122</v>
      </c>
      <c r="E63" s="206"/>
      <c r="F63" s="262"/>
      <c r="G63" s="222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60</v>
      </c>
      <c r="B64" s="193">
        <f>'Données projet'!D72</f>
        <v>16</v>
      </c>
      <c r="C64" s="204">
        <f>'Données projet'!E72*150+SUM('Données projet'!F72:G72)*13.8+'Données projet'!H72*10</f>
        <v>80</v>
      </c>
      <c r="D64" s="191">
        <f t="shared" si="4"/>
        <v>1280</v>
      </c>
      <c r="E64" s="206"/>
      <c r="F64" s="262"/>
      <c r="G64" s="222"/>
      <c r="H64" s="203"/>
      <c r="I64" s="204"/>
      <c r="J64" s="223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65</v>
      </c>
      <c r="B65" s="193">
        <f>'Données projet'!D73</f>
        <v>15</v>
      </c>
      <c r="C65" s="204">
        <f>'Données projet'!E73*150+SUM('Données projet'!F73:G73)*13.8+'Données projet'!H73*10</f>
        <v>80</v>
      </c>
      <c r="D65" s="191">
        <f t="shared" si="4"/>
        <v>1200</v>
      </c>
      <c r="E65" s="206"/>
      <c r="F65" s="262"/>
      <c r="G65" s="222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70</v>
      </c>
      <c r="B66" s="193">
        <f>'Données projet'!D74</f>
        <v>14</v>
      </c>
      <c r="C66" s="204">
        <f>'Données projet'!E74*150+SUM('Données projet'!F74:G74)*13.8+'Données projet'!H74*10</f>
        <v>94</v>
      </c>
      <c r="D66" s="191">
        <f t="shared" si="4"/>
        <v>1316</v>
      </c>
      <c r="E66" s="206"/>
      <c r="F66" s="262"/>
      <c r="G66" s="222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75</v>
      </c>
      <c r="B67" s="193">
        <f>'Données projet'!D75</f>
        <v>12</v>
      </c>
      <c r="C67" s="204">
        <f>'Données projet'!E75*150+SUM('Données projet'!F75:G75)*13.8+'Données projet'!H75*10</f>
        <v>94</v>
      </c>
      <c r="D67" s="191">
        <f t="shared" si="4"/>
        <v>1128</v>
      </c>
      <c r="E67" s="206"/>
      <c r="F67" s="262"/>
      <c r="G67" s="222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80</v>
      </c>
      <c r="B68" s="193">
        <f>'Données projet'!D76</f>
        <v>11</v>
      </c>
      <c r="C68" s="204">
        <f>'Données projet'!E76*150+SUM('Données projet'!F76:G76)*13.8+'Données projet'!H76*10</f>
        <v>108</v>
      </c>
      <c r="D68" s="191">
        <f t="shared" si="4"/>
        <v>1188</v>
      </c>
      <c r="E68" s="206"/>
      <c r="F68" s="262"/>
      <c r="G68" s="222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85</v>
      </c>
      <c r="B69" s="193">
        <f>'Données projet'!D77</f>
        <v>10</v>
      </c>
      <c r="C69" s="204">
        <f>'Données projet'!E77*150+SUM('Données projet'!F77:G77)*13.8+'Données projet'!H77*10</f>
        <v>108</v>
      </c>
      <c r="D69" s="191">
        <f t="shared" si="4"/>
        <v>1080</v>
      </c>
      <c r="E69" s="206"/>
      <c r="F69" s="262"/>
      <c r="G69" s="222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90</v>
      </c>
      <c r="B70" s="193">
        <f>'Données projet'!D78</f>
        <v>215</v>
      </c>
      <c r="C70" s="204">
        <f>'Données projet'!E78*150+SUM('Données projet'!F78:G78)*13.8+'Données projet'!H78*10</f>
        <v>122</v>
      </c>
      <c r="D70" s="191">
        <f t="shared" si="4"/>
        <v>26230</v>
      </c>
      <c r="E70" s="206"/>
      <c r="F70" s="262"/>
      <c r="G70" s="222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0</v>
      </c>
      <c r="B71" s="193">
        <f>'Données projet'!D79</f>
        <v>0</v>
      </c>
      <c r="C71" s="204">
        <f>'Données projet'!E79*150+SUM('Données projet'!F79:G79)*13.8+'Données projet'!H79*10</f>
        <v>0</v>
      </c>
      <c r="D71" s="191">
        <f t="shared" si="4"/>
        <v>0</v>
      </c>
      <c r="E71" s="206"/>
      <c r="F71" s="262"/>
      <c r="G71" s="222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0</v>
      </c>
      <c r="B72" s="193">
        <f>'Données projet'!D80</f>
        <v>0</v>
      </c>
      <c r="C72" s="204">
        <f>'Données projet'!E80*150+SUM('Données projet'!F80:G80)*13.8+'Données projet'!H80*10</f>
        <v>0</v>
      </c>
      <c r="D72" s="191">
        <f t="shared" si="4"/>
        <v>0</v>
      </c>
      <c r="E72" s="206"/>
      <c r="F72" s="262"/>
      <c r="G72" s="222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0</v>
      </c>
      <c r="B73" s="193">
        <f>'Données projet'!D81</f>
        <v>0</v>
      </c>
      <c r="C73" s="204">
        <f>'Données projet'!E81*150+SUM('Données projet'!F81:G81)*13.8+'Données projet'!H81*10</f>
        <v>0</v>
      </c>
      <c r="D73" s="191">
        <f t="shared" si="4"/>
        <v>0</v>
      </c>
      <c r="E73" s="206"/>
      <c r="F73" s="262"/>
      <c r="G73" s="222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0"/>
      <c r="G74" s="222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0"/>
      <c r="G75" s="222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0"/>
      <c r="G76" s="222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0"/>
      <c r="G77" s="222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09">
        <v>0</v>
      </c>
      <c r="B79" s="212" t="s">
        <v>132</v>
      </c>
      <c r="C79" s="211" t="s">
        <v>132</v>
      </c>
      <c r="D79" s="210" t="s">
        <v>132</v>
      </c>
      <c r="E79" s="206"/>
      <c r="F79" s="261"/>
      <c r="G79" s="222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09">
        <v>1</v>
      </c>
      <c r="B80" s="212" t="s">
        <v>132</v>
      </c>
      <c r="C80" s="211" t="s">
        <v>132</v>
      </c>
      <c r="D80" s="210" t="s">
        <v>132</v>
      </c>
      <c r="E80" s="206"/>
      <c r="F80" s="261"/>
      <c r="G80" s="220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09">
        <v>2</v>
      </c>
      <c r="B81" s="212" t="s">
        <v>132</v>
      </c>
      <c r="C81" s="211" t="s">
        <v>132</v>
      </c>
      <c r="D81" s="210" t="s">
        <v>132</v>
      </c>
      <c r="E81" s="206"/>
      <c r="F81" s="261"/>
      <c r="G81" s="220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09">
        <v>3</v>
      </c>
      <c r="B82" s="212" t="s">
        <v>132</v>
      </c>
      <c r="C82" s="211" t="s">
        <v>132</v>
      </c>
      <c r="D82" s="210" t="s">
        <v>132</v>
      </c>
      <c r="E82" s="206"/>
      <c r="F82" s="261"/>
      <c r="G82" s="220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09">
        <v>4</v>
      </c>
      <c r="B83" s="212" t="s">
        <v>132</v>
      </c>
      <c r="C83" s="211" t="s">
        <v>132</v>
      </c>
      <c r="D83" s="210" t="s">
        <v>132</v>
      </c>
      <c r="E83" s="206"/>
      <c r="F83" s="261"/>
      <c r="G83" s="220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09">
        <v>5</v>
      </c>
      <c r="B84" s="212" t="s">
        <v>132</v>
      </c>
      <c r="C84" s="211" t="s">
        <v>132</v>
      </c>
      <c r="D84" s="210" t="s">
        <v>132</v>
      </c>
      <c r="E84" s="206"/>
      <c r="F84" s="261"/>
      <c r="G84" s="221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0</v>
      </c>
      <c r="B85" s="193">
        <f>'Données projet'!D88</f>
        <v>0</v>
      </c>
      <c r="C85" s="204">
        <f>'Données projet'!E88*30+SUM('Données projet'!F88:G88)*19.4+'Données projet'!H88*10</f>
        <v>0</v>
      </c>
      <c r="D85" s="191">
        <f>B85*C85</f>
        <v>0</v>
      </c>
      <c r="E85" s="206"/>
      <c r="F85" s="262"/>
      <c r="G85" s="221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0</v>
      </c>
      <c r="B86" s="193">
        <f>'Données projet'!D89</f>
        <v>0</v>
      </c>
      <c r="C86" s="204">
        <f>'Données projet'!E89*30+SUM('Données projet'!F89:G89)*19.4+'Données projet'!H89*10</f>
        <v>0</v>
      </c>
      <c r="D86" s="191">
        <f t="shared" ref="D86:D104" si="6">B86*C86</f>
        <v>0</v>
      </c>
      <c r="E86" s="206"/>
      <c r="F86" s="262"/>
      <c r="G86" s="221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0</v>
      </c>
      <c r="B87" s="193">
        <f>'Données projet'!D90</f>
        <v>0</v>
      </c>
      <c r="C87" s="204">
        <f>'Données projet'!E90*30+SUM('Données projet'!F90:G90)*19.4+'Données projet'!H90*10</f>
        <v>0</v>
      </c>
      <c r="D87" s="191">
        <f t="shared" si="6"/>
        <v>0</v>
      </c>
      <c r="E87" s="206"/>
      <c r="F87" s="262"/>
      <c r="G87" s="221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0</v>
      </c>
      <c r="B88" s="193">
        <f>'Données projet'!D91</f>
        <v>0</v>
      </c>
      <c r="C88" s="204">
        <f>'Données projet'!E91*30+SUM('Données projet'!F91:G91)*19.4+'Données projet'!H91*10</f>
        <v>0</v>
      </c>
      <c r="D88" s="191">
        <f t="shared" si="6"/>
        <v>0</v>
      </c>
      <c r="E88" s="206"/>
      <c r="F88" s="262"/>
      <c r="G88" s="221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0</v>
      </c>
      <c r="B89" s="193">
        <f>'Données projet'!D92</f>
        <v>0</v>
      </c>
      <c r="C89" s="204">
        <f>'Données projet'!E92*30+SUM('Données projet'!F92:G92)*19.4+'Données projet'!H92*10</f>
        <v>0</v>
      </c>
      <c r="D89" s="191">
        <f t="shared" si="6"/>
        <v>0</v>
      </c>
      <c r="E89" s="206"/>
      <c r="F89" s="262"/>
      <c r="G89" s="221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0</v>
      </c>
      <c r="B90" s="193">
        <f>'Données projet'!D93</f>
        <v>0</v>
      </c>
      <c r="C90" s="204">
        <f>'Données projet'!E93*30+SUM('Données projet'!F93:G93)*19.4+'Données projet'!H93*10</f>
        <v>0</v>
      </c>
      <c r="D90" s="191">
        <f t="shared" si="6"/>
        <v>0</v>
      </c>
      <c r="E90" s="206"/>
      <c r="F90" s="262"/>
      <c r="G90" s="221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0</v>
      </c>
      <c r="B91" s="193">
        <f>'Données projet'!D94</f>
        <v>0</v>
      </c>
      <c r="C91" s="204">
        <f>'Données projet'!E94*30+SUM('Données projet'!F94:G94)*19.4+'Données projet'!H94*10</f>
        <v>0</v>
      </c>
      <c r="D91" s="191">
        <f t="shared" si="6"/>
        <v>0</v>
      </c>
      <c r="E91" s="206"/>
      <c r="F91" s="262"/>
      <c r="G91" s="222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0</v>
      </c>
      <c r="B92" s="193">
        <f>'Données projet'!D95</f>
        <v>0</v>
      </c>
      <c r="C92" s="204">
        <f>'Données projet'!E95*30+SUM('Données projet'!F95:G95)*19.4+'Données projet'!H95*10</f>
        <v>0</v>
      </c>
      <c r="D92" s="191">
        <f t="shared" si="6"/>
        <v>0</v>
      </c>
      <c r="E92" s="206"/>
      <c r="F92" s="262"/>
      <c r="G92" s="222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0</v>
      </c>
      <c r="B93" s="193">
        <f>'Données projet'!D96</f>
        <v>0</v>
      </c>
      <c r="C93" s="204">
        <f>'Données projet'!E96*30+SUM('Données projet'!F96:G96)*19.4+'Données projet'!H96*10</f>
        <v>0</v>
      </c>
      <c r="D93" s="191">
        <f t="shared" si="6"/>
        <v>0</v>
      </c>
      <c r="E93" s="206"/>
      <c r="F93" s="262"/>
      <c r="G93" s="222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0</v>
      </c>
      <c r="B94" s="193">
        <f>'Données projet'!D97</f>
        <v>0</v>
      </c>
      <c r="C94" s="204">
        <f>'Données projet'!E97*30+SUM('Données projet'!F97:G97)*19.4+'Données projet'!H97*10</f>
        <v>0</v>
      </c>
      <c r="D94" s="191">
        <f t="shared" si="6"/>
        <v>0</v>
      </c>
      <c r="E94" s="206"/>
      <c r="F94" s="262"/>
      <c r="G94" s="222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0</v>
      </c>
      <c r="B95" s="193">
        <f>'Données projet'!D98</f>
        <v>0</v>
      </c>
      <c r="C95" s="204">
        <f>'Données projet'!E98*30+SUM('Données projet'!F98:G98)*19.4+'Données projet'!H98*10</f>
        <v>0</v>
      </c>
      <c r="D95" s="191">
        <f t="shared" si="6"/>
        <v>0</v>
      </c>
      <c r="E95" s="206"/>
      <c r="F95" s="262"/>
      <c r="G95" s="222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0</v>
      </c>
      <c r="B96" s="193">
        <f>'Données projet'!D99</f>
        <v>0</v>
      </c>
      <c r="C96" s="204">
        <f>'Données projet'!E99*30+SUM('Données projet'!F99:G99)*19.4+'Données projet'!H99*10</f>
        <v>0</v>
      </c>
      <c r="D96" s="191">
        <f t="shared" si="6"/>
        <v>0</v>
      </c>
      <c r="E96" s="206"/>
      <c r="F96" s="262"/>
      <c r="G96" s="222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0</v>
      </c>
      <c r="B97" s="193">
        <f>'Données projet'!D100</f>
        <v>0</v>
      </c>
      <c r="C97" s="204">
        <f>'Données projet'!E100*30+SUM('Données projet'!F100:G100)*19.4+'Données projet'!H100*10</f>
        <v>0</v>
      </c>
      <c r="D97" s="191">
        <f t="shared" si="6"/>
        <v>0</v>
      </c>
      <c r="E97" s="206"/>
      <c r="F97" s="262"/>
      <c r="G97" s="222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0</v>
      </c>
      <c r="B98" s="193">
        <f>'Données projet'!D101</f>
        <v>0</v>
      </c>
      <c r="C98" s="204">
        <f>'Données projet'!E101*30+SUM('Données projet'!F101:G101)*19.4+'Données projet'!H101*10</f>
        <v>0</v>
      </c>
      <c r="D98" s="191">
        <f t="shared" si="6"/>
        <v>0</v>
      </c>
      <c r="E98" s="206"/>
      <c r="F98" s="262"/>
      <c r="G98" s="222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0</v>
      </c>
      <c r="B99" s="193">
        <f>'Données projet'!D102</f>
        <v>0</v>
      </c>
      <c r="C99" s="204">
        <f>'Données projet'!E102*30+SUM('Données projet'!F102:G102)*19.4+'Données projet'!H102*10</f>
        <v>0</v>
      </c>
      <c r="D99" s="191">
        <f t="shared" si="6"/>
        <v>0</v>
      </c>
      <c r="E99" s="206"/>
      <c r="F99" s="262"/>
      <c r="G99" s="222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0</v>
      </c>
      <c r="B100" s="193">
        <f>'Données projet'!D103</f>
        <v>0</v>
      </c>
      <c r="C100" s="204">
        <f>'Données projet'!E103*30+SUM('Données projet'!F103:G103)*19.4+'Données projet'!H103*10</f>
        <v>0</v>
      </c>
      <c r="D100" s="191">
        <f t="shared" si="6"/>
        <v>0</v>
      </c>
      <c r="E100" s="206"/>
      <c r="F100" s="262"/>
      <c r="G100" s="222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0</v>
      </c>
      <c r="B101" s="193">
        <f>'Données projet'!D104</f>
        <v>0</v>
      </c>
      <c r="C101" s="204">
        <f>'Données projet'!E104*30+SUM('Données projet'!F104:G104)*19.4+'Données projet'!H104*10</f>
        <v>0</v>
      </c>
      <c r="D101" s="191">
        <f t="shared" si="6"/>
        <v>0</v>
      </c>
      <c r="E101" s="206"/>
      <c r="F101" s="262"/>
      <c r="G101" s="222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0</v>
      </c>
      <c r="B102" s="193">
        <f>'Données projet'!D105</f>
        <v>0</v>
      </c>
      <c r="C102" s="204">
        <f>'Données projet'!E105*30+SUM('Données projet'!F105:G105)*19.4+'Données projet'!H105*10</f>
        <v>0</v>
      </c>
      <c r="D102" s="191">
        <f t="shared" si="6"/>
        <v>0</v>
      </c>
      <c r="E102" s="206"/>
      <c r="F102" s="262"/>
      <c r="G102" s="222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0</v>
      </c>
      <c r="B103" s="193">
        <f>'Données projet'!D106</f>
        <v>0</v>
      </c>
      <c r="C103" s="204">
        <f>'Données projet'!E106*30+SUM('Données projet'!F106:G106)*19.4+'Données projet'!H106*10</f>
        <v>0</v>
      </c>
      <c r="D103" s="191">
        <f t="shared" si="6"/>
        <v>0</v>
      </c>
      <c r="E103" s="206"/>
      <c r="F103" s="262"/>
      <c r="G103" s="222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0</v>
      </c>
      <c r="B104" s="193">
        <f>'Données projet'!D107</f>
        <v>0</v>
      </c>
      <c r="C104" s="204">
        <f>'Données projet'!E107*30+SUM('Données projet'!F107:G107)*19.4+'Données projet'!H107*10</f>
        <v>0</v>
      </c>
      <c r="D104" s="191">
        <f t="shared" si="6"/>
        <v>0</v>
      </c>
      <c r="E104" s="206"/>
      <c r="F104" s="262"/>
      <c r="G104" s="222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0"/>
      <c r="G105" s="222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0"/>
      <c r="G106" s="222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0"/>
      <c r="G107" s="222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0"/>
      <c r="G108" s="222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09">
        <v>0</v>
      </c>
      <c r="B110" s="212" t="s">
        <v>132</v>
      </c>
      <c r="C110" s="211" t="s">
        <v>132</v>
      </c>
      <c r="D110" s="210" t="s">
        <v>132</v>
      </c>
      <c r="E110" s="206"/>
      <c r="F110" s="261"/>
      <c r="G110" s="222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09">
        <v>1</v>
      </c>
      <c r="B111" s="212" t="s">
        <v>132</v>
      </c>
      <c r="C111" s="211" t="s">
        <v>132</v>
      </c>
      <c r="D111" s="210" t="s">
        <v>132</v>
      </c>
      <c r="E111" s="206"/>
      <c r="F111" s="261"/>
      <c r="G111" s="220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09">
        <v>2</v>
      </c>
      <c r="B112" s="212" t="s">
        <v>132</v>
      </c>
      <c r="C112" s="211" t="s">
        <v>132</v>
      </c>
      <c r="D112" s="210" t="s">
        <v>132</v>
      </c>
      <c r="E112" s="206"/>
      <c r="F112" s="261"/>
      <c r="G112" s="220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09">
        <v>3</v>
      </c>
      <c r="B113" s="212" t="s">
        <v>132</v>
      </c>
      <c r="C113" s="211" t="s">
        <v>132</v>
      </c>
      <c r="D113" s="210" t="s">
        <v>132</v>
      </c>
      <c r="E113" s="206"/>
      <c r="F113" s="261"/>
      <c r="G113" s="220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09">
        <v>4</v>
      </c>
      <c r="B114" s="212" t="s">
        <v>132</v>
      </c>
      <c r="C114" s="211" t="s">
        <v>132</v>
      </c>
      <c r="D114" s="210" t="s">
        <v>132</v>
      </c>
      <c r="E114" s="206"/>
      <c r="F114" s="261"/>
      <c r="G114" s="220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09">
        <v>5</v>
      </c>
      <c r="B115" s="212" t="s">
        <v>132</v>
      </c>
      <c r="C115" s="211" t="s">
        <v>132</v>
      </c>
      <c r="D115" s="210" t="s">
        <v>132</v>
      </c>
      <c r="E115" s="206"/>
      <c r="F115" s="261"/>
      <c r="G115" s="221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0</v>
      </c>
      <c r="B116" s="193">
        <f>'Données projet'!D114</f>
        <v>0</v>
      </c>
      <c r="C116" s="204">
        <f>'Données projet'!E114*37+SUM('Données projet'!F114:G114)*19.4+'Données projet'!H114*10</f>
        <v>0</v>
      </c>
      <c r="D116" s="191">
        <f>B116*C116</f>
        <v>0</v>
      </c>
      <c r="E116" s="206"/>
      <c r="F116" s="262"/>
      <c r="G116" s="221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0</v>
      </c>
      <c r="B117" s="193">
        <f>'Données projet'!D115</f>
        <v>0</v>
      </c>
      <c r="C117" s="204">
        <f>'Données projet'!E115*37+SUM('Données projet'!F115:G115)*19.4+'Données projet'!H115*10</f>
        <v>0</v>
      </c>
      <c r="D117" s="191">
        <f t="shared" ref="D117:D135" si="8">B117*C117</f>
        <v>0</v>
      </c>
      <c r="E117" s="206"/>
      <c r="F117" s="262"/>
      <c r="G117" s="221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0</v>
      </c>
      <c r="B118" s="193">
        <f>'Données projet'!D116</f>
        <v>0</v>
      </c>
      <c r="C118" s="204">
        <f>'Données projet'!E116*37+SUM('Données projet'!F116:G116)*19.4+'Données projet'!H116*10</f>
        <v>0</v>
      </c>
      <c r="D118" s="191">
        <f t="shared" si="8"/>
        <v>0</v>
      </c>
      <c r="E118" s="206"/>
      <c r="F118" s="262"/>
      <c r="G118" s="221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0</v>
      </c>
      <c r="B119" s="193">
        <f>'Données projet'!D117</f>
        <v>0</v>
      </c>
      <c r="C119" s="204">
        <f>'Données projet'!E117*37+SUM('Données projet'!F117:G117)*19.4+'Données projet'!H117*10</f>
        <v>0</v>
      </c>
      <c r="D119" s="191">
        <f t="shared" si="8"/>
        <v>0</v>
      </c>
      <c r="E119" s="206"/>
      <c r="F119" s="262"/>
      <c r="G119" s="221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0</v>
      </c>
      <c r="B120" s="193">
        <f>'Données projet'!D118</f>
        <v>0</v>
      </c>
      <c r="C120" s="204">
        <f>'Données projet'!E118*37+SUM('Données projet'!F118:G118)*19.4+'Données projet'!H118*10</f>
        <v>0</v>
      </c>
      <c r="D120" s="191">
        <f t="shared" si="8"/>
        <v>0</v>
      </c>
      <c r="E120" s="206"/>
      <c r="F120" s="262"/>
      <c r="G120" s="221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0</v>
      </c>
      <c r="B121" s="193">
        <f>'Données projet'!D119</f>
        <v>0</v>
      </c>
      <c r="C121" s="204">
        <f>'Données projet'!E119*37+SUM('Données projet'!F119:G119)*19.4+'Données projet'!H119*10</f>
        <v>0</v>
      </c>
      <c r="D121" s="191">
        <f t="shared" si="8"/>
        <v>0</v>
      </c>
      <c r="E121" s="206"/>
      <c r="F121" s="262"/>
      <c r="G121" s="221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0</v>
      </c>
      <c r="B122" s="193">
        <f>'Données projet'!D120</f>
        <v>0</v>
      </c>
      <c r="C122" s="204">
        <f>'Données projet'!E120*37+SUM('Données projet'!F120:G120)*19.4+'Données projet'!H120*10</f>
        <v>0</v>
      </c>
      <c r="D122" s="191">
        <f t="shared" si="8"/>
        <v>0</v>
      </c>
      <c r="E122" s="206"/>
      <c r="F122" s="262"/>
      <c r="G122" s="222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0</v>
      </c>
      <c r="B123" s="193">
        <f>'Données projet'!D121</f>
        <v>0</v>
      </c>
      <c r="C123" s="204">
        <f>'Données projet'!E121*37+SUM('Données projet'!F121:G121)*19.4+'Données projet'!H121*10</f>
        <v>0</v>
      </c>
      <c r="D123" s="191">
        <f t="shared" si="8"/>
        <v>0</v>
      </c>
      <c r="E123" s="206"/>
      <c r="F123" s="262"/>
      <c r="G123" s="222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0</v>
      </c>
      <c r="B124" s="193">
        <f>'Données projet'!D122</f>
        <v>0</v>
      </c>
      <c r="C124" s="204">
        <f>'Données projet'!E122*37+SUM('Données projet'!F122:G122)*19.4+'Données projet'!H122*10</f>
        <v>0</v>
      </c>
      <c r="D124" s="191">
        <f t="shared" si="8"/>
        <v>0</v>
      </c>
      <c r="E124" s="206"/>
      <c r="F124" s="262"/>
      <c r="G124" s="222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0</v>
      </c>
      <c r="B125" s="193">
        <f>'Données projet'!D123</f>
        <v>0</v>
      </c>
      <c r="C125" s="204">
        <f>'Données projet'!E123*37+SUM('Données projet'!F123:G123)*19.4+'Données projet'!H123*10</f>
        <v>0</v>
      </c>
      <c r="D125" s="191">
        <f t="shared" si="8"/>
        <v>0</v>
      </c>
      <c r="E125" s="206"/>
      <c r="F125" s="262"/>
      <c r="G125" s="222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0</v>
      </c>
      <c r="B126" s="193">
        <f>'Données projet'!D124</f>
        <v>0</v>
      </c>
      <c r="C126" s="204">
        <f>'Données projet'!E124*37+SUM('Données projet'!F124:G124)*19.4+'Données projet'!H124*10</f>
        <v>0</v>
      </c>
      <c r="D126" s="191">
        <f t="shared" si="8"/>
        <v>0</v>
      </c>
      <c r="E126" s="206"/>
      <c r="F126" s="262"/>
      <c r="G126" s="222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0</v>
      </c>
      <c r="B127" s="193">
        <f>'Données projet'!D125</f>
        <v>0</v>
      </c>
      <c r="C127" s="204">
        <f>'Données projet'!E125*37+SUM('Données projet'!F125:G125)*19.4+'Données projet'!H125*10</f>
        <v>0</v>
      </c>
      <c r="D127" s="191">
        <f t="shared" si="8"/>
        <v>0</v>
      </c>
      <c r="E127" s="206"/>
      <c r="F127" s="262"/>
      <c r="G127" s="222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0</v>
      </c>
      <c r="B128" s="193">
        <f>'Données projet'!D126</f>
        <v>0</v>
      </c>
      <c r="C128" s="204">
        <f>'Données projet'!E126*37+SUM('Données projet'!F126:G126)*19.4+'Données projet'!H126*10</f>
        <v>0</v>
      </c>
      <c r="D128" s="191">
        <f t="shared" si="8"/>
        <v>0</v>
      </c>
      <c r="E128" s="206"/>
      <c r="F128" s="262"/>
      <c r="G128" s="222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0</v>
      </c>
      <c r="B129" s="193">
        <f>'Données projet'!D127</f>
        <v>0</v>
      </c>
      <c r="C129" s="204">
        <f>'Données projet'!E127*37+SUM('Données projet'!F127:G127)*19.4+'Données projet'!H127*10</f>
        <v>0</v>
      </c>
      <c r="D129" s="191">
        <f t="shared" si="8"/>
        <v>0</v>
      </c>
      <c r="E129" s="206"/>
      <c r="F129" s="262"/>
      <c r="G129" s="222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0</v>
      </c>
      <c r="B130" s="193">
        <f>'Données projet'!D128</f>
        <v>0</v>
      </c>
      <c r="C130" s="204">
        <f>'Données projet'!E128*37+SUM('Données projet'!F128:G128)*19.4+'Données projet'!H128*10</f>
        <v>0</v>
      </c>
      <c r="D130" s="191">
        <f t="shared" si="8"/>
        <v>0</v>
      </c>
      <c r="E130" s="206"/>
      <c r="F130" s="262"/>
      <c r="G130" s="222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0</v>
      </c>
      <c r="B131" s="193">
        <f>'Données projet'!D129</f>
        <v>0</v>
      </c>
      <c r="C131" s="204">
        <f>'Données projet'!E129*37+SUM('Données projet'!F129:G129)*19.4+'Données projet'!H129*10</f>
        <v>0</v>
      </c>
      <c r="D131" s="191">
        <f t="shared" si="8"/>
        <v>0</v>
      </c>
      <c r="E131" s="206"/>
      <c r="F131" s="262"/>
      <c r="G131" s="222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0</v>
      </c>
      <c r="B132" s="193">
        <f>'Données projet'!D130</f>
        <v>0</v>
      </c>
      <c r="C132" s="204">
        <f>'Données projet'!E130*37+SUM('Données projet'!F130:G130)*19.4+'Données projet'!H130*10</f>
        <v>0</v>
      </c>
      <c r="D132" s="191">
        <f t="shared" si="8"/>
        <v>0</v>
      </c>
      <c r="E132" s="206"/>
      <c r="F132" s="262"/>
      <c r="G132" s="222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0</v>
      </c>
      <c r="B133" s="193">
        <f>'Données projet'!D131</f>
        <v>0</v>
      </c>
      <c r="C133" s="204">
        <f>'Données projet'!E131*37+SUM('Données projet'!F131:G131)*19.4+'Données projet'!H131*10</f>
        <v>0</v>
      </c>
      <c r="D133" s="191">
        <f t="shared" si="8"/>
        <v>0</v>
      </c>
      <c r="E133" s="206"/>
      <c r="F133" s="262"/>
      <c r="G133" s="222"/>
      <c r="H133" s="203"/>
      <c r="I133" s="204"/>
      <c r="J133" s="5"/>
      <c r="K133" s="183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4">
        <f>'Données projet'!E132*37+SUM('Données projet'!F132:G132)*19.4+'Données projet'!H132*10</f>
        <v>0</v>
      </c>
      <c r="D134" s="191">
        <f t="shared" si="8"/>
        <v>0</v>
      </c>
      <c r="E134" s="206"/>
      <c r="F134" s="262"/>
      <c r="G134" s="222"/>
      <c r="H134" s="203"/>
      <c r="I134" s="204"/>
      <c r="J134" s="5"/>
      <c r="K134" s="183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4">
        <f>'Données projet'!E133*37+SUM('Données projet'!F133:G133)*19.4+'Données projet'!H133*10</f>
        <v>0</v>
      </c>
      <c r="D135" s="191">
        <f t="shared" si="8"/>
        <v>0</v>
      </c>
      <c r="E135" s="206"/>
      <c r="F135" s="262"/>
      <c r="G135" s="222"/>
      <c r="H135" s="203"/>
      <c r="I135" s="204"/>
      <c r="J135" s="5"/>
      <c r="K135" s="183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0"/>
      <c r="G136" s="222"/>
      <c r="H136" s="203"/>
      <c r="I136" s="204"/>
      <c r="J136" s="5"/>
      <c r="K136" s="183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0"/>
      <c r="G137" s="222"/>
      <c r="H137" s="203"/>
      <c r="I137" s="204"/>
      <c r="J137" s="5"/>
      <c r="K137" s="183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0"/>
      <c r="G138" s="222"/>
      <c r="H138" s="203"/>
      <c r="I138" s="204"/>
      <c r="J138" s="5"/>
      <c r="K138" s="183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0"/>
      <c r="G139" s="222"/>
      <c r="H139" s="203"/>
      <c r="I139" s="204"/>
      <c r="J139" s="5"/>
      <c r="K139" s="183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3"/>
      <c r="I140" s="204"/>
      <c r="J140" s="5"/>
      <c r="K140" s="183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09">
        <v>0</v>
      </c>
      <c r="B141" s="212" t="s">
        <v>132</v>
      </c>
      <c r="C141" s="211" t="s">
        <v>132</v>
      </c>
      <c r="D141" s="210" t="s">
        <v>132</v>
      </c>
      <c r="E141" s="206"/>
      <c r="F141" s="261"/>
      <c r="G141" s="222"/>
      <c r="H141" s="203"/>
      <c r="I141" s="204"/>
      <c r="J141" s="5"/>
      <c r="K141" s="183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09">
        <v>1</v>
      </c>
      <c r="B142" s="212" t="s">
        <v>132</v>
      </c>
      <c r="C142" s="211" t="s">
        <v>132</v>
      </c>
      <c r="D142" s="210" t="s">
        <v>132</v>
      </c>
      <c r="E142" s="206"/>
      <c r="F142" s="261"/>
      <c r="G142" s="220"/>
      <c r="H142" s="203"/>
      <c r="I142" s="204"/>
      <c r="J142" s="5"/>
      <c r="K142" s="183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09">
        <v>2</v>
      </c>
      <c r="B143" s="212" t="s">
        <v>132</v>
      </c>
      <c r="C143" s="211" t="s">
        <v>132</v>
      </c>
      <c r="D143" s="210" t="s">
        <v>132</v>
      </c>
      <c r="E143" s="206"/>
      <c r="F143" s="261"/>
      <c r="G143" s="220"/>
      <c r="H143" s="203"/>
      <c r="I143" s="204"/>
      <c r="J143" s="5"/>
      <c r="K143" s="183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09">
        <v>3</v>
      </c>
      <c r="B144" s="212" t="s">
        <v>132</v>
      </c>
      <c r="C144" s="211" t="s">
        <v>132</v>
      </c>
      <c r="D144" s="210" t="s">
        <v>132</v>
      </c>
      <c r="E144" s="206"/>
      <c r="F144" s="261"/>
      <c r="G144" s="220"/>
      <c r="H144" s="203"/>
      <c r="I144" s="204"/>
      <c r="J144" s="5"/>
      <c r="K144" s="183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09">
        <v>4</v>
      </c>
      <c r="B145" s="212" t="s">
        <v>132</v>
      </c>
      <c r="C145" s="211" t="s">
        <v>132</v>
      </c>
      <c r="D145" s="210" t="s">
        <v>132</v>
      </c>
      <c r="E145" s="206"/>
      <c r="F145" s="261"/>
      <c r="G145" s="220"/>
      <c r="H145" s="203"/>
      <c r="I145" s="204"/>
      <c r="J145" s="5"/>
      <c r="K145" s="183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09">
        <v>5</v>
      </c>
      <c r="B146" s="212" t="s">
        <v>132</v>
      </c>
      <c r="C146" s="211" t="s">
        <v>132</v>
      </c>
      <c r="D146" s="210" t="s">
        <v>132</v>
      </c>
      <c r="E146" s="206"/>
      <c r="F146" s="261"/>
      <c r="G146" s="221"/>
      <c r="H146" s="203"/>
      <c r="I146" s="204"/>
      <c r="J146" s="5"/>
      <c r="K146" s="183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0</v>
      </c>
      <c r="B147" s="187">
        <f>'Données projet'!D140</f>
        <v>0</v>
      </c>
      <c r="C147" s="204">
        <f>'Données projet'!E140*150+SUM('Données projet'!F140:G140)*13.8+'Données projet'!H140*10</f>
        <v>0</v>
      </c>
      <c r="D147" s="194">
        <f>B147*C147</f>
        <v>0</v>
      </c>
      <c r="E147" s="206"/>
      <c r="F147" s="263"/>
      <c r="G147" s="221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0</v>
      </c>
      <c r="B148" s="187">
        <f>'Données projet'!D141</f>
        <v>0</v>
      </c>
      <c r="C148" s="204">
        <f>'Données projet'!E141*150+SUM('Données projet'!F141:G141)*13.8+'Données projet'!H141*10</f>
        <v>0</v>
      </c>
      <c r="D148" s="194">
        <f t="shared" ref="D148:D166" si="10">B148*C148</f>
        <v>0</v>
      </c>
      <c r="E148" s="206"/>
      <c r="F148" s="263"/>
      <c r="G148" s="221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0</v>
      </c>
      <c r="B149" s="187">
        <f>'Données projet'!D142</f>
        <v>0</v>
      </c>
      <c r="C149" s="204">
        <f>'Données projet'!E142*150+SUM('Données projet'!F142:G142)*13.8+'Données projet'!H142*10</f>
        <v>0</v>
      </c>
      <c r="D149" s="194">
        <f t="shared" si="10"/>
        <v>0</v>
      </c>
      <c r="E149" s="206"/>
      <c r="F149" s="263"/>
      <c r="G149" s="221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0</v>
      </c>
      <c r="B150" s="187">
        <f>'Données projet'!D143</f>
        <v>0</v>
      </c>
      <c r="C150" s="204">
        <f>'Données projet'!E143*150+SUM('Données projet'!F143:G143)*13.8+'Données projet'!H143*10</f>
        <v>0</v>
      </c>
      <c r="D150" s="194">
        <f t="shared" si="10"/>
        <v>0</v>
      </c>
      <c r="E150" s="206"/>
      <c r="F150" s="263"/>
      <c r="G150" s="221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0</v>
      </c>
      <c r="B151" s="187">
        <f>'Données projet'!D144</f>
        <v>0</v>
      </c>
      <c r="C151" s="204">
        <f>'Données projet'!E144*150+SUM('Données projet'!F144:G144)*13.8+'Données projet'!H144*10</f>
        <v>0</v>
      </c>
      <c r="D151" s="194">
        <f t="shared" si="10"/>
        <v>0</v>
      </c>
      <c r="E151" s="206"/>
      <c r="F151" s="263"/>
      <c r="G151" s="221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0</v>
      </c>
      <c r="B152" s="187">
        <f>'Données projet'!D145</f>
        <v>0</v>
      </c>
      <c r="C152" s="204">
        <f>'Données projet'!E145*150+SUM('Données projet'!F145:G145)*13.8+'Données projet'!H145*10</f>
        <v>0</v>
      </c>
      <c r="D152" s="194">
        <f t="shared" si="10"/>
        <v>0</v>
      </c>
      <c r="E152" s="206"/>
      <c r="F152" s="263"/>
      <c r="G152" s="221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0</v>
      </c>
      <c r="B153" s="187">
        <f>'Données projet'!D146</f>
        <v>0</v>
      </c>
      <c r="C153" s="204">
        <f>'Données projet'!E146*150+SUM('Données projet'!F146:G146)*13.8+'Données projet'!H146*10</f>
        <v>0</v>
      </c>
      <c r="D153" s="194">
        <f t="shared" si="10"/>
        <v>0</v>
      </c>
      <c r="E153" s="206"/>
      <c r="F153" s="263"/>
      <c r="G153" s="217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0</v>
      </c>
      <c r="B154" s="187">
        <f>'Données projet'!D147</f>
        <v>0</v>
      </c>
      <c r="C154" s="204">
        <f>'Données projet'!E147*150+SUM('Données projet'!F147:G147)*13.8+'Données projet'!H147*10</f>
        <v>0</v>
      </c>
      <c r="D154" s="194">
        <f t="shared" si="10"/>
        <v>0</v>
      </c>
      <c r="E154" s="206"/>
      <c r="F154" s="263"/>
      <c r="G154" s="217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0</v>
      </c>
      <c r="B155" s="187">
        <f>'Données projet'!D148</f>
        <v>0</v>
      </c>
      <c r="C155" s="204">
        <f>'Données projet'!E148*150+SUM('Données projet'!F148:G148)*13.8+'Données projet'!H148*10</f>
        <v>0</v>
      </c>
      <c r="D155" s="194">
        <f t="shared" si="10"/>
        <v>0</v>
      </c>
      <c r="E155" s="206"/>
      <c r="F155" s="263"/>
      <c r="G155" s="217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0</v>
      </c>
      <c r="B156" s="187">
        <f>'Données projet'!D149</f>
        <v>0</v>
      </c>
      <c r="C156" s="204">
        <f>'Données projet'!E149*150+SUM('Données projet'!F149:G149)*13.8+'Données projet'!H149*10</f>
        <v>0</v>
      </c>
      <c r="D156" s="194">
        <f t="shared" si="10"/>
        <v>0</v>
      </c>
      <c r="E156" s="206"/>
      <c r="F156" s="263"/>
      <c r="G156" s="217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0</v>
      </c>
      <c r="B157" s="187">
        <f>'Données projet'!D150</f>
        <v>0</v>
      </c>
      <c r="C157" s="204">
        <f>'Données projet'!E150*150+SUM('Données projet'!F150:G150)*13.8+'Données projet'!H150*10</f>
        <v>0</v>
      </c>
      <c r="D157" s="194">
        <f t="shared" si="10"/>
        <v>0</v>
      </c>
      <c r="E157" s="206"/>
      <c r="F157" s="263"/>
      <c r="G157" s="217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0</v>
      </c>
      <c r="B158" s="187">
        <f>'Données projet'!D151</f>
        <v>0</v>
      </c>
      <c r="C158" s="204">
        <f>'Données projet'!E151*150+SUM('Données projet'!F151:G151)*13.8+'Données projet'!H151*10</f>
        <v>0</v>
      </c>
      <c r="D158" s="194">
        <f t="shared" si="10"/>
        <v>0</v>
      </c>
      <c r="E158" s="206"/>
      <c r="F158" s="263"/>
      <c r="G158" s="217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7">
        <f>'Données projet'!D152</f>
        <v>0</v>
      </c>
      <c r="C159" s="204">
        <f>'Données projet'!E152*150+SUM('Données projet'!F152:G152)*13.8+'Données projet'!H152*10</f>
        <v>0</v>
      </c>
      <c r="D159" s="194">
        <f t="shared" si="10"/>
        <v>0</v>
      </c>
      <c r="E159" s="206"/>
      <c r="F159" s="263"/>
      <c r="G159" s="217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7">
        <f>'Données projet'!D153</f>
        <v>0</v>
      </c>
      <c r="C160" s="204">
        <f>'Données projet'!E153*150+SUM('Données projet'!F153:G153)*13.8+'Données projet'!H153*10</f>
        <v>0</v>
      </c>
      <c r="D160" s="194">
        <f t="shared" si="10"/>
        <v>0</v>
      </c>
      <c r="E160" s="206"/>
      <c r="F160" s="263"/>
      <c r="G160" s="217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7">
        <f>'Données projet'!D154</f>
        <v>0</v>
      </c>
      <c r="C161" s="204">
        <f>'Données projet'!E154*150+SUM('Données projet'!F154:G154)*13.8+'Données projet'!H154*10</f>
        <v>0</v>
      </c>
      <c r="D161" s="194">
        <f t="shared" si="10"/>
        <v>0</v>
      </c>
      <c r="E161" s="206"/>
      <c r="F161" s="263"/>
      <c r="G161" s="217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7">
        <f>'Données projet'!D155</f>
        <v>0</v>
      </c>
      <c r="C162" s="204">
        <f>'Données projet'!E155*150+SUM('Données projet'!F155:G155)*13.8+'Données projet'!H155*10</f>
        <v>0</v>
      </c>
      <c r="D162" s="194">
        <f t="shared" si="10"/>
        <v>0</v>
      </c>
      <c r="E162" s="206"/>
      <c r="F162" s="263"/>
      <c r="G162" s="217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7">
        <f>'Données projet'!D156</f>
        <v>0</v>
      </c>
      <c r="C163" s="204">
        <f>'Données projet'!E156*150+SUM('Données projet'!F156:G156)*13.8+'Données projet'!H156*10</f>
        <v>0</v>
      </c>
      <c r="D163" s="194">
        <f t="shared" si="10"/>
        <v>0</v>
      </c>
      <c r="E163" s="206"/>
      <c r="F163" s="263"/>
      <c r="G163" s="217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7">
        <f>'Données projet'!D157</f>
        <v>0</v>
      </c>
      <c r="C164" s="204">
        <f>'Données projet'!E157*150+SUM('Données projet'!F157:G157)*13.8+'Données projet'!H157*10</f>
        <v>0</v>
      </c>
      <c r="D164" s="194">
        <f t="shared" si="10"/>
        <v>0</v>
      </c>
      <c r="E164" s="206"/>
      <c r="F164" s="263"/>
      <c r="G164" s="217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7">
        <f>'Données projet'!D158</f>
        <v>0</v>
      </c>
      <c r="C165" s="204">
        <f>'Données projet'!E158*150+SUM('Données projet'!F158:G158)*13.8+'Données projet'!H158*10</f>
        <v>0</v>
      </c>
      <c r="D165" s="194">
        <f t="shared" si="10"/>
        <v>0</v>
      </c>
      <c r="E165" s="206"/>
      <c r="F165" s="263"/>
      <c r="G165" s="217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4">
        <f>'Données projet'!E159*150+SUM('Données projet'!F159:G159)*13.8+'Données projet'!H159*10</f>
        <v>0</v>
      </c>
      <c r="D166" s="194">
        <f t="shared" si="10"/>
        <v>0</v>
      </c>
      <c r="E166" s="206"/>
      <c r="F166" s="263"/>
      <c r="G166" s="217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0"/>
      <c r="G167" s="217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0"/>
      <c r="G168" s="217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0"/>
      <c r="G169" s="217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0"/>
      <c r="G170" s="217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09">
        <v>0</v>
      </c>
      <c r="B172" s="212" t="s">
        <v>132</v>
      </c>
      <c r="C172" s="211" t="s">
        <v>132</v>
      </c>
      <c r="D172" s="210" t="s">
        <v>132</v>
      </c>
      <c r="E172" s="206"/>
      <c r="F172" s="261"/>
      <c r="G172" s="217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09">
        <v>1</v>
      </c>
      <c r="B173" s="212" t="s">
        <v>132</v>
      </c>
      <c r="C173" s="211" t="s">
        <v>132</v>
      </c>
      <c r="D173" s="210" t="s">
        <v>132</v>
      </c>
      <c r="E173" s="206"/>
      <c r="F173" s="261"/>
      <c r="G173" s="220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09">
        <v>2</v>
      </c>
      <c r="B174" s="212" t="s">
        <v>132</v>
      </c>
      <c r="C174" s="211" t="s">
        <v>132</v>
      </c>
      <c r="D174" s="210" t="s">
        <v>132</v>
      </c>
      <c r="E174" s="206"/>
      <c r="F174" s="261"/>
      <c r="G174" s="220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09">
        <v>3</v>
      </c>
      <c r="B175" s="212" t="s">
        <v>132</v>
      </c>
      <c r="C175" s="211" t="s">
        <v>132</v>
      </c>
      <c r="D175" s="210" t="s">
        <v>132</v>
      </c>
      <c r="E175" s="206"/>
      <c r="F175" s="261"/>
      <c r="G175" s="220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09">
        <v>4</v>
      </c>
      <c r="B176" s="212" t="s">
        <v>132</v>
      </c>
      <c r="C176" s="211" t="s">
        <v>132</v>
      </c>
      <c r="D176" s="210" t="s">
        <v>132</v>
      </c>
      <c r="E176" s="206"/>
      <c r="F176" s="261"/>
      <c r="G176" s="220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09">
        <v>5</v>
      </c>
      <c r="B177" s="212" t="s">
        <v>132</v>
      </c>
      <c r="C177" s="211" t="s">
        <v>132</v>
      </c>
      <c r="D177" s="210" t="s">
        <v>132</v>
      </c>
      <c r="E177" s="206"/>
      <c r="F177" s="261"/>
      <c r="G177" s="221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0</v>
      </c>
      <c r="B178" s="193">
        <f>'Données projet'!D166</f>
        <v>0</v>
      </c>
      <c r="C178" s="206">
        <f>'Données projet'!E166*150+SUM('Données projet'!F166:G166)*13.8+'Données projet'!H166*10</f>
        <v>0</v>
      </c>
      <c r="D178" s="191">
        <f>B178*C178</f>
        <v>0</v>
      </c>
      <c r="E178" s="206"/>
      <c r="F178" s="262"/>
      <c r="G178" s="221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0</v>
      </c>
      <c r="B179" s="193">
        <f>'Données projet'!D167</f>
        <v>0</v>
      </c>
      <c r="C179" s="206">
        <f>'Données projet'!E167*150+SUM('Données projet'!F167:G167)*13.8+'Données projet'!H167*10</f>
        <v>0</v>
      </c>
      <c r="D179" s="191">
        <f t="shared" ref="D179:D197" si="11">B179*C179</f>
        <v>0</v>
      </c>
      <c r="E179" s="206"/>
      <c r="F179" s="262"/>
      <c r="G179" s="221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0</v>
      </c>
      <c r="B180" s="193">
        <f>'Données projet'!D168</f>
        <v>0</v>
      </c>
      <c r="C180" s="206">
        <f>'Données projet'!E168*150+SUM('Données projet'!F168:G168)*13.8+'Données projet'!H168*10</f>
        <v>0</v>
      </c>
      <c r="D180" s="191">
        <f t="shared" si="11"/>
        <v>0</v>
      </c>
      <c r="E180" s="206"/>
      <c r="F180" s="262"/>
      <c r="G180" s="221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0</v>
      </c>
      <c r="B181" s="193">
        <f>'Données projet'!D169</f>
        <v>0</v>
      </c>
      <c r="C181" s="206">
        <f>'Données projet'!E169*150+SUM('Données projet'!F169:G169)*13.8+'Données projet'!H169*10</f>
        <v>0</v>
      </c>
      <c r="D181" s="191">
        <f t="shared" si="11"/>
        <v>0</v>
      </c>
      <c r="E181" s="206"/>
      <c r="F181" s="262"/>
      <c r="G181" s="221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0</v>
      </c>
      <c r="B182" s="193">
        <f>'Données projet'!D170</f>
        <v>0</v>
      </c>
      <c r="C182" s="206">
        <f>'Données projet'!E170*150+SUM('Données projet'!F170:G170)*13.8+'Données projet'!H170*10</f>
        <v>0</v>
      </c>
      <c r="D182" s="191">
        <f t="shared" si="11"/>
        <v>0</v>
      </c>
      <c r="E182" s="206"/>
      <c r="F182" s="262"/>
      <c r="G182" s="221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0</v>
      </c>
      <c r="B183" s="193">
        <f>'Données projet'!D171</f>
        <v>0</v>
      </c>
      <c r="C183" s="206">
        <f>'Données projet'!E171*150+SUM('Données projet'!F171:G171)*13.8+'Données projet'!H171*10</f>
        <v>0</v>
      </c>
      <c r="D183" s="191">
        <f t="shared" si="11"/>
        <v>0</v>
      </c>
      <c r="E183" s="206"/>
      <c r="F183" s="262"/>
      <c r="G183" s="221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0</v>
      </c>
      <c r="B184" s="193">
        <f>'Données projet'!D172</f>
        <v>0</v>
      </c>
      <c r="C184" s="206">
        <f>'Données projet'!E172*150+SUM('Données projet'!F172:G172)*13.8+'Données projet'!H172*10</f>
        <v>0</v>
      </c>
      <c r="D184" s="191">
        <f t="shared" si="11"/>
        <v>0</v>
      </c>
      <c r="E184" s="206"/>
      <c r="F184" s="262"/>
      <c r="G184" s="222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0</v>
      </c>
      <c r="B185" s="193">
        <f>'Données projet'!D173</f>
        <v>0</v>
      </c>
      <c r="C185" s="206">
        <f>'Données projet'!E173*150+SUM('Données projet'!F173:G173)*13.8+'Données projet'!H173*10</f>
        <v>0</v>
      </c>
      <c r="D185" s="191">
        <f t="shared" si="11"/>
        <v>0</v>
      </c>
      <c r="E185" s="206"/>
      <c r="F185" s="262"/>
      <c r="G185" s="222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0</v>
      </c>
      <c r="B186" s="193">
        <f>'Données projet'!D174</f>
        <v>0</v>
      </c>
      <c r="C186" s="206">
        <f>'Données projet'!E174*150+SUM('Données projet'!F174:G174)*13.8+'Données projet'!H174*10</f>
        <v>0</v>
      </c>
      <c r="D186" s="191">
        <f t="shared" si="11"/>
        <v>0</v>
      </c>
      <c r="E186" s="206"/>
      <c r="F186" s="262"/>
      <c r="G186" s="222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0</v>
      </c>
      <c r="B187" s="193">
        <f>'Données projet'!D175</f>
        <v>0</v>
      </c>
      <c r="C187" s="206">
        <f>'Données projet'!E175*150+SUM('Données projet'!F175:G175)*13.8+'Données projet'!H175*10</f>
        <v>0</v>
      </c>
      <c r="D187" s="191">
        <f t="shared" si="11"/>
        <v>0</v>
      </c>
      <c r="E187" s="206"/>
      <c r="F187" s="262"/>
      <c r="G187" s="222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0</v>
      </c>
      <c r="B188" s="193">
        <f>'Données projet'!D176</f>
        <v>0</v>
      </c>
      <c r="C188" s="206">
        <f>'Données projet'!E176*150+SUM('Données projet'!F176:G176)*13.8+'Données projet'!H176*10</f>
        <v>0</v>
      </c>
      <c r="D188" s="191">
        <f t="shared" si="11"/>
        <v>0</v>
      </c>
      <c r="E188" s="206"/>
      <c r="F188" s="262"/>
      <c r="G188" s="222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0</v>
      </c>
      <c r="B189" s="193">
        <f>'Données projet'!D177</f>
        <v>0</v>
      </c>
      <c r="C189" s="206">
        <f>'Données projet'!E177*150+SUM('Données projet'!F177:G177)*13.8+'Données projet'!H177*10</f>
        <v>0</v>
      </c>
      <c r="D189" s="191">
        <f t="shared" si="11"/>
        <v>0</v>
      </c>
      <c r="E189" s="206"/>
      <c r="F189" s="262"/>
      <c r="G189" s="222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0</v>
      </c>
      <c r="B190" s="193">
        <f>'Données projet'!D178</f>
        <v>0</v>
      </c>
      <c r="C190" s="206">
        <f>'Données projet'!E178*150+SUM('Données projet'!F178:G178)*13.8+'Données projet'!H178*10</f>
        <v>0</v>
      </c>
      <c r="D190" s="191">
        <f t="shared" si="11"/>
        <v>0</v>
      </c>
      <c r="E190" s="206"/>
      <c r="F190" s="262"/>
      <c r="G190" s="222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0</v>
      </c>
      <c r="B191" s="193">
        <f>'Données projet'!D179</f>
        <v>0</v>
      </c>
      <c r="C191" s="206">
        <f>'Données projet'!E179*150+SUM('Données projet'!F179:G179)*13.8+'Données projet'!H179*10</f>
        <v>0</v>
      </c>
      <c r="D191" s="191">
        <f t="shared" si="11"/>
        <v>0</v>
      </c>
      <c r="E191" s="206"/>
      <c r="F191" s="262"/>
      <c r="G191" s="222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0</v>
      </c>
      <c r="B192" s="193">
        <f>'Données projet'!D180</f>
        <v>0</v>
      </c>
      <c r="C192" s="206">
        <f>'Données projet'!E180*150+SUM('Données projet'!F180:G180)*13.8+'Données projet'!H180*10</f>
        <v>0</v>
      </c>
      <c r="D192" s="191">
        <f t="shared" si="11"/>
        <v>0</v>
      </c>
      <c r="E192" s="206"/>
      <c r="F192" s="262"/>
      <c r="G192" s="222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>
        <f>'Données projet'!E181*150+SUM('Données projet'!F181:G181)*13.8+'Données projet'!H181*10</f>
        <v>0</v>
      </c>
      <c r="D193" s="191">
        <f t="shared" si="11"/>
        <v>0</v>
      </c>
      <c r="E193" s="206"/>
      <c r="F193" s="262"/>
      <c r="G193" s="222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>
        <f>'Données projet'!E182*150+SUM('Données projet'!F182:G182)*13.8+'Données projet'!H182*10</f>
        <v>0</v>
      </c>
      <c r="D194" s="191">
        <f t="shared" si="11"/>
        <v>0</v>
      </c>
      <c r="E194" s="206"/>
      <c r="F194" s="262"/>
      <c r="G194" s="222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>
        <f>'Données projet'!E183*150+SUM('Données projet'!F183:G183)*13.8+'Données projet'!H183*10</f>
        <v>0</v>
      </c>
      <c r="D195" s="191">
        <f t="shared" si="11"/>
        <v>0</v>
      </c>
      <c r="E195" s="206"/>
      <c r="F195" s="262"/>
      <c r="G195" s="222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>
        <f>'Données projet'!E184*150+SUM('Données projet'!F184:G184)*13.8+'Données projet'!H184*10</f>
        <v>0</v>
      </c>
      <c r="D196" s="191">
        <f t="shared" si="11"/>
        <v>0</v>
      </c>
      <c r="E196" s="206"/>
      <c r="F196" s="262"/>
      <c r="G196" s="222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>
        <f>'Données projet'!E185*150+SUM('Données projet'!F185:G185)*13.8+'Données projet'!H185*10</f>
        <v>0</v>
      </c>
      <c r="D197" s="191">
        <f t="shared" si="11"/>
        <v>0</v>
      </c>
      <c r="E197" s="206"/>
      <c r="F197" s="262"/>
      <c r="G197" s="222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0"/>
      <c r="G198" s="222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0"/>
      <c r="G199" s="222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0"/>
      <c r="G200" s="222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0"/>
      <c r="G201" s="222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09">
        <v>0</v>
      </c>
      <c r="B203" s="212" t="s">
        <v>132</v>
      </c>
      <c r="C203" s="211" t="s">
        <v>132</v>
      </c>
      <c r="D203" s="210" t="s">
        <v>132</v>
      </c>
      <c r="E203" s="206"/>
      <c r="F203" s="261"/>
      <c r="G203" s="222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09">
        <v>1</v>
      </c>
      <c r="B204" s="212" t="s">
        <v>132</v>
      </c>
      <c r="C204" s="211" t="s">
        <v>132</v>
      </c>
      <c r="D204" s="210" t="s">
        <v>132</v>
      </c>
      <c r="E204" s="206"/>
      <c r="F204" s="261"/>
      <c r="G204" s="220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09">
        <v>2</v>
      </c>
      <c r="B205" s="212" t="s">
        <v>132</v>
      </c>
      <c r="C205" s="211" t="s">
        <v>132</v>
      </c>
      <c r="D205" s="210" t="s">
        <v>132</v>
      </c>
      <c r="E205" s="206"/>
      <c r="F205" s="261"/>
      <c r="G205" s="220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09">
        <v>3</v>
      </c>
      <c r="B206" s="212" t="s">
        <v>132</v>
      </c>
      <c r="C206" s="211" t="s">
        <v>132</v>
      </c>
      <c r="D206" s="210" t="s">
        <v>132</v>
      </c>
      <c r="E206" s="206"/>
      <c r="F206" s="261"/>
      <c r="G206" s="220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09">
        <v>4</v>
      </c>
      <c r="B207" s="212" t="s">
        <v>132</v>
      </c>
      <c r="C207" s="211" t="s">
        <v>132</v>
      </c>
      <c r="D207" s="210" t="s">
        <v>132</v>
      </c>
      <c r="E207" s="206"/>
      <c r="F207" s="261"/>
      <c r="G207" s="220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09">
        <v>5</v>
      </c>
      <c r="B208" s="212" t="s">
        <v>132</v>
      </c>
      <c r="C208" s="211" t="s">
        <v>132</v>
      </c>
      <c r="D208" s="210" t="s">
        <v>132</v>
      </c>
      <c r="E208" s="206"/>
      <c r="F208" s="261"/>
      <c r="G208" s="221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0</v>
      </c>
      <c r="B209" s="193">
        <f>'Données projet'!D192</f>
        <v>0</v>
      </c>
      <c r="C209" s="206">
        <f>'Données projet'!E192*100+SUM('Données projet'!F192:G192)*13.8+'Données projet'!H192*10</f>
        <v>0</v>
      </c>
      <c r="D209" s="191">
        <f>B209*C209</f>
        <v>0</v>
      </c>
      <c r="E209" s="206"/>
      <c r="F209" s="262"/>
      <c r="G209" s="221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0</v>
      </c>
      <c r="B210" s="193">
        <f>'Données projet'!D193</f>
        <v>0</v>
      </c>
      <c r="C210" s="206">
        <f>'Données projet'!E193*100+SUM('Données projet'!F193:G193)*13.8+'Données projet'!H193*10</f>
        <v>0</v>
      </c>
      <c r="D210" s="191">
        <f t="shared" ref="D210:D228" si="12">B210*C210</f>
        <v>0</v>
      </c>
      <c r="E210" s="206"/>
      <c r="F210" s="262"/>
      <c r="G210" s="221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0</v>
      </c>
      <c r="B211" s="193">
        <f>'Données projet'!D194</f>
        <v>0</v>
      </c>
      <c r="C211" s="206">
        <f>'Données projet'!E194*100+SUM('Données projet'!F194:G194)*13.8+'Données projet'!H194*10</f>
        <v>0</v>
      </c>
      <c r="D211" s="191">
        <f t="shared" si="12"/>
        <v>0</v>
      </c>
      <c r="E211" s="206"/>
      <c r="F211" s="262"/>
      <c r="G211" s="221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0</v>
      </c>
      <c r="B212" s="193">
        <f>'Données projet'!D195</f>
        <v>0</v>
      </c>
      <c r="C212" s="206">
        <f>'Données projet'!E195*100+SUM('Données projet'!F195:G195)*13.8+'Données projet'!H195*10</f>
        <v>0</v>
      </c>
      <c r="D212" s="191">
        <f t="shared" si="12"/>
        <v>0</v>
      </c>
      <c r="E212" s="206"/>
      <c r="F212" s="262"/>
      <c r="G212" s="221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0</v>
      </c>
      <c r="B213" s="193">
        <f>'Données projet'!D196</f>
        <v>0</v>
      </c>
      <c r="C213" s="206">
        <f>'Données projet'!E196*100+SUM('Données projet'!F196:G196)*13.8+'Données projet'!H196*10</f>
        <v>0</v>
      </c>
      <c r="D213" s="191">
        <f t="shared" si="12"/>
        <v>0</v>
      </c>
      <c r="E213" s="206"/>
      <c r="F213" s="262"/>
      <c r="G213" s="221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0</v>
      </c>
      <c r="B214" s="193">
        <f>'Données projet'!D197</f>
        <v>0</v>
      </c>
      <c r="C214" s="206">
        <f>'Données projet'!E197*100+SUM('Données projet'!F197:G197)*13.8+'Données projet'!H197*10</f>
        <v>0</v>
      </c>
      <c r="D214" s="191">
        <f t="shared" si="12"/>
        <v>0</v>
      </c>
      <c r="E214" s="206"/>
      <c r="F214" s="262"/>
      <c r="G214" s="221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0</v>
      </c>
      <c r="B215" s="193">
        <f>'Données projet'!D198</f>
        <v>0</v>
      </c>
      <c r="C215" s="206">
        <f>'Données projet'!E198*100+SUM('Données projet'!F198:G198)*13.8+'Données projet'!H198*10</f>
        <v>0</v>
      </c>
      <c r="D215" s="191">
        <f t="shared" si="12"/>
        <v>0</v>
      </c>
      <c r="E215" s="206"/>
      <c r="F215" s="262"/>
      <c r="G215" s="222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0</v>
      </c>
      <c r="B216" s="193">
        <f>'Données projet'!D199</f>
        <v>0</v>
      </c>
      <c r="C216" s="206">
        <f>'Données projet'!E199*100+SUM('Données projet'!F199:G199)*13.8+'Données projet'!H199*10</f>
        <v>0</v>
      </c>
      <c r="D216" s="191">
        <f t="shared" si="12"/>
        <v>0</v>
      </c>
      <c r="E216" s="206"/>
      <c r="F216" s="262"/>
      <c r="G216" s="222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0</v>
      </c>
      <c r="B217" s="193">
        <f>'Données projet'!D200</f>
        <v>0</v>
      </c>
      <c r="C217" s="206">
        <f>'Données projet'!E200*100+SUM('Données projet'!F200:G200)*13.8+'Données projet'!H200*10</f>
        <v>0</v>
      </c>
      <c r="D217" s="191">
        <f t="shared" si="12"/>
        <v>0</v>
      </c>
      <c r="E217" s="206"/>
      <c r="F217" s="262"/>
      <c r="G217" s="222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0</v>
      </c>
      <c r="B218" s="193">
        <f>'Données projet'!D201</f>
        <v>0</v>
      </c>
      <c r="C218" s="206">
        <f>'Données projet'!E201*100+SUM('Données projet'!F201:G201)*13.8+'Données projet'!H201*10</f>
        <v>0</v>
      </c>
      <c r="D218" s="191">
        <f t="shared" si="12"/>
        <v>0</v>
      </c>
      <c r="E218" s="206"/>
      <c r="F218" s="262"/>
      <c r="G218" s="222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0</v>
      </c>
      <c r="B219" s="193">
        <f>'Données projet'!D202</f>
        <v>0</v>
      </c>
      <c r="C219" s="206">
        <f>'Données projet'!E202*100+SUM('Données projet'!F202:G202)*13.8+'Données projet'!H202*10</f>
        <v>0</v>
      </c>
      <c r="D219" s="191">
        <f t="shared" si="12"/>
        <v>0</v>
      </c>
      <c r="E219" s="206"/>
      <c r="F219" s="262"/>
      <c r="G219" s="222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0</v>
      </c>
      <c r="B220" s="193">
        <f>'Données projet'!D203</f>
        <v>0</v>
      </c>
      <c r="C220" s="206">
        <f>'Données projet'!E203*100+SUM('Données projet'!F203:G203)*13.8+'Données projet'!H203*10</f>
        <v>0</v>
      </c>
      <c r="D220" s="191">
        <f t="shared" si="12"/>
        <v>0</v>
      </c>
      <c r="E220" s="206"/>
      <c r="F220" s="262"/>
      <c r="G220" s="222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0</v>
      </c>
      <c r="B221" s="193">
        <f>'Données projet'!D204</f>
        <v>0</v>
      </c>
      <c r="C221" s="206">
        <f>'Données projet'!E204*100+SUM('Données projet'!F204:G204)*13.8+'Données projet'!H204*10</f>
        <v>0</v>
      </c>
      <c r="D221" s="191">
        <f t="shared" si="12"/>
        <v>0</v>
      </c>
      <c r="E221" s="206"/>
      <c r="F221" s="262"/>
      <c r="G221" s="222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0</v>
      </c>
      <c r="B222" s="193">
        <f>'Données projet'!D205</f>
        <v>0</v>
      </c>
      <c r="C222" s="206">
        <f>'Données projet'!E205*100+SUM('Données projet'!F205:G205)*13.8+'Données projet'!H205*10</f>
        <v>0</v>
      </c>
      <c r="D222" s="191">
        <f t="shared" si="12"/>
        <v>0</v>
      </c>
      <c r="E222" s="206"/>
      <c r="F222" s="262"/>
      <c r="G222" s="222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0</v>
      </c>
      <c r="B223" s="193">
        <f>'Données projet'!D206</f>
        <v>0</v>
      </c>
      <c r="C223" s="206">
        <f>'Données projet'!E206*100+SUM('Données projet'!F206:G206)*13.8+'Données projet'!H206*10</f>
        <v>0</v>
      </c>
      <c r="D223" s="191">
        <f t="shared" si="12"/>
        <v>0</v>
      </c>
      <c r="E223" s="206"/>
      <c r="F223" s="262"/>
      <c r="G223" s="222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0</v>
      </c>
      <c r="B224" s="193">
        <f>'Données projet'!D207</f>
        <v>0</v>
      </c>
      <c r="C224" s="206">
        <f>'Données projet'!E207*100+SUM('Données projet'!F207:G207)*13.8+'Données projet'!H207*10</f>
        <v>0</v>
      </c>
      <c r="D224" s="191">
        <f t="shared" si="12"/>
        <v>0</v>
      </c>
      <c r="E224" s="206"/>
      <c r="F224" s="262"/>
      <c r="G224" s="222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0</v>
      </c>
      <c r="B225" s="193">
        <f>'Données projet'!D208</f>
        <v>0</v>
      </c>
      <c r="C225" s="206">
        <f>'Données projet'!E208*100+SUM('Données projet'!F208:G208)*13.8+'Données projet'!H208*10</f>
        <v>0</v>
      </c>
      <c r="D225" s="191">
        <f t="shared" si="12"/>
        <v>0</v>
      </c>
      <c r="E225" s="206"/>
      <c r="F225" s="262"/>
      <c r="G225" s="222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>
        <f>'Données projet'!E209*100+SUM('Données projet'!F209:G209)*13.8+'Données projet'!H209*10</f>
        <v>0</v>
      </c>
      <c r="D226" s="191">
        <f t="shared" si="12"/>
        <v>0</v>
      </c>
      <c r="E226" s="206"/>
      <c r="F226" s="262"/>
      <c r="G226" s="222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>
        <f>'Données projet'!E210*100+SUM('Données projet'!F210:G210)*13.8+'Données projet'!H210*10</f>
        <v>0</v>
      </c>
      <c r="D227" s="191">
        <f t="shared" si="12"/>
        <v>0</v>
      </c>
      <c r="E227" s="206"/>
      <c r="F227" s="262"/>
      <c r="G227" s="222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>
        <f>'Données projet'!E211*100+SUM('Données projet'!F211:G211)*13.8+'Données projet'!H211*10</f>
        <v>0</v>
      </c>
      <c r="D228" s="191">
        <f t="shared" si="12"/>
        <v>0</v>
      </c>
      <c r="E228" s="206"/>
      <c r="F228" s="262"/>
      <c r="G228" s="222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0"/>
      <c r="G231" s="222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09">
        <v>0</v>
      </c>
      <c r="B234" s="212" t="s">
        <v>132</v>
      </c>
      <c r="C234" s="211" t="s">
        <v>132</v>
      </c>
      <c r="D234" s="210" t="s">
        <v>132</v>
      </c>
      <c r="E234" s="206"/>
      <c r="F234" s="261"/>
      <c r="G234" s="222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09">
        <v>1</v>
      </c>
      <c r="B235" s="212" t="s">
        <v>132</v>
      </c>
      <c r="C235" s="211" t="s">
        <v>132</v>
      </c>
      <c r="D235" s="210" t="s">
        <v>132</v>
      </c>
      <c r="E235" s="206"/>
      <c r="F235" s="261"/>
      <c r="G235" s="220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09">
        <v>2</v>
      </c>
      <c r="B236" s="212" t="s">
        <v>132</v>
      </c>
      <c r="C236" s="211" t="s">
        <v>132</v>
      </c>
      <c r="D236" s="210" t="s">
        <v>132</v>
      </c>
      <c r="E236" s="206"/>
      <c r="F236" s="261"/>
      <c r="G236" s="220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09">
        <v>3</v>
      </c>
      <c r="B237" s="212" t="s">
        <v>132</v>
      </c>
      <c r="C237" s="211" t="s">
        <v>132</v>
      </c>
      <c r="D237" s="210" t="s">
        <v>132</v>
      </c>
      <c r="E237" s="206"/>
      <c r="F237" s="261"/>
      <c r="G237" s="220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09">
        <v>4</v>
      </c>
      <c r="B238" s="212" t="s">
        <v>132</v>
      </c>
      <c r="C238" s="211" t="s">
        <v>132</v>
      </c>
      <c r="D238" s="210" t="s">
        <v>132</v>
      </c>
      <c r="E238" s="206"/>
      <c r="F238" s="261"/>
      <c r="G238" s="220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09">
        <v>5</v>
      </c>
      <c r="B239" s="212" t="s">
        <v>132</v>
      </c>
      <c r="C239" s="211" t="s">
        <v>132</v>
      </c>
      <c r="D239" s="210" t="s">
        <v>132</v>
      </c>
      <c r="E239" s="206"/>
      <c r="F239" s="261"/>
      <c r="G239" s="221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0</v>
      </c>
      <c r="B240" s="193">
        <f>'Données projet'!D218</f>
        <v>0</v>
      </c>
      <c r="C240" s="206">
        <f>'Données projet'!E218*70+SUM('Données projet'!F218:G218)*13.8+'Données projet'!H218*10</f>
        <v>0</v>
      </c>
      <c r="D240" s="191">
        <f>B240*C240</f>
        <v>0</v>
      </c>
      <c r="E240" s="206"/>
      <c r="F240" s="262"/>
      <c r="G240" s="221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0</v>
      </c>
      <c r="B241" s="193">
        <f>'Données projet'!D219</f>
        <v>0</v>
      </c>
      <c r="C241" s="206">
        <f>'Données projet'!E219*70+SUM('Données projet'!F219:G219)*13.8+'Données projet'!H219*10</f>
        <v>0</v>
      </c>
      <c r="D241" s="191">
        <f t="shared" ref="D241:D259" si="13">B241*C241</f>
        <v>0</v>
      </c>
      <c r="E241" s="206"/>
      <c r="F241" s="262"/>
      <c r="G241" s="221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0</v>
      </c>
      <c r="B242" s="193">
        <f>'Données projet'!D220</f>
        <v>0</v>
      </c>
      <c r="C242" s="206">
        <f>'Données projet'!E220*70+SUM('Données projet'!F220:G220)*13.8+'Données projet'!H220*10</f>
        <v>0</v>
      </c>
      <c r="D242" s="191">
        <f t="shared" si="13"/>
        <v>0</v>
      </c>
      <c r="E242" s="206"/>
      <c r="F242" s="262"/>
      <c r="G242" s="221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0</v>
      </c>
      <c r="B243" s="193">
        <f>'Données projet'!D221</f>
        <v>0</v>
      </c>
      <c r="C243" s="206">
        <f>'Données projet'!E221*70+SUM('Données projet'!F221:G221)*13.8+'Données projet'!H221*10</f>
        <v>0</v>
      </c>
      <c r="D243" s="191">
        <f t="shared" si="13"/>
        <v>0</v>
      </c>
      <c r="E243" s="206"/>
      <c r="F243" s="262"/>
      <c r="G243" s="221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0</v>
      </c>
      <c r="B244" s="193">
        <f>'Données projet'!D222</f>
        <v>0</v>
      </c>
      <c r="C244" s="206">
        <f>'Données projet'!E222*70+SUM('Données projet'!F222:G222)*13.8+'Données projet'!H222*10</f>
        <v>0</v>
      </c>
      <c r="D244" s="191">
        <f t="shared" si="13"/>
        <v>0</v>
      </c>
      <c r="E244" s="206"/>
      <c r="F244" s="262"/>
      <c r="G244" s="221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0</v>
      </c>
      <c r="B245" s="193">
        <f>'Données projet'!D223</f>
        <v>0</v>
      </c>
      <c r="C245" s="206">
        <f>'Données projet'!E223*70+SUM('Données projet'!F223:G223)*13.8+'Données projet'!H223*10</f>
        <v>0</v>
      </c>
      <c r="D245" s="191">
        <f t="shared" si="13"/>
        <v>0</v>
      </c>
      <c r="E245" s="206"/>
      <c r="F245" s="262"/>
      <c r="G245" s="221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0</v>
      </c>
      <c r="B246" s="193">
        <f>'Données projet'!D224</f>
        <v>0</v>
      </c>
      <c r="C246" s="206">
        <f>'Données projet'!E224*70+SUM('Données projet'!F224:G224)*13.8+'Données projet'!H224*10</f>
        <v>0</v>
      </c>
      <c r="D246" s="191">
        <f t="shared" si="13"/>
        <v>0</v>
      </c>
      <c r="E246" s="206"/>
      <c r="F246" s="262"/>
      <c r="G246" s="222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0</v>
      </c>
      <c r="B247" s="193">
        <f>'Données projet'!D225</f>
        <v>0</v>
      </c>
      <c r="C247" s="206">
        <f>'Données projet'!E225*70+SUM('Données projet'!F225:G225)*13.8+'Données projet'!H225*10</f>
        <v>0</v>
      </c>
      <c r="D247" s="191">
        <f t="shared" si="13"/>
        <v>0</v>
      </c>
      <c r="E247" s="206"/>
      <c r="F247" s="262"/>
      <c r="G247" s="222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0</v>
      </c>
      <c r="B248" s="193">
        <f>'Données projet'!D226</f>
        <v>0</v>
      </c>
      <c r="C248" s="206">
        <f>'Données projet'!E226*70+SUM('Données projet'!F226:G226)*13.8+'Données projet'!H226*10</f>
        <v>0</v>
      </c>
      <c r="D248" s="191">
        <f t="shared" si="13"/>
        <v>0</v>
      </c>
      <c r="E248" s="206"/>
      <c r="F248" s="262"/>
      <c r="G248" s="222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0</v>
      </c>
      <c r="B249" s="193">
        <f>'Données projet'!D227</f>
        <v>0</v>
      </c>
      <c r="C249" s="206">
        <f>'Données projet'!E227*70+SUM('Données projet'!F227:G227)*13.8+'Données projet'!H227*10</f>
        <v>0</v>
      </c>
      <c r="D249" s="191">
        <f t="shared" si="13"/>
        <v>0</v>
      </c>
      <c r="E249" s="206"/>
      <c r="F249" s="262"/>
      <c r="G249" s="222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0</v>
      </c>
      <c r="B250" s="193">
        <f>'Données projet'!D228</f>
        <v>0</v>
      </c>
      <c r="C250" s="206">
        <f>'Données projet'!E228*70+SUM('Données projet'!F228:G228)*13.8+'Données projet'!H228*10</f>
        <v>0</v>
      </c>
      <c r="D250" s="191">
        <f t="shared" si="13"/>
        <v>0</v>
      </c>
      <c r="E250" s="206"/>
      <c r="F250" s="262"/>
      <c r="G250" s="222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>
        <f>'Données projet'!E229*70+SUM('Données projet'!F229:G229)*13.8+'Données projet'!H229*10</f>
        <v>0</v>
      </c>
      <c r="D251" s="191">
        <f t="shared" si="13"/>
        <v>0</v>
      </c>
      <c r="E251" s="206"/>
      <c r="F251" s="262"/>
      <c r="G251" s="222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>
        <f>'Données projet'!E230*70+SUM('Données projet'!F230:G230)*13.8+'Données projet'!H230*10</f>
        <v>0</v>
      </c>
      <c r="D252" s="191">
        <f t="shared" si="13"/>
        <v>0</v>
      </c>
      <c r="E252" s="206"/>
      <c r="F252" s="262"/>
      <c r="G252" s="222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>
        <f>'Données projet'!E231*70+SUM('Données projet'!F231:G231)*13.8+'Données projet'!H231*10</f>
        <v>0</v>
      </c>
      <c r="D253" s="191">
        <f t="shared" si="13"/>
        <v>0</v>
      </c>
      <c r="E253" s="206"/>
      <c r="F253" s="262"/>
      <c r="G253" s="222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>
        <f>'Données projet'!E232*70+SUM('Données projet'!F232:G232)*13.8+'Données projet'!H232*10</f>
        <v>0</v>
      </c>
      <c r="D254" s="191">
        <f t="shared" si="13"/>
        <v>0</v>
      </c>
      <c r="E254" s="206"/>
      <c r="F254" s="262"/>
      <c r="G254" s="222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>
        <f>'Données projet'!E233*70+SUM('Données projet'!F233:G233)*13.8+'Données projet'!H233*10</f>
        <v>0</v>
      </c>
      <c r="D255" s="191">
        <f t="shared" si="13"/>
        <v>0</v>
      </c>
      <c r="E255" s="206"/>
      <c r="F255" s="262"/>
      <c r="G255" s="222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>
        <f>'Données projet'!E234*70+SUM('Données projet'!F234:G234)*13.8+'Données projet'!H234*10</f>
        <v>0</v>
      </c>
      <c r="D256" s="191">
        <f t="shared" si="13"/>
        <v>0</v>
      </c>
      <c r="E256" s="206"/>
      <c r="F256" s="262"/>
      <c r="G256" s="222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>
        <f>'Données projet'!E235*70+SUM('Données projet'!F235:G235)*13.8+'Données projet'!H235*10</f>
        <v>0</v>
      </c>
      <c r="D257" s="191">
        <f t="shared" si="13"/>
        <v>0</v>
      </c>
      <c r="E257" s="206"/>
      <c r="F257" s="262"/>
      <c r="G257" s="222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>
        <f>'Données projet'!E236*70+SUM('Données projet'!F236:G236)*13.8+'Données projet'!H236*10</f>
        <v>0</v>
      </c>
      <c r="D258" s="191">
        <f t="shared" si="13"/>
        <v>0</v>
      </c>
      <c r="E258" s="206"/>
      <c r="F258" s="262"/>
      <c r="G258" s="222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>
        <f>'Données projet'!E237*70+SUM('Données projet'!F237:G237)*13.8+'Données projet'!H237*10</f>
        <v>0</v>
      </c>
      <c r="D259" s="191">
        <f t="shared" si="13"/>
        <v>0</v>
      </c>
      <c r="E259" s="206"/>
      <c r="F259" s="262"/>
      <c r="G259" s="222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0"/>
      <c r="G262" s="222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09">
        <v>0</v>
      </c>
      <c r="B265" s="212" t="s">
        <v>132</v>
      </c>
      <c r="C265" s="211" t="s">
        <v>132</v>
      </c>
      <c r="D265" s="210" t="s">
        <v>132</v>
      </c>
      <c r="E265" s="206"/>
      <c r="F265" s="261"/>
      <c r="G265" s="222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09">
        <v>1</v>
      </c>
      <c r="B266" s="212" t="s">
        <v>132</v>
      </c>
      <c r="C266" s="211" t="s">
        <v>132</v>
      </c>
      <c r="D266" s="210" t="s">
        <v>132</v>
      </c>
      <c r="E266" s="206"/>
      <c r="F266" s="261"/>
      <c r="G266" s="220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09">
        <v>2</v>
      </c>
      <c r="B267" s="212" t="s">
        <v>132</v>
      </c>
      <c r="C267" s="211" t="s">
        <v>132</v>
      </c>
      <c r="D267" s="210" t="s">
        <v>132</v>
      </c>
      <c r="E267" s="206"/>
      <c r="F267" s="261"/>
      <c r="G267" s="220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09">
        <v>3</v>
      </c>
      <c r="B268" s="212" t="s">
        <v>132</v>
      </c>
      <c r="C268" s="211" t="s">
        <v>132</v>
      </c>
      <c r="D268" s="210" t="s">
        <v>132</v>
      </c>
      <c r="E268" s="206"/>
      <c r="F268" s="261"/>
      <c r="G268" s="220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09">
        <v>4</v>
      </c>
      <c r="B269" s="212" t="s">
        <v>132</v>
      </c>
      <c r="C269" s="211" t="s">
        <v>132</v>
      </c>
      <c r="D269" s="210" t="s">
        <v>132</v>
      </c>
      <c r="E269" s="206"/>
      <c r="F269" s="261"/>
      <c r="G269" s="220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09">
        <v>5</v>
      </c>
      <c r="B270" s="212" t="s">
        <v>132</v>
      </c>
      <c r="C270" s="211" t="s">
        <v>132</v>
      </c>
      <c r="D270" s="210" t="s">
        <v>132</v>
      </c>
      <c r="E270" s="206"/>
      <c r="F270" s="261"/>
      <c r="G270" s="221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0</v>
      </c>
      <c r="B271" s="193">
        <f>'Données projet'!D244</f>
        <v>0</v>
      </c>
      <c r="C271" s="206">
        <f>'Données projet'!E244*50+SUM('Données projet'!F244:G244)*13.8+'Données projet'!H244*10</f>
        <v>0</v>
      </c>
      <c r="D271" s="191">
        <f>B271*C271</f>
        <v>0</v>
      </c>
      <c r="E271" s="206"/>
      <c r="F271" s="262"/>
      <c r="G271" s="221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0</v>
      </c>
      <c r="B272" s="193">
        <f>'Données projet'!D245</f>
        <v>0</v>
      </c>
      <c r="C272" s="206">
        <f>'Données projet'!E245*50+SUM('Données projet'!F245:G245)*13.8+'Données projet'!H245*10</f>
        <v>0</v>
      </c>
      <c r="D272" s="191">
        <f t="shared" ref="D272:D290" si="14">B272*C272</f>
        <v>0</v>
      </c>
      <c r="E272" s="206"/>
      <c r="F272" s="262"/>
      <c r="G272" s="221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0</v>
      </c>
      <c r="B273" s="193">
        <f>'Données projet'!D246</f>
        <v>0</v>
      </c>
      <c r="C273" s="206">
        <f>'Données projet'!E246*50+SUM('Données projet'!F246:G246)*13.8+'Données projet'!H246*10</f>
        <v>0</v>
      </c>
      <c r="D273" s="191">
        <f t="shared" si="14"/>
        <v>0</v>
      </c>
      <c r="E273" s="206"/>
      <c r="F273" s="262"/>
      <c r="G273" s="221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0</v>
      </c>
      <c r="B274" s="193">
        <f>'Données projet'!D247</f>
        <v>0</v>
      </c>
      <c r="C274" s="206">
        <f>'Données projet'!E247*50+SUM('Données projet'!F247:G247)*13.8+'Données projet'!H247*10</f>
        <v>0</v>
      </c>
      <c r="D274" s="191">
        <f t="shared" si="14"/>
        <v>0</v>
      </c>
      <c r="E274" s="206"/>
      <c r="F274" s="262"/>
      <c r="G274" s="221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0</v>
      </c>
      <c r="B275" s="193">
        <f>'Données projet'!D248</f>
        <v>0</v>
      </c>
      <c r="C275" s="206">
        <f>'Données projet'!E248*50+SUM('Données projet'!F248:G248)*13.8+'Données projet'!H248*10</f>
        <v>0</v>
      </c>
      <c r="D275" s="191">
        <f t="shared" si="14"/>
        <v>0</v>
      </c>
      <c r="E275" s="206"/>
      <c r="F275" s="262"/>
      <c r="G275" s="221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0</v>
      </c>
      <c r="B276" s="193">
        <f>'Données projet'!D249</f>
        <v>0</v>
      </c>
      <c r="C276" s="206">
        <f>'Données projet'!E249*50+SUM('Données projet'!F249:G249)*13.8+'Données projet'!H249*10</f>
        <v>0</v>
      </c>
      <c r="D276" s="191">
        <f t="shared" si="14"/>
        <v>0</v>
      </c>
      <c r="E276" s="206"/>
      <c r="F276" s="262"/>
      <c r="G276" s="221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0</v>
      </c>
      <c r="B277" s="193">
        <f>'Données projet'!D250</f>
        <v>0</v>
      </c>
      <c r="C277" s="206">
        <f>'Données projet'!E250*50+SUM('Données projet'!F250:G250)*13.8+'Données projet'!H250*10</f>
        <v>0</v>
      </c>
      <c r="D277" s="191">
        <f t="shared" si="14"/>
        <v>0</v>
      </c>
      <c r="E277" s="206"/>
      <c r="F277" s="262"/>
      <c r="G277" s="222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0</v>
      </c>
      <c r="B278" s="193">
        <f>'Données projet'!D251</f>
        <v>0</v>
      </c>
      <c r="C278" s="206">
        <f>'Données projet'!E251*50+SUM('Données projet'!F251:G251)*13.8+'Données projet'!H251*10</f>
        <v>0</v>
      </c>
      <c r="D278" s="191">
        <f t="shared" si="14"/>
        <v>0</v>
      </c>
      <c r="E278" s="206"/>
      <c r="F278" s="262"/>
      <c r="G278" s="222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0</v>
      </c>
      <c r="B279" s="193">
        <f>'Données projet'!D252</f>
        <v>0</v>
      </c>
      <c r="C279" s="206">
        <f>'Données projet'!E252*50+SUM('Données projet'!F252:G252)*13.8+'Données projet'!H252*10</f>
        <v>0</v>
      </c>
      <c r="D279" s="191">
        <f t="shared" si="14"/>
        <v>0</v>
      </c>
      <c r="E279" s="206"/>
      <c r="F279" s="262"/>
      <c r="G279" s="222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0</v>
      </c>
      <c r="B280" s="193">
        <f>'Données projet'!D253</f>
        <v>0</v>
      </c>
      <c r="C280" s="206">
        <f>'Données projet'!E253*50+SUM('Données projet'!F253:G253)*13.8+'Données projet'!H253*10</f>
        <v>0</v>
      </c>
      <c r="D280" s="191">
        <f t="shared" si="14"/>
        <v>0</v>
      </c>
      <c r="E280" s="206"/>
      <c r="F280" s="262"/>
      <c r="G280" s="222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0</v>
      </c>
      <c r="B281" s="193">
        <f>'Données projet'!D254</f>
        <v>0</v>
      </c>
      <c r="C281" s="206">
        <f>'Données projet'!E254*50+SUM('Données projet'!F254:G254)*13.8+'Données projet'!H254*10</f>
        <v>0</v>
      </c>
      <c r="D281" s="191">
        <f t="shared" si="14"/>
        <v>0</v>
      </c>
      <c r="E281" s="206"/>
      <c r="F281" s="262"/>
      <c r="G281" s="222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>
        <f>'Données projet'!E255*50+SUM('Données projet'!F255:G255)*13.8+'Données projet'!H255*10</f>
        <v>0</v>
      </c>
      <c r="D282" s="191">
        <f t="shared" si="14"/>
        <v>0</v>
      </c>
      <c r="E282" s="206"/>
      <c r="F282" s="262"/>
      <c r="G282" s="222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>
        <f>'Données projet'!E256*50+SUM('Données projet'!F256:G256)*13.8+'Données projet'!H256*10</f>
        <v>0</v>
      </c>
      <c r="D283" s="191">
        <f t="shared" si="14"/>
        <v>0</v>
      </c>
      <c r="E283" s="206"/>
      <c r="F283" s="262"/>
      <c r="G283" s="222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>
        <f>'Données projet'!E257*50+SUM('Données projet'!F257:G257)*13.8+'Données projet'!H257*10</f>
        <v>0</v>
      </c>
      <c r="D284" s="191">
        <f t="shared" si="14"/>
        <v>0</v>
      </c>
      <c r="E284" s="206"/>
      <c r="F284" s="262"/>
      <c r="G284" s="222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>
        <f>'Données projet'!E258*50+SUM('Données projet'!F258:G258)*13.8+'Données projet'!H258*10</f>
        <v>0</v>
      </c>
      <c r="D285" s="191">
        <f t="shared" si="14"/>
        <v>0</v>
      </c>
      <c r="E285" s="206"/>
      <c r="F285" s="262"/>
      <c r="G285" s="222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>
        <f>'Données projet'!E259*50+SUM('Données projet'!F259:G259)*13.8+'Données projet'!H259*10</f>
        <v>0</v>
      </c>
      <c r="D286" s="191">
        <f t="shared" si="14"/>
        <v>0</v>
      </c>
      <c r="E286" s="206"/>
      <c r="F286" s="262"/>
      <c r="G286" s="222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>
        <f>'Données projet'!E260*50+SUM('Données projet'!F260:G260)*13.8+'Données projet'!H260*10</f>
        <v>0</v>
      </c>
      <c r="D287" s="191">
        <f t="shared" si="14"/>
        <v>0</v>
      </c>
      <c r="E287" s="206"/>
      <c r="F287" s="262"/>
      <c r="G287" s="222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>
        <f>'Données projet'!E261*50+SUM('Données projet'!F261:G261)*13.8+'Données projet'!H261*10</f>
        <v>0</v>
      </c>
      <c r="D288" s="191">
        <f t="shared" si="14"/>
        <v>0</v>
      </c>
      <c r="E288" s="206"/>
      <c r="F288" s="262"/>
      <c r="G288" s="222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>
        <f>'Données projet'!E262*50+SUM('Données projet'!F262:G262)*13.8+'Données projet'!H262*10</f>
        <v>0</v>
      </c>
      <c r="D289" s="191">
        <f t="shared" si="14"/>
        <v>0</v>
      </c>
      <c r="E289" s="206"/>
      <c r="F289" s="262"/>
      <c r="G289" s="222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>
        <f>'Données projet'!E263*50+SUM('Données projet'!F263:G263)*13.8+'Données projet'!H263*10</f>
        <v>0</v>
      </c>
      <c r="D290" s="191">
        <f t="shared" si="14"/>
        <v>0</v>
      </c>
      <c r="E290" s="206"/>
      <c r="F290" s="262"/>
      <c r="G290" s="222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0"/>
      <c r="G293" s="222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09">
        <v>0</v>
      </c>
      <c r="B296" s="212" t="s">
        <v>132</v>
      </c>
      <c r="C296" s="211" t="s">
        <v>132</v>
      </c>
      <c r="D296" s="210" t="s">
        <v>132</v>
      </c>
      <c r="E296" s="206"/>
      <c r="F296" s="261"/>
      <c r="G296" s="222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09">
        <v>1</v>
      </c>
      <c r="B297" s="212" t="s">
        <v>132</v>
      </c>
      <c r="C297" s="211" t="s">
        <v>132</v>
      </c>
      <c r="D297" s="210" t="s">
        <v>132</v>
      </c>
      <c r="E297" s="206"/>
      <c r="F297" s="261"/>
      <c r="G297" s="220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09">
        <v>2</v>
      </c>
      <c r="B298" s="212" t="s">
        <v>132</v>
      </c>
      <c r="C298" s="211" t="s">
        <v>132</v>
      </c>
      <c r="D298" s="210" t="s">
        <v>132</v>
      </c>
      <c r="E298" s="206"/>
      <c r="F298" s="261"/>
      <c r="G298" s="220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09">
        <v>3</v>
      </c>
      <c r="B299" s="212" t="s">
        <v>132</v>
      </c>
      <c r="C299" s="211" t="s">
        <v>132</v>
      </c>
      <c r="D299" s="210" t="s">
        <v>132</v>
      </c>
      <c r="E299" s="206"/>
      <c r="F299" s="261"/>
      <c r="G299" s="220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09">
        <v>4</v>
      </c>
      <c r="B300" s="212" t="s">
        <v>132</v>
      </c>
      <c r="C300" s="211" t="s">
        <v>132</v>
      </c>
      <c r="D300" s="210" t="s">
        <v>132</v>
      </c>
      <c r="E300" s="206"/>
      <c r="F300" s="261"/>
      <c r="G300" s="220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09">
        <v>5</v>
      </c>
      <c r="B301" s="212" t="s">
        <v>132</v>
      </c>
      <c r="C301" s="211" t="s">
        <v>132</v>
      </c>
      <c r="D301" s="210" t="s">
        <v>132</v>
      </c>
      <c r="E301" s="206"/>
      <c r="F301" s="261"/>
      <c r="G301" s="221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4">
        <f>'Données projet'!E270*50+SUM('Données projet'!F270:G270)*13.8+'Données projet'!H270*10</f>
        <v>0</v>
      </c>
      <c r="D302" s="194">
        <f>B302*C302</f>
        <v>0</v>
      </c>
      <c r="E302" s="206"/>
      <c r="F302" s="263"/>
      <c r="G302" s="221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4">
        <f>'Données projet'!E271*50+SUM('Données projet'!F271:G271)*13.8+'Données projet'!H271*10</f>
        <v>0</v>
      </c>
      <c r="D303" s="194">
        <f t="shared" ref="D303:D321" si="15">B303*C303</f>
        <v>0</v>
      </c>
      <c r="E303" s="206"/>
      <c r="F303" s="263"/>
      <c r="G303" s="221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4">
        <f>'Données projet'!E272*50+SUM('Données projet'!F272:G272)*13.8+'Données projet'!H272*10</f>
        <v>0</v>
      </c>
      <c r="D304" s="194">
        <f t="shared" si="15"/>
        <v>0</v>
      </c>
      <c r="E304" s="206"/>
      <c r="F304" s="263"/>
      <c r="G304" s="221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4">
        <f>'Données projet'!E273*50+SUM('Données projet'!F273:G273)*13.8+'Données projet'!H273*10</f>
        <v>0</v>
      </c>
      <c r="D305" s="194">
        <f t="shared" si="15"/>
        <v>0</v>
      </c>
      <c r="E305" s="206"/>
      <c r="F305" s="263"/>
      <c r="G305" s="221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4">
        <f>'Données projet'!E274*50+SUM('Données projet'!F274:G274)*13.8+'Données projet'!H274*10</f>
        <v>0</v>
      </c>
      <c r="D306" s="194">
        <f t="shared" si="15"/>
        <v>0</v>
      </c>
      <c r="E306" s="206"/>
      <c r="F306" s="263"/>
      <c r="G306" s="221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4">
        <f>'Données projet'!E275*50+SUM('Données projet'!F275:G275)*13.8+'Données projet'!H275*10</f>
        <v>0</v>
      </c>
      <c r="D307" s="194">
        <f t="shared" si="15"/>
        <v>0</v>
      </c>
      <c r="E307" s="206"/>
      <c r="F307" s="263"/>
      <c r="G307" s="221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4">
        <f>'Données projet'!E276*50+SUM('Données projet'!F276:G276)*13.8+'Données projet'!H276*10</f>
        <v>0</v>
      </c>
      <c r="D308" s="194">
        <f t="shared" si="15"/>
        <v>0</v>
      </c>
      <c r="E308" s="206"/>
      <c r="F308" s="263"/>
      <c r="G308" s="217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4">
        <f>'Données projet'!E277*50+SUM('Données projet'!F277:G277)*13.8+'Données projet'!H277*10</f>
        <v>0</v>
      </c>
      <c r="D309" s="194">
        <f t="shared" si="15"/>
        <v>0</v>
      </c>
      <c r="E309" s="206"/>
      <c r="F309" s="263"/>
      <c r="G309" s="217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4">
        <f>'Données projet'!E278*50+SUM('Données projet'!F278:G278)*13.8+'Données projet'!H278*10</f>
        <v>0</v>
      </c>
      <c r="D310" s="194">
        <f t="shared" si="15"/>
        <v>0</v>
      </c>
      <c r="E310" s="206"/>
      <c r="F310" s="263"/>
      <c r="G310" s="217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4">
        <f>'Données projet'!E279*50+SUM('Données projet'!F279:G279)*13.8+'Données projet'!H279*10</f>
        <v>0</v>
      </c>
      <c r="D311" s="194">
        <f t="shared" si="15"/>
        <v>0</v>
      </c>
      <c r="E311" s="206"/>
      <c r="F311" s="263"/>
      <c r="G311" s="217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4">
        <f>'Données projet'!E280*50+SUM('Données projet'!F280:G280)*13.8+'Données projet'!H280*10</f>
        <v>0</v>
      </c>
      <c r="D312" s="194">
        <f t="shared" si="15"/>
        <v>0</v>
      </c>
      <c r="E312" s="206"/>
      <c r="F312" s="263"/>
      <c r="G312" s="217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4">
        <f>'Données projet'!E281*50+SUM('Données projet'!F281:G281)*13.8+'Données projet'!H281*10</f>
        <v>0</v>
      </c>
      <c r="D313" s="194">
        <f t="shared" si="15"/>
        <v>0</v>
      </c>
      <c r="E313" s="206"/>
      <c r="F313" s="263"/>
      <c r="G313" s="217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4">
        <f>'Données projet'!E282*50+SUM('Données projet'!F282:G282)*13.8+'Données projet'!H282*10</f>
        <v>0</v>
      </c>
      <c r="D314" s="194">
        <f t="shared" si="15"/>
        <v>0</v>
      </c>
      <c r="E314" s="206"/>
      <c r="F314" s="263"/>
      <c r="G314" s="217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4">
        <f>'Données projet'!E283*50+SUM('Données projet'!F283:G283)*13.8+'Données projet'!H283*10</f>
        <v>0</v>
      </c>
      <c r="D315" s="194">
        <f t="shared" si="15"/>
        <v>0</v>
      </c>
      <c r="E315" s="206"/>
      <c r="F315" s="263"/>
      <c r="G315" s="217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>
        <f>'Données projet'!E284*50+SUM('Données projet'!F284:G284)*13.8+'Données projet'!H284*10</f>
        <v>0</v>
      </c>
      <c r="D316" s="194">
        <f t="shared" si="15"/>
        <v>0</v>
      </c>
      <c r="E316" s="206"/>
      <c r="F316" s="263"/>
      <c r="G316" s="217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>
        <f>'Données projet'!E285*50+SUM('Données projet'!F285:G285)*13.8+'Données projet'!H285*10</f>
        <v>0</v>
      </c>
      <c r="D317" s="194">
        <f t="shared" si="15"/>
        <v>0</v>
      </c>
      <c r="E317" s="206"/>
      <c r="F317" s="263"/>
      <c r="G317" s="217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>
        <f>'Données projet'!E286*50+SUM('Données projet'!F286:G286)*13.8+'Données projet'!H286*10</f>
        <v>0</v>
      </c>
      <c r="D318" s="194">
        <f t="shared" si="15"/>
        <v>0</v>
      </c>
      <c r="E318" s="206"/>
      <c r="F318" s="263"/>
      <c r="G318" s="217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>
        <f>'Données projet'!E287*50+SUM('Données projet'!F287:G287)*13.8+'Données projet'!H287*10</f>
        <v>0</v>
      </c>
      <c r="D319" s="194">
        <f t="shared" si="15"/>
        <v>0</v>
      </c>
      <c r="E319" s="206"/>
      <c r="F319" s="263"/>
      <c r="G319" s="217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>
        <f>'Données projet'!E288*50+SUM('Données projet'!F288:G288)*13.8+'Données projet'!H288*10</f>
        <v>0</v>
      </c>
      <c r="D320" s="194">
        <f t="shared" si="15"/>
        <v>0</v>
      </c>
      <c r="E320" s="206"/>
      <c r="F320" s="263"/>
      <c r="G320" s="217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4">
        <f>'Données projet'!E289*50+SUM('Données projet'!F289:G289)*13.8+'Données projet'!H289*10</f>
        <v>0</v>
      </c>
      <c r="D321" s="194">
        <f t="shared" si="15"/>
        <v>0</v>
      </c>
      <c r="E321" s="206"/>
      <c r="F321" s="263"/>
      <c r="G321" s="217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7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7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7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7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7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7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2023-07-28T17:02:10Z</dcterms:modified>
</cp:coreProperties>
</file>