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CamilleS3\Documents\2020-CNPF\1.CARBONE\1.Projets\VIIA\74 - Indivision Maniguet (La Rivière-Enverse)\C+for n° 74 La Rivière Enverse (VIIA n° 4)\"/>
    </mc:Choice>
  </mc:AlternateContent>
  <bookViews>
    <workbookView xWindow="0" yWindow="0" windowWidth="7476" windowHeight="238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D127" i="1" l="1"/>
  <c r="D107" i="1"/>
  <c r="D63" i="1" l="1"/>
  <c r="B63" i="1"/>
  <c r="D70" i="1"/>
  <c r="B43" i="1"/>
  <c r="D43" i="1" s="1"/>
  <c r="D41" i="1"/>
  <c r="B41" i="1"/>
  <c r="D39" i="1"/>
  <c r="B39" i="1"/>
  <c r="B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<sst xmlns="http://schemas.openxmlformats.org/spreadsheetml/2006/main" count="1173" uniqueCount="324">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</sst>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180.31615722411632</c:v>
                </c:pt>
                <c:pt idx="20">
                  <c:v>204.61729834734879</c:v>
                </c:pt>
                <c:pt idx="21">
                  <c:v>228.85165326166091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250.56744586737622</c:v>
                </c:pt>
                <c:pt idx="26">
                  <c:v>269.56153594682701</c:v>
                </c:pt>
                <c:pt idx="27">
                  <c:v>288.52550750272945</c:v>
                </c:pt>
                <c:pt idx="28">
                  <c:v>307.46161813662519</c:v>
                </c:pt>
                <c:pt idx="29">
                  <c:v>326.37182464400212</c:v>
                </c:pt>
                <c:pt idx="30">
                  <c:v>345.25783856692897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304.34456023906199</c:v>
                </c:pt>
                <c:pt idx="35">
                  <c:v>321.4798037706671</c:v>
                </c:pt>
                <c:pt idx="36">
                  <c:v>338.5948505822164</c:v>
                </c:pt>
                <c:pt idx="37">
                  <c:v>353.9155101038445</c:v>
                </c:pt>
                <c:pt idx="38">
                  <c:v>369.22164276821007</c:v>
                </c:pt>
                <c:pt idx="39">
                  <c:v>384.51393550758388</c:v>
                </c:pt>
                <c:pt idx="40">
                  <c:v>399.79301616201769</c:v>
                </c:pt>
                <c:pt idx="41">
                  <c:v>415.05946067388413</c:v>
                </c:pt>
                <c:pt idx="42">
                  <c:v>430.31379916865535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356.91130885505936</c:v>
                </c:pt>
                <c:pt idx="50">
                  <c:v>369.88680810922136</c:v>
                </c:pt>
                <c:pt idx="51">
                  <c:v>382.85238055108954</c:v>
                </c:pt>
                <c:pt idx="52">
                  <c:v>395.80840974888753</c:v>
                </c:pt>
                <c:pt idx="53">
                  <c:v>408.75525210941106</c:v>
                </c:pt>
                <c:pt idx="54">
                  <c:v>421.69323961894673</c:v>
                </c:pt>
                <c:pt idx="55">
                  <c:v>434.62268223024995</c:v>
                </c:pt>
                <c:pt idx="56">
                  <c:v>447.54386995067085</c:v>
                </c:pt>
                <c:pt idx="57">
                  <c:v>460.45707467656553</c:v>
                </c:pt>
                <c:pt idx="58">
                  <c:v>473.36255181121783</c:v>
                </c:pt>
                <c:pt idx="59">
                  <c:v>486.2605416971449</c:v>
                </c:pt>
                <c:pt idx="60">
                  <c:v>499.15127088853842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0646016"/>
        <c:axId val="-1560641120"/>
      </c:scatterChart>
      <c:valAx>
        <c:axId val="-15606460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641120"/>
        <c:crosses val="autoZero"/>
        <c:crossBetween val="midCat"/>
      </c:valAx>
      <c:valAx>
        <c:axId val="-156064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646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0632960"/>
        <c:axId val="-1560644384"/>
      </c:scatterChart>
      <c:valAx>
        <c:axId val="-1560632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644384"/>
        <c:crosses val="autoZero"/>
        <c:crossBetween val="midCat"/>
      </c:valAx>
      <c:valAx>
        <c:axId val="-156064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632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3.5845475841149894</c:v>
                </c:pt>
                <c:pt idx="2">
                  <c:v>6.9987215735273489</c:v>
                </c:pt>
                <c:pt idx="3">
                  <c:v>10.357873444070224</c:v>
                </c:pt>
                <c:pt idx="4">
                  <c:v>13.683108400318462</c:v>
                </c:pt>
                <c:pt idx="5">
                  <c:v>16.983992012859741</c:v>
                </c:pt>
                <c:pt idx="6">
                  <c:v>20.265980882531007</c:v>
                </c:pt>
                <c:pt idx="7">
                  <c:v>23.532592668909277</c:v>
                </c:pt>
                <c:pt idx="8">
                  <c:v>26.786277560767076</c:v>
                </c:pt>
                <c:pt idx="9">
                  <c:v>30.028836478021105</c:v>
                </c:pt>
                <c:pt idx="10">
                  <c:v>33.261646658117307</c:v>
                </c:pt>
                <c:pt idx="11">
                  <c:v>36.485793951602439</c:v>
                </c:pt>
                <c:pt idx="12">
                  <c:v>39.702155457866496</c:v>
                </c:pt>
                <c:pt idx="13">
                  <c:v>42.911453757083166</c:v>
                </c:pt>
                <c:pt idx="14">
                  <c:v>46.114293948291156</c:v>
                </c:pt>
                <c:pt idx="15">
                  <c:v>49.311189789557226</c:v>
                </c:pt>
                <c:pt idx="16">
                  <c:v>52.502582662450486</c:v>
                </c:pt>
                <c:pt idx="17">
                  <c:v>55.688855657472971</c:v>
                </c:pt>
                <c:pt idx="18">
                  <c:v>58.870344249648745</c:v>
                </c:pt>
                <c:pt idx="19">
                  <c:v>62.047344533746269</c:v>
                </c:pt>
                <c:pt idx="20">
                  <c:v>65.220119676310517</c:v>
                </c:pt>
                <c:pt idx="21">
                  <c:v>68.388905040617502</c:v>
                </c:pt>
                <c:pt idx="22">
                  <c:v>71.553912307788281</c:v>
                </c:pt>
                <c:pt idx="23">
                  <c:v>74.715332827428867</c:v>
                </c:pt>
                <c:pt idx="24">
                  <c:v>77.873340369107467</c:v>
                </c:pt>
                <c:pt idx="25">
                  <c:v>81.028093402330299</c:v>
                </c:pt>
                <c:pt idx="26">
                  <c:v>84.17973700145275</c:v>
                </c:pt>
                <c:pt idx="27">
                  <c:v>87.328404449284037</c:v>
                </c:pt>
                <c:pt idx="28">
                  <c:v>90.474218596442412</c:v>
                </c:pt>
                <c:pt idx="29">
                  <c:v>93.61729302105978</c:v>
                </c:pt>
                <c:pt idx="30">
                  <c:v>96.757733024032902</c:v>
                </c:pt>
                <c:pt idx="31">
                  <c:v>99.89563648784673</c:v>
                </c:pt>
                <c:pt idx="32">
                  <c:v>103.03109462146917</c:v>
                </c:pt>
                <c:pt idx="33">
                  <c:v>106.16419260951784</c:v>
                </c:pt>
                <c:pt idx="34">
                  <c:v>109.29501018052945</c:v>
                </c:pt>
                <c:pt idx="35">
                  <c:v>112.42362210649536</c:v>
                </c:pt>
                <c:pt idx="36">
                  <c:v>115.55009864370238</c:v>
                </c:pt>
                <c:pt idx="37">
                  <c:v>118.67450592321462</c:v>
                </c:pt>
                <c:pt idx="38">
                  <c:v>121.7969062979535</c:v>
                </c:pt>
                <c:pt idx="39">
                  <c:v>124.9173586522159</c:v>
                </c:pt>
                <c:pt idx="40">
                  <c:v>128.03591867855266</c:v>
                </c:pt>
                <c:pt idx="41">
                  <c:v>131.15263912618104</c:v>
                </c:pt>
                <c:pt idx="42">
                  <c:v>134.26757002447843</c:v>
                </c:pt>
                <c:pt idx="43">
                  <c:v>137.3807588845917</c:v>
                </c:pt>
                <c:pt idx="44">
                  <c:v>140.49225088176402</c:v>
                </c:pt>
                <c:pt idx="45">
                  <c:v>143.60208902061908</c:v>
                </c:pt>
                <c:pt idx="46">
                  <c:v>173.80827295512429</c:v>
                </c:pt>
                <c:pt idx="47">
                  <c:v>203.89077936944236</c:v>
                </c:pt>
                <c:pt idx="48">
                  <c:v>233.87045291165552</c:v>
                </c:pt>
                <c:pt idx="49">
                  <c:v>263.76233611209176</c:v>
                </c:pt>
                <c:pt idx="50">
                  <c:v>293.57777552483896</c:v>
                </c:pt>
                <c:pt idx="51">
                  <c:v>323.3256218534936</c:v>
                </c:pt>
                <c:pt idx="52">
                  <c:v>353.0129632618478</c:v>
                </c:pt>
                <c:pt idx="53">
                  <c:v>382.64559831142128</c:v>
                </c:pt>
                <c:pt idx="54">
                  <c:v>412.22835441319035</c:v>
                </c:pt>
                <c:pt idx="55">
                  <c:v>441.76530995314641</c:v>
                </c:pt>
                <c:pt idx="56">
                  <c:v>471.25995385258278</c:v>
                </c:pt>
                <c:pt idx="57">
                  <c:v>500.71530307703182</c:v>
                </c:pt>
                <c:pt idx="58">
                  <c:v>530.13399104702944</c:v>
                </c:pt>
                <c:pt idx="59">
                  <c:v>559.51833540264624</c:v>
                </c:pt>
                <c:pt idx="60">
                  <c:v>588.87039079533167</c:v>
                </c:pt>
                <c:pt idx="61">
                  <c:v>412.64862319886373</c:v>
                </c:pt>
                <c:pt idx="62">
                  <c:v>443.72357560360518</c:v>
                </c:pt>
                <c:pt idx="63">
                  <c:v>474.75192171830582</c:v>
                </c:pt>
                <c:pt idx="64">
                  <c:v>505.73713153785746</c:v>
                </c:pt>
                <c:pt idx="65">
                  <c:v>536.68221562738086</c:v>
                </c:pt>
                <c:pt idx="66">
                  <c:v>567.58980946497434</c:v>
                </c:pt>
                <c:pt idx="67">
                  <c:v>598.46223846064481</c:v>
                </c:pt>
                <c:pt idx="68">
                  <c:v>629.30156886637417</c:v>
                </c:pt>
                <c:pt idx="69">
                  <c:v>660.10964819351148</c:v>
                </c:pt>
                <c:pt idx="70">
                  <c:v>690.88813769814817</c:v>
                </c:pt>
                <c:pt idx="71">
                  <c:v>721.63853878187626</c:v>
                </c:pt>
                <c:pt idx="72">
                  <c:v>752.36221466320865</c:v>
                </c:pt>
                <c:pt idx="73">
                  <c:v>783.06040832903136</c:v>
                </c:pt>
                <c:pt idx="74">
                  <c:v>813.73425752817241</c:v>
                </c:pt>
                <c:pt idx="75">
                  <c:v>844.38480738968281</c:v>
                </c:pt>
                <c:pt idx="76">
                  <c:v>573.92006065379121</c:v>
                </c:pt>
                <c:pt idx="77">
                  <c:v>600.68597643168778</c:v>
                </c:pt>
                <c:pt idx="78">
                  <c:v>627.42711428361827</c:v>
                </c:pt>
                <c:pt idx="79">
                  <c:v>654.14467735652568</c:v>
                </c:pt>
                <c:pt idx="80">
                  <c:v>680.8397626330235</c:v>
                </c:pt>
                <c:pt idx="81">
                  <c:v>707.51337417674677</c:v>
                </c:pt>
                <c:pt idx="82">
                  <c:v>734.16643427844383</c:v>
                </c:pt>
                <c:pt idx="83">
                  <c:v>760.79979290110248</c:v>
                </c:pt>
                <c:pt idx="84">
                  <c:v>787.41423573527516</c:v>
                </c:pt>
                <c:pt idx="85">
                  <c:v>814.01049111006057</c:v>
                </c:pt>
                <c:pt idx="86">
                  <c:v>840.58923595509088</c:v>
                </c:pt>
                <c:pt idx="87">
                  <c:v>867.15110097029526</c:v>
                </c:pt>
                <c:pt idx="88">
                  <c:v>893.69667513020556</c:v>
                </c:pt>
                <c:pt idx="89">
                  <c:v>920.22650962606338</c:v>
                </c:pt>
                <c:pt idx="90">
                  <c:v>946.74112133038716</c:v>
                </c:pt>
                <c:pt idx="91">
                  <c:v>725.16894375707227</c:v>
                </c:pt>
                <c:pt idx="92">
                  <c:v>743.8535288404405</c:v>
                </c:pt>
                <c:pt idx="93">
                  <c:v>762.52856960951249</c:v>
                </c:pt>
                <c:pt idx="94">
                  <c:v>781.19433248460302</c:v>
                </c:pt>
                <c:pt idx="95">
                  <c:v>799.85107013031563</c:v>
                </c:pt>
                <c:pt idx="96">
                  <c:v>818.49902247654097</c:v>
                </c:pt>
                <c:pt idx="97">
                  <c:v>837.13841764167717</c:v>
                </c:pt>
                <c:pt idx="98">
                  <c:v>855.76947276944384</c:v>
                </c:pt>
                <c:pt idx="99">
                  <c:v>874.39239478912168</c:v>
                </c:pt>
                <c:pt idx="100">
                  <c:v>893.00738110773989</c:v>
                </c:pt>
                <c:pt idx="101">
                  <c:v>911.61462024161483</c:v>
                </c:pt>
                <c:pt idx="102">
                  <c:v>930.21429239371764</c:v>
                </c:pt>
                <c:pt idx="103">
                  <c:v>948.80656998252061</c:v>
                </c:pt>
                <c:pt idx="104">
                  <c:v>967.39161812729299</c:v>
                </c:pt>
                <c:pt idx="105">
                  <c:v>985.96959509421652</c:v>
                </c:pt>
                <c:pt idx="106">
                  <c:v>809.38332877171854</c:v>
                </c:pt>
                <c:pt idx="107">
                  <c:v>823.05610079465623</c:v>
                </c:pt>
                <c:pt idx="108">
                  <c:v>836.7243002526493</c:v>
                </c:pt>
                <c:pt idx="109">
                  <c:v>850.38801230175648</c:v>
                </c:pt>
                <c:pt idx="110">
                  <c:v>864.04731914082333</c:v>
                </c:pt>
                <c:pt idx="111">
                  <c:v>877.70230016026574</c:v>
                </c:pt>
                <c:pt idx="112">
                  <c:v>891.35303208112384</c:v>
                </c:pt>
                <c:pt idx="113">
                  <c:v>904.9995890851601</c:v>
                </c:pt>
                <c:pt idx="114">
                  <c:v>918.64204293671526</c:v>
                </c:pt>
                <c:pt idx="115">
                  <c:v>932.28046309695208</c:v>
                </c:pt>
                <c:pt idx="116">
                  <c:v>945.91491683107927</c:v>
                </c:pt>
                <c:pt idx="117">
                  <c:v>959.54546930907406</c:v>
                </c:pt>
                <c:pt idx="118">
                  <c:v>973.17218370039382</c:v>
                </c:pt>
                <c:pt idx="119">
                  <c:v>986.7951212631109</c:v>
                </c:pt>
                <c:pt idx="120">
                  <c:v>1000.4143414278782</c:v>
                </c:pt>
                <c:pt idx="121">
                  <c:v>850.11202158492245</c:v>
                </c:pt>
                <c:pt idx="122">
                  <c:v>861.01229420976881</c:v>
                </c:pt>
                <c:pt idx="123">
                  <c:v>871.90980124265172</c:v>
                </c:pt>
                <c:pt idx="124">
                  <c:v>882.80458209583287</c:v>
                </c:pt>
                <c:pt idx="125">
                  <c:v>893.69667513020579</c:v>
                </c:pt>
                <c:pt idx="126">
                  <c:v>904.5861176960824</c:v>
                </c:pt>
                <c:pt idx="127">
                  <c:v>915.47294617191267</c:v>
                </c:pt>
                <c:pt idx="128">
                  <c:v>926.35719600107041</c:v>
                </c:pt>
                <c:pt idx="129">
                  <c:v>937.23890172682184</c:v>
                </c:pt>
                <c:pt idx="130">
                  <c:v>948.11809702558639</c:v>
                </c:pt>
                <c:pt idx="131">
                  <c:v>958.99481473859305</c:v>
                </c:pt>
                <c:pt idx="132">
                  <c:v>969.86908690202961</c:v>
                </c:pt>
                <c:pt idx="133">
                  <c:v>980.74094477576602</c:v>
                </c:pt>
                <c:pt idx="134">
                  <c:v>991.61041887074555</c:v>
                </c:pt>
                <c:pt idx="135">
                  <c:v>1002.4775389751067</c:v>
                </c:pt>
                <c:pt idx="136">
                  <c:v>872.18565195049916</c:v>
                </c:pt>
                <c:pt idx="137">
                  <c:v>881.35669730712777</c:v>
                </c:pt>
                <c:pt idx="138">
                  <c:v>890.52583457473531</c:v>
                </c:pt>
                <c:pt idx="139">
                  <c:v>899.69308615639159</c:v>
                </c:pt>
                <c:pt idx="140">
                  <c:v>908.8584739617005</c:v>
                </c:pt>
                <c:pt idx="141">
                  <c:v>918.02201942263855</c:v>
                </c:pt>
                <c:pt idx="142">
                  <c:v>927.18374350873239</c:v>
                </c:pt>
                <c:pt idx="143">
                  <c:v>936.34366674160344</c:v>
                </c:pt>
                <c:pt idx="144">
                  <c:v>945.50180920891523</c:v>
                </c:pt>
                <c:pt idx="145">
                  <c:v>954.65819057775207</c:v>
                </c:pt>
                <c:pt idx="146">
                  <c:v>963.81283010745994</c:v>
                </c:pt>
                <c:pt idx="147">
                  <c:v>972.96574666197159</c:v>
                </c:pt>
                <c:pt idx="148">
                  <c:v>982.11695872164694</c:v>
                </c:pt>
                <c:pt idx="149">
                  <c:v>991.26648439464964</c:v>
                </c:pt>
                <c:pt idx="150">
                  <c:v>1000.414341427878</c:v>
                </c:pt>
                <c:pt idx="151">
                  <c:v>883.56297898296009</c:v>
                </c:pt>
                <c:pt idx="152">
                  <c:v>891.69769318215674</c:v>
                </c:pt>
                <c:pt idx="153">
                  <c:v>899.83092528526333</c:v>
                </c:pt>
                <c:pt idx="154">
                  <c:v>907.96269056900394</c:v>
                </c:pt>
                <c:pt idx="155">
                  <c:v>916.09300401431722</c:v>
                </c:pt>
                <c:pt idx="156">
                  <c:v>924.22188031471217</c:v>
                </c:pt>
                <c:pt idx="157">
                  <c:v>932.34933388431875</c:v>
                </c:pt>
                <c:pt idx="158">
                  <c:v>940.47537886563748</c:v>
                </c:pt>
                <c:pt idx="159">
                  <c:v>948.60002913700998</c:v>
                </c:pt>
                <c:pt idx="160">
                  <c:v>956.72329831982449</c:v>
                </c:pt>
                <c:pt idx="161">
                  <c:v>964.84519978545688</c:v>
                </c:pt>
                <c:pt idx="162">
                  <c:v>972.96574666197182</c:v>
                </c:pt>
                <c:pt idx="163">
                  <c:v>981.08495184058449</c:v>
                </c:pt>
                <c:pt idx="164">
                  <c:v>989.20282798190203</c:v>
                </c:pt>
                <c:pt idx="165">
                  <c:v>997.31938752194628</c:v>
                </c:pt>
                <c:pt idx="166">
                  <c:v>1.6693337005917391E-12</c:v>
                </c:pt>
                <c:pt idx="167">
                  <c:v>1.6693337005917391E-12</c:v>
                </c:pt>
                <c:pt idx="168">
                  <c:v>1.6693337005917391E-12</c:v>
                </c:pt>
                <c:pt idx="169">
                  <c:v>1.6693337005917391E-12</c:v>
                </c:pt>
                <c:pt idx="170">
                  <c:v>1.6693337005917391E-12</c:v>
                </c:pt>
                <c:pt idx="171">
                  <c:v>1.6693337005917391E-12</c:v>
                </c:pt>
                <c:pt idx="172">
                  <c:v>1.6693337005917391E-12</c:v>
                </c:pt>
                <c:pt idx="173">
                  <c:v>1.6693337005917391E-12</c:v>
                </c:pt>
                <c:pt idx="174">
                  <c:v>1.6693337005917391E-12</c:v>
                </c:pt>
                <c:pt idx="175">
                  <c:v>1.6693337005917391E-12</c:v>
                </c:pt>
                <c:pt idx="176">
                  <c:v>1.6693337005917391E-12</c:v>
                </c:pt>
                <c:pt idx="177">
                  <c:v>1.6693337005917391E-12</c:v>
                </c:pt>
                <c:pt idx="178">
                  <c:v>1.6693337005917391E-12</c:v>
                </c:pt>
                <c:pt idx="179">
                  <c:v>1.6693337005917391E-12</c:v>
                </c:pt>
                <c:pt idx="180">
                  <c:v>1.6693337005917391E-12</c:v>
                </c:pt>
                <c:pt idx="181">
                  <c:v>1.6693337005917391E-12</c:v>
                </c:pt>
                <c:pt idx="182">
                  <c:v>1.6693337005917391E-12</c:v>
                </c:pt>
                <c:pt idx="183">
                  <c:v>1.6693337005917391E-12</c:v>
                </c:pt>
                <c:pt idx="184">
                  <c:v>1.6693337005917391E-12</c:v>
                </c:pt>
                <c:pt idx="185">
                  <c:v>1.6693337005917391E-12</c:v>
                </c:pt>
                <c:pt idx="186">
                  <c:v>1.6693337005917391E-12</c:v>
                </c:pt>
                <c:pt idx="187">
                  <c:v>1.6693337005917391E-12</c:v>
                </c:pt>
                <c:pt idx="188">
                  <c:v>1.6693337005917391E-12</c:v>
                </c:pt>
                <c:pt idx="189">
                  <c:v>1.6693337005917391E-12</c:v>
                </c:pt>
                <c:pt idx="190">
                  <c:v>1.6693337005917391E-12</c:v>
                </c:pt>
                <c:pt idx="191">
                  <c:v>1.6693337005917391E-12</c:v>
                </c:pt>
                <c:pt idx="192">
                  <c:v>1.6693337005917391E-12</c:v>
                </c:pt>
                <c:pt idx="193">
                  <c:v>1.6693337005917391E-12</c:v>
                </c:pt>
                <c:pt idx="194">
                  <c:v>1.6693337005917391E-12</c:v>
                </c:pt>
                <c:pt idx="195">
                  <c:v>1.6693337005917391E-12</c:v>
                </c:pt>
                <c:pt idx="196">
                  <c:v>1.6693337005917391E-12</c:v>
                </c:pt>
                <c:pt idx="197">
                  <c:v>1.6693337005917391E-12</c:v>
                </c:pt>
                <c:pt idx="198">
                  <c:v>1.6693337005917391E-12</c:v>
                </c:pt>
                <c:pt idx="199">
                  <c:v>1.6693337005917391E-12</c:v>
                </c:pt>
                <c:pt idx="200">
                  <c:v>1.6693337005917391E-12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0634048"/>
        <c:axId val="-1560630784"/>
      </c:scatterChart>
      <c:valAx>
        <c:axId val="-1560634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630784"/>
        <c:crosses val="autoZero"/>
        <c:crossBetween val="midCat"/>
      </c:valAx>
      <c:valAx>
        <c:axId val="-15606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634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90.780755313309626</c:v>
                </c:pt>
                <c:pt idx="22">
                  <c:v>101.159756563508</c:v>
                </c:pt>
                <c:pt idx="23">
                  <c:v>111.5123681968909</c:v>
                </c:pt>
                <c:pt idx="24">
                  <c:v>121.84138944928242</c:v>
                </c:pt>
                <c:pt idx="25">
                  <c:v>132.14910489975807</c:v>
                </c:pt>
                <c:pt idx="26">
                  <c:v>130.30991517841125</c:v>
                </c:pt>
                <c:pt idx="27">
                  <c:v>143.17159315460219</c:v>
                </c:pt>
                <c:pt idx="28">
                  <c:v>156.00559553023251</c:v>
                </c:pt>
                <c:pt idx="29">
                  <c:v>168.81452176155747</c:v>
                </c:pt>
                <c:pt idx="30">
                  <c:v>181.60054396431892</c:v>
                </c:pt>
                <c:pt idx="31">
                  <c:v>196.18744401776075</c:v>
                </c:pt>
                <c:pt idx="32">
                  <c:v>210.74915945166413</c:v>
                </c:pt>
                <c:pt idx="33">
                  <c:v>225.28767604319728</c:v>
                </c:pt>
                <c:pt idx="34">
                  <c:v>239.8047021341722</c:v>
                </c:pt>
                <c:pt idx="35">
                  <c:v>254.30172220416441</c:v>
                </c:pt>
                <c:pt idx="36">
                  <c:v>193.27214793812973</c:v>
                </c:pt>
                <c:pt idx="37">
                  <c:v>208.5664261543092</c:v>
                </c:pt>
                <c:pt idx="38">
                  <c:v>223.83481773691517</c:v>
                </c:pt>
                <c:pt idx="39">
                  <c:v>239.07933751109388</c:v>
                </c:pt>
                <c:pt idx="40">
                  <c:v>254.30172220416443</c:v>
                </c:pt>
                <c:pt idx="41">
                  <c:v>269.50348353777451</c:v>
                </c:pt>
                <c:pt idx="42">
                  <c:v>284.68594869794055</c:v>
                </c:pt>
                <c:pt idx="43">
                  <c:v>299.85029171072807</c:v>
                </c:pt>
                <c:pt idx="44">
                  <c:v>314.99755813323162</c:v>
                </c:pt>
                <c:pt idx="45">
                  <c:v>330.12868474355969</c:v>
                </c:pt>
                <c:pt idx="46">
                  <c:v>269.14176602787654</c:v>
                </c:pt>
                <c:pt idx="47">
                  <c:v>283.96339386484851</c:v>
                </c:pt>
                <c:pt idx="48">
                  <c:v>298.7677023889039</c:v>
                </c:pt>
                <c:pt idx="49">
                  <c:v>313.55567069110168</c:v>
                </c:pt>
                <c:pt idx="50">
                  <c:v>328.32817795481515</c:v>
                </c:pt>
                <c:pt idx="51">
                  <c:v>342.7262392021392</c:v>
                </c:pt>
                <c:pt idx="52">
                  <c:v>357.11100913841528</c:v>
                </c:pt>
                <c:pt idx="53">
                  <c:v>371.4830985440197</c:v>
                </c:pt>
                <c:pt idx="54">
                  <c:v>385.8430670819634</c:v>
                </c:pt>
                <c:pt idx="55">
                  <c:v>400.19142935914965</c:v>
                </c:pt>
                <c:pt idx="56">
                  <c:v>338.40824566131732</c:v>
                </c:pt>
                <c:pt idx="57">
                  <c:v>352.07781219018153</c:v>
                </c:pt>
                <c:pt idx="58">
                  <c:v>365.73574755728538</c:v>
                </c:pt>
                <c:pt idx="59">
                  <c:v>379.3825473151046</c:v>
                </c:pt>
                <c:pt idx="60">
                  <c:v>393.01866845402537</c:v>
                </c:pt>
                <c:pt idx="61">
                  <c:v>405.92763208567663</c:v>
                </c:pt>
                <c:pt idx="62">
                  <c:v>418.82772515146894</c:v>
                </c:pt>
                <c:pt idx="63">
                  <c:v>431.71925936589815</c:v>
                </c:pt>
                <c:pt idx="64">
                  <c:v>444.60252630877886</c:v>
                </c:pt>
                <c:pt idx="65">
                  <c:v>457.47779928386598</c:v>
                </c:pt>
                <c:pt idx="66">
                  <c:v>394.45344597932916</c:v>
                </c:pt>
                <c:pt idx="67">
                  <c:v>406.64453366510514</c:v>
                </c:pt>
                <c:pt idx="68">
                  <c:v>418.82772515146894</c:v>
                </c:pt>
                <c:pt idx="69">
                  <c:v>431.00328251520637</c:v>
                </c:pt>
                <c:pt idx="70">
                  <c:v>443.17145181723458</c:v>
                </c:pt>
                <c:pt idx="71">
                  <c:v>454.25971616804895</c:v>
                </c:pt>
                <c:pt idx="72">
                  <c:v>465.34219697734244</c:v>
                </c:pt>
                <c:pt idx="73">
                  <c:v>476.41905141139301</c:v>
                </c:pt>
                <c:pt idx="74">
                  <c:v>487.49042873157447</c:v>
                </c:pt>
                <c:pt idx="75">
                  <c:v>498.55647086626522</c:v>
                </c:pt>
                <c:pt idx="76">
                  <c:v>434.22497775587226</c:v>
                </c:pt>
                <c:pt idx="77">
                  <c:v>444.96027949966765</c:v>
                </c:pt>
                <c:pt idx="78">
                  <c:v>455.69003527221344</c:v>
                </c:pt>
                <c:pt idx="79">
                  <c:v>466.41439408694367</c:v>
                </c:pt>
                <c:pt idx="80">
                  <c:v>477.13349754486757</c:v>
                </c:pt>
                <c:pt idx="81">
                  <c:v>487.49042873157447</c:v>
                </c:pt>
                <c:pt idx="82">
                  <c:v>497.84269099902531</c:v>
                </c:pt>
                <c:pt idx="83">
                  <c:v>508.19039512861644</c:v>
                </c:pt>
                <c:pt idx="84">
                  <c:v>518.53364702206579</c:v>
                </c:pt>
                <c:pt idx="85">
                  <c:v>528.87254801147856</c:v>
                </c:pt>
                <c:pt idx="86">
                  <c:v>463.19764456024473</c:v>
                </c:pt>
                <c:pt idx="87">
                  <c:v>472.48918916409252</c:v>
                </c:pt>
                <c:pt idx="88">
                  <c:v>481.77684446495124</c:v>
                </c:pt>
                <c:pt idx="89">
                  <c:v>491.06069603012844</c:v>
                </c:pt>
                <c:pt idx="90">
                  <c:v>500.34082592690078</c:v>
                </c:pt>
                <c:pt idx="91">
                  <c:v>509.61731292933626</c:v>
                </c:pt>
                <c:pt idx="92">
                  <c:v>518.89023270927692</c:v>
                </c:pt>
                <c:pt idx="93">
                  <c:v>528.15965801295647</c:v>
                </c:pt>
                <c:pt idx="94">
                  <c:v>537.42565882457359</c:v>
                </c:pt>
                <c:pt idx="95">
                  <c:v>546.6883025179983</c:v>
                </c:pt>
                <c:pt idx="96">
                  <c:v>480.16964020909967</c:v>
                </c:pt>
                <c:pt idx="97">
                  <c:v>488.56156699732747</c:v>
                </c:pt>
                <c:pt idx="98">
                  <c:v>496.95043567656421</c:v>
                </c:pt>
                <c:pt idx="99">
                  <c:v>505.33630516496095</c:v>
                </c:pt>
                <c:pt idx="100">
                  <c:v>513.71923226517583</c:v>
                </c:pt>
                <c:pt idx="101">
                  <c:v>522.0992717743585</c:v>
                </c:pt>
                <c:pt idx="102">
                  <c:v>530.47647658670951</c:v>
                </c:pt>
                <c:pt idx="103">
                  <c:v>538.85089778922145</c:v>
                </c:pt>
                <c:pt idx="104">
                  <c:v>547.22258475115893</c:v>
                </c:pt>
                <c:pt idx="105">
                  <c:v>555.59158520777828</c:v>
                </c:pt>
                <c:pt idx="106">
                  <c:v>489.6326554281618</c:v>
                </c:pt>
                <c:pt idx="107">
                  <c:v>496.77198054139399</c:v>
                </c:pt>
                <c:pt idx="108">
                  <c:v>503.9091324552781</c:v>
                </c:pt>
                <c:pt idx="109">
                  <c:v>511.04414630438441</c:v>
                </c:pt>
                <c:pt idx="110">
                  <c:v>518.17705616178932</c:v>
                </c:pt>
                <c:pt idx="111">
                  <c:v>525.30789508563589</c:v>
                </c:pt>
                <c:pt idx="112">
                  <c:v>532.4366951630326</c:v>
                </c:pt>
                <c:pt idx="113">
                  <c:v>539.56348755148122</c:v>
                </c:pt>
                <c:pt idx="114">
                  <c:v>546.6883025179983</c:v>
                </c:pt>
                <c:pt idx="115">
                  <c:v>553.811169476092</c:v>
                </c:pt>
                <c:pt idx="116">
                  <c:v>493.91651328433591</c:v>
                </c:pt>
                <c:pt idx="117">
                  <c:v>499.98396570940207</c:v>
                </c:pt>
                <c:pt idx="118">
                  <c:v>506.04985953638516</c:v>
                </c:pt>
                <c:pt idx="119">
                  <c:v>512.11421609335571</c:v>
                </c:pt>
                <c:pt idx="120">
                  <c:v>518.1770561617891</c:v>
                </c:pt>
                <c:pt idx="121">
                  <c:v>524.23839999694576</c:v>
                </c:pt>
                <c:pt idx="122">
                  <c:v>530.29826734726021</c:v>
                </c:pt>
                <c:pt idx="123">
                  <c:v>536.35667747279706</c:v>
                </c:pt>
                <c:pt idx="124">
                  <c:v>542.41364916282942</c:v>
                </c:pt>
                <c:pt idx="125">
                  <c:v>548.46920075259197</c:v>
                </c:pt>
                <c:pt idx="126">
                  <c:v>494.98735439698572</c:v>
                </c:pt>
                <c:pt idx="127">
                  <c:v>500.34082592689998</c:v>
                </c:pt>
                <c:pt idx="128">
                  <c:v>505.69308501237475</c:v>
                </c:pt>
                <c:pt idx="129">
                  <c:v>511.04414630438401</c:v>
                </c:pt>
                <c:pt idx="130">
                  <c:v>516.39402412186928</c:v>
                </c:pt>
                <c:pt idx="131">
                  <c:v>521.74273246270116</c:v>
                </c:pt>
                <c:pt idx="132">
                  <c:v>527.09028501417129</c:v>
                </c:pt>
                <c:pt idx="133">
                  <c:v>532.43669516303225</c:v>
                </c:pt>
                <c:pt idx="134">
                  <c:v>537.78197600511669</c:v>
                </c:pt>
                <c:pt idx="135">
                  <c:v>543.12614035455169</c:v>
                </c:pt>
                <c:pt idx="136">
                  <c:v>495.82019686852345</c:v>
                </c:pt>
                <c:pt idx="137">
                  <c:v>500.22187312000779</c:v>
                </c:pt>
                <c:pt idx="138">
                  <c:v>504.62272948273556</c:v>
                </c:pt>
                <c:pt idx="139">
                  <c:v>509.02277412127455</c:v>
                </c:pt>
                <c:pt idx="140">
                  <c:v>513.42201504742263</c:v>
                </c:pt>
                <c:pt idx="141">
                  <c:v>517.82046012438047</c:v>
                </c:pt>
                <c:pt idx="142">
                  <c:v>522.21811707077359</c:v>
                </c:pt>
                <c:pt idx="143">
                  <c:v>526.61499346453422</c:v>
                </c:pt>
                <c:pt idx="144">
                  <c:v>531.01109674664394</c:v>
                </c:pt>
                <c:pt idx="145">
                  <c:v>535.40643422474875</c:v>
                </c:pt>
                <c:pt idx="146">
                  <c:v>539.80101307664643</c:v>
                </c:pt>
                <c:pt idx="147">
                  <c:v>544.19484035365667</c:v>
                </c:pt>
                <c:pt idx="148">
                  <c:v>548.58792298387516</c:v>
                </c:pt>
                <c:pt idx="149">
                  <c:v>552.98026777531891</c:v>
                </c:pt>
                <c:pt idx="150">
                  <c:v>557.3718814189657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0640576"/>
        <c:axId val="-1560636768"/>
      </c:scatterChart>
      <c:valAx>
        <c:axId val="-1560640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636768"/>
        <c:crosses val="autoZero"/>
        <c:crossBetween val="midCat"/>
      </c:valAx>
      <c:valAx>
        <c:axId val="-156063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640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2.5758310508760247</c:v>
                </c:pt>
                <c:pt idx="2">
                  <c:v>3.2506177981838085</c:v>
                </c:pt>
                <c:pt idx="3">
                  <c:v>4.1028694549974993</c:v>
                </c:pt>
                <c:pt idx="4">
                  <c:v>5.1794297849161515</c:v>
                </c:pt>
                <c:pt idx="5">
                  <c:v>6.5395498248636885</c:v>
                </c:pt>
                <c:pt idx="6">
                  <c:v>8.2581845593100685</c:v>
                </c:pt>
                <c:pt idx="7">
                  <c:v>10.430168092530124</c:v>
                </c:pt>
                <c:pt idx="8">
                  <c:v>13.175502045684366</c:v>
                </c:pt>
                <c:pt idx="9">
                  <c:v>16.646054774598436</c:v>
                </c:pt>
                <c:pt idx="10">
                  <c:v>21.03404874902699</c:v>
                </c:pt>
                <c:pt idx="11">
                  <c:v>26.582814593823006</c:v>
                </c:pt>
                <c:pt idx="12">
                  <c:v>33.600418628656548</c:v>
                </c:pt>
                <c:pt idx="13">
                  <c:v>42.47693357058472</c:v>
                </c:pt>
                <c:pt idx="14">
                  <c:v>53.706328669924602</c:v>
                </c:pt>
                <c:pt idx="15">
                  <c:v>67.91421772633808</c:v>
                </c:pt>
                <c:pt idx="16">
                  <c:v>88.220699423350183</c:v>
                </c:pt>
                <c:pt idx="17">
                  <c:v>108.40917771920219</c:v>
                </c:pt>
                <c:pt idx="18">
                  <c:v>128.50485533746698</c:v>
                </c:pt>
                <c:pt idx="19">
                  <c:v>148.52433471994019</c:v>
                </c:pt>
                <c:pt idx="20">
                  <c:v>168.47935065397499</c:v>
                </c:pt>
                <c:pt idx="21">
                  <c:v>190.03172868618256</c:v>
                </c:pt>
                <c:pt idx="22">
                  <c:v>211.52713705007417</c:v>
                </c:pt>
                <c:pt idx="23">
                  <c:v>232.9721805650637</c:v>
                </c:pt>
                <c:pt idx="24">
                  <c:v>254.37214715747857</c:v>
                </c:pt>
                <c:pt idx="25">
                  <c:v>275.73136161299823</c:v>
                </c:pt>
                <c:pt idx="26">
                  <c:v>174.34768002587268</c:v>
                </c:pt>
                <c:pt idx="27">
                  <c:v>195.02347174102519</c:v>
                </c:pt>
                <c:pt idx="28">
                  <c:v>215.64831336819194</c:v>
                </c:pt>
                <c:pt idx="29">
                  <c:v>236.22776394593248</c:v>
                </c:pt>
                <c:pt idx="30">
                  <c:v>256.76633375126522</c:v>
                </c:pt>
                <c:pt idx="31">
                  <c:v>275.18504315357131</c:v>
                </c:pt>
                <c:pt idx="32">
                  <c:v>293.57606699971933</c:v>
                </c:pt>
                <c:pt idx="33">
                  <c:v>311.94138327089985</c:v>
                </c:pt>
                <c:pt idx="34">
                  <c:v>330.28271802062613</c:v>
                </c:pt>
                <c:pt idx="35">
                  <c:v>348.6015899634229</c:v>
                </c:pt>
                <c:pt idx="36">
                  <c:v>269.31056889395103</c:v>
                </c:pt>
                <c:pt idx="37">
                  <c:v>285.42451785769123</c:v>
                </c:pt>
                <c:pt idx="38">
                  <c:v>301.51811086883743</c:v>
                </c:pt>
                <c:pt idx="39">
                  <c:v>317.5925873061596</c:v>
                </c:pt>
                <c:pt idx="40">
                  <c:v>333.64905083742542</c:v>
                </c:pt>
                <c:pt idx="41">
                  <c:v>347.58255340684292</c:v>
                </c:pt>
                <c:pt idx="42">
                  <c:v>361.50379946938739</c:v>
                </c:pt>
                <c:pt idx="43">
                  <c:v>375.41332750586389</c:v>
                </c:pt>
                <c:pt idx="44">
                  <c:v>389.3116328366134</c:v>
                </c:pt>
                <c:pt idx="45">
                  <c:v>403.19917253064006</c:v>
                </c:pt>
                <c:pt idx="46">
                  <c:v>330.79281691079126</c:v>
                </c:pt>
                <c:pt idx="47">
                  <c:v>342.8941369053889</c:v>
                </c:pt>
                <c:pt idx="48">
                  <c:v>354.98607240615996</c:v>
                </c:pt>
                <c:pt idx="49">
                  <c:v>367.06898819880888</c:v>
                </c:pt>
                <c:pt idx="50">
                  <c:v>379.14322308804429</c:v>
                </c:pt>
                <c:pt idx="51">
                  <c:v>389.51494167414722</c:v>
                </c:pt>
                <c:pt idx="52">
                  <c:v>399.88066780263989</c:v>
                </c:pt>
                <c:pt idx="53">
                  <c:v>410.24057875944817</c:v>
                </c:pt>
                <c:pt idx="54">
                  <c:v>420.59484214308355</c:v>
                </c:pt>
                <c:pt idx="55">
                  <c:v>430.94361662456686</c:v>
                </c:pt>
                <c:pt idx="56">
                  <c:v>389.07443627953484</c:v>
                </c:pt>
                <c:pt idx="57">
                  <c:v>397.81476714553764</c:v>
                </c:pt>
                <c:pt idx="58">
                  <c:v>406.55093973271431</c:v>
                </c:pt>
                <c:pt idx="59">
                  <c:v>415.2830560426782</c:v>
                </c:pt>
                <c:pt idx="60">
                  <c:v>424.01121343540922</c:v>
                </c:pt>
                <c:pt idx="61">
                  <c:v>431.34934118150051</c:v>
                </c:pt>
                <c:pt idx="62">
                  <c:v>438.68478728412373</c:v>
                </c:pt>
                <c:pt idx="63">
                  <c:v>446.01760293571652</c:v>
                </c:pt>
                <c:pt idx="64">
                  <c:v>453.34783750715309</c:v>
                </c:pt>
                <c:pt idx="65">
                  <c:v>460.67553864161124</c:v>
                </c:pt>
                <c:pt idx="66">
                  <c:v>428.67817006579958</c:v>
                </c:pt>
                <c:pt idx="67">
                  <c:v>435.03429813246208</c:v>
                </c:pt>
                <c:pt idx="68">
                  <c:v>441.38843291985592</c:v>
                </c:pt>
                <c:pt idx="69">
                  <c:v>447.74060719134218</c:v>
                </c:pt>
                <c:pt idx="70">
                  <c:v>454.09085270415375</c:v>
                </c:pt>
                <c:pt idx="71">
                  <c:v>459.83146107700281</c:v>
                </c:pt>
                <c:pt idx="72">
                  <c:v>465.57053966135101</c:v>
                </c:pt>
                <c:pt idx="73">
                  <c:v>471.30810998876814</c:v>
                </c:pt>
                <c:pt idx="74">
                  <c:v>477.04419302345286</c:v>
                </c:pt>
                <c:pt idx="75">
                  <c:v>482.77880918397722</c:v>
                </c:pt>
                <c:pt idx="76">
                  <c:v>487.80384101860591</c:v>
                </c:pt>
                <c:pt idx="77">
                  <c:v>492.82777436376904</c:v>
                </c:pt>
                <c:pt idx="78">
                  <c:v>497.85062200546753</c:v>
                </c:pt>
                <c:pt idx="79">
                  <c:v>502.87239645047742</c:v>
                </c:pt>
                <c:pt idx="80">
                  <c:v>507.89310993523713</c:v>
                </c:pt>
                <c:pt idx="81">
                  <c:v>6.7935256943361388E-12</c:v>
                </c:pt>
                <c:pt idx="82">
                  <c:v>6.7935256943361388E-12</c:v>
                </c:pt>
                <c:pt idx="83">
                  <c:v>6.7935256943361388E-12</c:v>
                </c:pt>
                <c:pt idx="84">
                  <c:v>6.7935256943361388E-12</c:v>
                </c:pt>
                <c:pt idx="85">
                  <c:v>6.7935256943361388E-12</c:v>
                </c:pt>
                <c:pt idx="86">
                  <c:v>6.7935256943361388E-12</c:v>
                </c:pt>
                <c:pt idx="87">
                  <c:v>6.7935256943361388E-12</c:v>
                </c:pt>
                <c:pt idx="88">
                  <c:v>6.7935256943361388E-12</c:v>
                </c:pt>
                <c:pt idx="89">
                  <c:v>6.7935256943361388E-12</c:v>
                </c:pt>
                <c:pt idx="90">
                  <c:v>6.7935256943361388E-12</c:v>
                </c:pt>
                <c:pt idx="91">
                  <c:v>6.7935256943361388E-12</c:v>
                </c:pt>
                <c:pt idx="92">
                  <c:v>6.7935256943361388E-12</c:v>
                </c:pt>
                <c:pt idx="93">
                  <c:v>6.7935256943361388E-12</c:v>
                </c:pt>
                <c:pt idx="94">
                  <c:v>6.7935256943361388E-12</c:v>
                </c:pt>
                <c:pt idx="95">
                  <c:v>6.7935256943361388E-12</c:v>
                </c:pt>
                <c:pt idx="96">
                  <c:v>6.7935256943361388E-12</c:v>
                </c:pt>
                <c:pt idx="97">
                  <c:v>6.7935256943361388E-12</c:v>
                </c:pt>
                <c:pt idx="98">
                  <c:v>6.7935256943361388E-12</c:v>
                </c:pt>
                <c:pt idx="99">
                  <c:v>6.7935256943361388E-12</c:v>
                </c:pt>
                <c:pt idx="100">
                  <c:v>6.7935256943361388E-12</c:v>
                </c:pt>
                <c:pt idx="101">
                  <c:v>6.7935256943361388E-12</c:v>
                </c:pt>
                <c:pt idx="102">
                  <c:v>6.7935256943361388E-12</c:v>
                </c:pt>
                <c:pt idx="103">
                  <c:v>6.7935256943361388E-12</c:v>
                </c:pt>
                <c:pt idx="104">
                  <c:v>6.7935256943361388E-12</c:v>
                </c:pt>
                <c:pt idx="105">
                  <c:v>6.7935256943361388E-12</c:v>
                </c:pt>
                <c:pt idx="106">
                  <c:v>6.7935256943361388E-12</c:v>
                </c:pt>
                <c:pt idx="107">
                  <c:v>6.7935256943361388E-12</c:v>
                </c:pt>
                <c:pt idx="108">
                  <c:v>6.7935256943361388E-12</c:v>
                </c:pt>
                <c:pt idx="109">
                  <c:v>6.7935256943361388E-12</c:v>
                </c:pt>
                <c:pt idx="110">
                  <c:v>6.7935256943361388E-12</c:v>
                </c:pt>
                <c:pt idx="111">
                  <c:v>6.7935256943361388E-12</c:v>
                </c:pt>
                <c:pt idx="112">
                  <c:v>6.7935256943361388E-12</c:v>
                </c:pt>
                <c:pt idx="113">
                  <c:v>6.7935256943361388E-12</c:v>
                </c:pt>
                <c:pt idx="114">
                  <c:v>6.7935256943361388E-12</c:v>
                </c:pt>
                <c:pt idx="115">
                  <c:v>6.7935256943361388E-12</c:v>
                </c:pt>
                <c:pt idx="116">
                  <c:v>6.7935256943361388E-12</c:v>
                </c:pt>
                <c:pt idx="117">
                  <c:v>6.7935256943361388E-12</c:v>
                </c:pt>
                <c:pt idx="118">
                  <c:v>6.7935256943361388E-12</c:v>
                </c:pt>
                <c:pt idx="119">
                  <c:v>6.7935256943361388E-12</c:v>
                </c:pt>
                <c:pt idx="120">
                  <c:v>6.7935256943361388E-12</c:v>
                </c:pt>
                <c:pt idx="121">
                  <c:v>6.7935256943361388E-12</c:v>
                </c:pt>
                <c:pt idx="122">
                  <c:v>6.7935256943361388E-12</c:v>
                </c:pt>
                <c:pt idx="123">
                  <c:v>6.7935256943361388E-12</c:v>
                </c:pt>
                <c:pt idx="124">
                  <c:v>6.7935256943361388E-12</c:v>
                </c:pt>
                <c:pt idx="125">
                  <c:v>6.7935256943361388E-12</c:v>
                </c:pt>
                <c:pt idx="126">
                  <c:v>6.7935256943361388E-12</c:v>
                </c:pt>
                <c:pt idx="127">
                  <c:v>6.7935256943361388E-12</c:v>
                </c:pt>
                <c:pt idx="128">
                  <c:v>6.7935256943361388E-12</c:v>
                </c:pt>
                <c:pt idx="129">
                  <c:v>6.7935256943361388E-12</c:v>
                </c:pt>
                <c:pt idx="130">
                  <c:v>6.7935256943361388E-12</c:v>
                </c:pt>
                <c:pt idx="131">
                  <c:v>6.7935256943361388E-12</c:v>
                </c:pt>
                <c:pt idx="132">
                  <c:v>6.7935256943361388E-12</c:v>
                </c:pt>
                <c:pt idx="133">
                  <c:v>6.7935256943361388E-12</c:v>
                </c:pt>
                <c:pt idx="134">
                  <c:v>6.7935256943361388E-12</c:v>
                </c:pt>
                <c:pt idx="135">
                  <c:v>6.7935256943361388E-12</c:v>
                </c:pt>
                <c:pt idx="136">
                  <c:v>6.7935256943361388E-12</c:v>
                </c:pt>
                <c:pt idx="137">
                  <c:v>6.7935256943361388E-12</c:v>
                </c:pt>
                <c:pt idx="138">
                  <c:v>6.7935256943361388E-12</c:v>
                </c:pt>
                <c:pt idx="139">
                  <c:v>6.7935256943361388E-12</c:v>
                </c:pt>
                <c:pt idx="140">
                  <c:v>6.7935256943361388E-12</c:v>
                </c:pt>
                <c:pt idx="141">
                  <c:v>6.7935256943361388E-12</c:v>
                </c:pt>
                <c:pt idx="142">
                  <c:v>6.7935256943361388E-12</c:v>
                </c:pt>
                <c:pt idx="143">
                  <c:v>6.7935256943361388E-12</c:v>
                </c:pt>
                <c:pt idx="144">
                  <c:v>6.7935256943361388E-12</c:v>
                </c:pt>
                <c:pt idx="145">
                  <c:v>6.7935256943361388E-12</c:v>
                </c:pt>
                <c:pt idx="146">
                  <c:v>6.7935256943361388E-12</c:v>
                </c:pt>
                <c:pt idx="147">
                  <c:v>6.7935256943361388E-12</c:v>
                </c:pt>
                <c:pt idx="148">
                  <c:v>6.7935256943361388E-12</c:v>
                </c:pt>
                <c:pt idx="149">
                  <c:v>6.7935256943361388E-12</c:v>
                </c:pt>
                <c:pt idx="150">
                  <c:v>6.7935256943361388E-12</c:v>
                </c:pt>
                <c:pt idx="151">
                  <c:v>6.7935256943361388E-12</c:v>
                </c:pt>
                <c:pt idx="152">
                  <c:v>6.7935256943361388E-12</c:v>
                </c:pt>
                <c:pt idx="153">
                  <c:v>6.7935256943361388E-12</c:v>
                </c:pt>
                <c:pt idx="154">
                  <c:v>6.7935256943361388E-12</c:v>
                </c:pt>
                <c:pt idx="155">
                  <c:v>6.7935256943361388E-12</c:v>
                </c:pt>
                <c:pt idx="156">
                  <c:v>6.7935256943361388E-12</c:v>
                </c:pt>
                <c:pt idx="157">
                  <c:v>6.7935256943361388E-12</c:v>
                </c:pt>
                <c:pt idx="158">
                  <c:v>6.7935256943361388E-12</c:v>
                </c:pt>
                <c:pt idx="159">
                  <c:v>6.7935256943361388E-12</c:v>
                </c:pt>
                <c:pt idx="160">
                  <c:v>6.7935256943361388E-12</c:v>
                </c:pt>
                <c:pt idx="161">
                  <c:v>6.7935256943361388E-12</c:v>
                </c:pt>
                <c:pt idx="162">
                  <c:v>6.7935256943361388E-12</c:v>
                </c:pt>
                <c:pt idx="163">
                  <c:v>6.7935256943361388E-12</c:v>
                </c:pt>
                <c:pt idx="164">
                  <c:v>6.7935256943361388E-12</c:v>
                </c:pt>
                <c:pt idx="165">
                  <c:v>6.7935256943361388E-12</c:v>
                </c:pt>
                <c:pt idx="166">
                  <c:v>6.7935256943361388E-12</c:v>
                </c:pt>
                <c:pt idx="167">
                  <c:v>6.7935256943361388E-12</c:v>
                </c:pt>
                <c:pt idx="168">
                  <c:v>6.7935256943361388E-12</c:v>
                </c:pt>
                <c:pt idx="169">
                  <c:v>6.7935256943361388E-12</c:v>
                </c:pt>
                <c:pt idx="170">
                  <c:v>6.7935256943361388E-12</c:v>
                </c:pt>
                <c:pt idx="171">
                  <c:v>6.7935256943361388E-12</c:v>
                </c:pt>
                <c:pt idx="172">
                  <c:v>6.7935256943361388E-12</c:v>
                </c:pt>
                <c:pt idx="173">
                  <c:v>6.7935256943361388E-12</c:v>
                </c:pt>
                <c:pt idx="174">
                  <c:v>6.7935256943361388E-12</c:v>
                </c:pt>
                <c:pt idx="175">
                  <c:v>6.7935256943361388E-12</c:v>
                </c:pt>
                <c:pt idx="176">
                  <c:v>6.7935256943361388E-12</c:v>
                </c:pt>
                <c:pt idx="177">
                  <c:v>6.7935256943361388E-12</c:v>
                </c:pt>
                <c:pt idx="178">
                  <c:v>6.7935256943361388E-12</c:v>
                </c:pt>
                <c:pt idx="179">
                  <c:v>6.7935256943361388E-12</c:v>
                </c:pt>
                <c:pt idx="180">
                  <c:v>6.7935256943361388E-12</c:v>
                </c:pt>
                <c:pt idx="181">
                  <c:v>6.7935256943361388E-12</c:v>
                </c:pt>
                <c:pt idx="182">
                  <c:v>6.7935256943361388E-12</c:v>
                </c:pt>
                <c:pt idx="183">
                  <c:v>6.7935256943361388E-12</c:v>
                </c:pt>
                <c:pt idx="184">
                  <c:v>6.7935256943361388E-12</c:v>
                </c:pt>
                <c:pt idx="185">
                  <c:v>6.7935256943361388E-12</c:v>
                </c:pt>
                <c:pt idx="186">
                  <c:v>6.7935256943361388E-12</c:v>
                </c:pt>
                <c:pt idx="187">
                  <c:v>6.7935256943361388E-12</c:v>
                </c:pt>
                <c:pt idx="188">
                  <c:v>6.7935256943361388E-12</c:v>
                </c:pt>
                <c:pt idx="189">
                  <c:v>6.7935256943361388E-12</c:v>
                </c:pt>
                <c:pt idx="190">
                  <c:v>6.7935256943361388E-12</c:v>
                </c:pt>
                <c:pt idx="191">
                  <c:v>6.7935256943361388E-12</c:v>
                </c:pt>
                <c:pt idx="192">
                  <c:v>6.7935256943361388E-12</c:v>
                </c:pt>
                <c:pt idx="193">
                  <c:v>6.7935256943361388E-12</c:v>
                </c:pt>
                <c:pt idx="194">
                  <c:v>6.7935256943361388E-12</c:v>
                </c:pt>
                <c:pt idx="195">
                  <c:v>6.7935256943361388E-12</c:v>
                </c:pt>
                <c:pt idx="196">
                  <c:v>6.7935256943361388E-12</c:v>
                </c:pt>
                <c:pt idx="197">
                  <c:v>6.7935256943361388E-12</c:v>
                </c:pt>
                <c:pt idx="198">
                  <c:v>6.7935256943361388E-12</c:v>
                </c:pt>
                <c:pt idx="199">
                  <c:v>6.7935256943361388E-12</c:v>
                </c:pt>
                <c:pt idx="200">
                  <c:v>6.7935256943361388E-12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0643296"/>
        <c:axId val="-1560636224"/>
      </c:scatterChart>
      <c:valAx>
        <c:axId val="-1560643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636224"/>
        <c:crosses val="autoZero"/>
        <c:crossBetween val="midCat"/>
      </c:valAx>
      <c:valAx>
        <c:axId val="-156063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643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0635680"/>
        <c:axId val="-1560640032"/>
      </c:scatterChart>
      <c:valAx>
        <c:axId val="-1560635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640032"/>
        <c:crosses val="autoZero"/>
        <c:crossBetween val="midCat"/>
      </c:valAx>
      <c:valAx>
        <c:axId val="-156064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635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0631872"/>
        <c:axId val="-1560633504"/>
      </c:scatterChart>
      <c:valAx>
        <c:axId val="-15606318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633504"/>
        <c:crosses val="autoZero"/>
        <c:crossBetween val="midCat"/>
      </c:valAx>
      <c:valAx>
        <c:axId val="-156063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631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0639488"/>
        <c:axId val="-1560645472"/>
      </c:scatterChart>
      <c:valAx>
        <c:axId val="-15606394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645472"/>
        <c:crosses val="autoZero"/>
        <c:crossBetween val="midCat"/>
      </c:valAx>
      <c:valAx>
        <c:axId val="-156064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639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0644928"/>
        <c:axId val="-1560638944"/>
      </c:scatterChart>
      <c:valAx>
        <c:axId val="-1560644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638944"/>
        <c:crosses val="autoZero"/>
        <c:crossBetween val="midCat"/>
      </c:valAx>
      <c:valAx>
        <c:axId val="-156063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644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60637856"/>
        <c:axId val="-1560637312"/>
      </c:scatterChart>
      <c:valAx>
        <c:axId val="-15606378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637312"/>
        <c:crosses val="autoZero"/>
        <c:crossBetween val="midCat"/>
      </c:valAx>
      <c:valAx>
        <c:axId val="-15606373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60637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55" zoomScaleNormal="55" workbookViewId="0">
      <selection activeCell="H63" sqref="H63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2.4700000000000002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27</v>
      </c>
      <c r="C9" s="35">
        <v>0.4</v>
      </c>
      <c r="D9" s="36">
        <f t="shared" ref="D9:D18" si="0">C9*$C$5</f>
        <v>0.9880000000000001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46</v>
      </c>
      <c r="C10" s="35">
        <v>0.37369999999999998</v>
      </c>
      <c r="D10" s="36">
        <f t="shared" si="0"/>
        <v>0.92303900000000005</v>
      </c>
      <c r="E10" s="37">
        <v>165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11</v>
      </c>
      <c r="C11" s="35">
        <v>0.17369999999999999</v>
      </c>
      <c r="D11" s="36">
        <f t="shared" si="0"/>
        <v>0.429039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23</v>
      </c>
      <c r="C12" s="35">
        <v>5.2600000000000001E-2</v>
      </c>
      <c r="D12" s="36">
        <f t="shared" si="0"/>
        <v>0.12992200000000001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2.4700000000000002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Mélèze d'Europe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18</v>
      </c>
      <c r="B36" s="63">
        <v>112</v>
      </c>
      <c r="C36" s="63"/>
      <c r="D36" s="63"/>
      <c r="E36" s="54"/>
      <c r="F36" s="54"/>
      <c r="G36" s="54"/>
      <c r="H36" s="54"/>
      <c r="I36" s="52">
        <f>IFERROR(B36/A36,"")</f>
        <v>6.2222222222222223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21</v>
      </c>
      <c r="B37" s="63">
        <f>146+20</f>
        <v>166</v>
      </c>
      <c r="C37" s="63">
        <v>1</v>
      </c>
      <c r="D37" s="63">
        <v>46</v>
      </c>
      <c r="E37" s="54"/>
      <c r="F37" s="54"/>
      <c r="G37" s="54"/>
      <c r="H37" s="54">
        <v>1</v>
      </c>
      <c r="I37" s="56">
        <f t="shared" ref="I37:I55" si="1">IF(A37&lt;&gt;0,(B37-(B36-D36))/(A37-A36),"")</f>
        <v>18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24</v>
      </c>
      <c r="B38" s="63">
        <v>168</v>
      </c>
      <c r="C38" s="63"/>
      <c r="D38" s="63"/>
      <c r="E38" s="54"/>
      <c r="F38" s="54"/>
      <c r="G38" s="54"/>
      <c r="H38" s="54"/>
      <c r="I38" s="56">
        <f t="shared" si="1"/>
        <v>16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f>224+29</f>
        <v>253</v>
      </c>
      <c r="C39" s="63">
        <v>2</v>
      </c>
      <c r="D39" s="63">
        <f>53+29</f>
        <v>82</v>
      </c>
      <c r="E39" s="54"/>
      <c r="F39" s="54"/>
      <c r="G39" s="54"/>
      <c r="H39" s="54">
        <v>1</v>
      </c>
      <c r="I39" s="52">
        <f t="shared" si="1"/>
        <v>14.166666666666666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36</v>
      </c>
      <c r="B40" s="63">
        <v>248</v>
      </c>
      <c r="C40" s="63"/>
      <c r="D40" s="63"/>
      <c r="E40" s="54"/>
      <c r="F40" s="54"/>
      <c r="G40" s="54"/>
      <c r="H40" s="54"/>
      <c r="I40" s="52">
        <f t="shared" si="1"/>
        <v>12.833333333333334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42</v>
      </c>
      <c r="B41" s="63">
        <f>255+62</f>
        <v>317</v>
      </c>
      <c r="C41" s="63">
        <v>3</v>
      </c>
      <c r="D41" s="63">
        <f>67+62</f>
        <v>129</v>
      </c>
      <c r="E41" s="54"/>
      <c r="F41" s="54"/>
      <c r="G41" s="54"/>
      <c r="H41" s="54"/>
      <c r="I41" s="56">
        <f t="shared" si="1"/>
        <v>11.5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48</v>
      </c>
      <c r="B42" s="63">
        <v>252</v>
      </c>
      <c r="C42" s="63"/>
      <c r="D42" s="63"/>
      <c r="E42" s="54"/>
      <c r="F42" s="54"/>
      <c r="G42" s="54"/>
      <c r="H42" s="54"/>
      <c r="I42" s="56">
        <f t="shared" si="1"/>
        <v>10.666666666666666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60</v>
      </c>
      <c r="B43" s="63">
        <f>304+65</f>
        <v>369</v>
      </c>
      <c r="C43" s="63">
        <v>4</v>
      </c>
      <c r="D43" s="63">
        <f>B43</f>
        <v>369</v>
      </c>
      <c r="E43" s="54"/>
      <c r="F43" s="54"/>
      <c r="G43" s="54"/>
      <c r="H43" s="54"/>
      <c r="I43" s="52">
        <f t="shared" si="1"/>
        <v>9.75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Sapin pectiné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45</v>
      </c>
      <c r="B62" s="63">
        <v>130</v>
      </c>
      <c r="C62" s="63"/>
      <c r="D62" s="63"/>
      <c r="E62" s="54"/>
      <c r="F62" s="54"/>
      <c r="G62" s="54"/>
      <c r="H62" s="54"/>
      <c r="I62" s="56">
        <f>IFERROR(B62/A62,"")</f>
        <v>2.8888888888888888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60</v>
      </c>
      <c r="B63" s="63">
        <f>532+20</f>
        <v>552</v>
      </c>
      <c r="C63" s="63">
        <v>1</v>
      </c>
      <c r="D63" s="63">
        <f>178+20</f>
        <v>198</v>
      </c>
      <c r="E63" s="54"/>
      <c r="F63" s="54"/>
      <c r="G63" s="54"/>
      <c r="H63" s="54"/>
      <c r="I63" s="52">
        <f>IF(A63&lt;&gt;0,(B63-(B62-D62))/(A63-A62),"")</f>
        <v>28.133333333333333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75</v>
      </c>
      <c r="B64" s="63">
        <v>798</v>
      </c>
      <c r="C64" s="63">
        <v>2</v>
      </c>
      <c r="D64" s="63">
        <v>286</v>
      </c>
      <c r="E64" s="54"/>
      <c r="F64" s="54"/>
      <c r="G64" s="54"/>
      <c r="H64" s="54"/>
      <c r="I64" s="52">
        <f>IF(A64&lt;&gt;0,(B64-(B63-D63))/(A64-A63),"")</f>
        <v>29.6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90</v>
      </c>
      <c r="B65" s="63">
        <v>897</v>
      </c>
      <c r="C65" s="63">
        <v>3</v>
      </c>
      <c r="D65" s="63">
        <v>232</v>
      </c>
      <c r="E65" s="54"/>
      <c r="F65" s="54"/>
      <c r="G65" s="54"/>
      <c r="H65" s="54"/>
      <c r="I65" s="52">
        <f>IF(A65&lt;&gt;0,(B65-(B64-D64))/(A65-A64),"")</f>
        <v>25.666666666666668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105</v>
      </c>
      <c r="B66" s="63">
        <v>935</v>
      </c>
      <c r="C66" s="63">
        <v>4</v>
      </c>
      <c r="D66" s="63">
        <v>184</v>
      </c>
      <c r="E66" s="54"/>
      <c r="F66" s="54"/>
      <c r="G66" s="54"/>
      <c r="H66" s="54"/>
      <c r="I66" s="52">
        <f t="shared" ref="I66:I81" si="2">IF(A66&lt;&gt;0,(B66-(B65-D65))/(A66-A65),"")</f>
        <v>18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120</v>
      </c>
      <c r="B67" s="63">
        <v>949</v>
      </c>
      <c r="C67" s="63">
        <v>5</v>
      </c>
      <c r="D67" s="63">
        <v>156</v>
      </c>
      <c r="E67" s="54"/>
      <c r="F67" s="54"/>
      <c r="G67" s="54"/>
      <c r="H67" s="54"/>
      <c r="I67" s="52">
        <f t="shared" si="2"/>
        <v>13.2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135</v>
      </c>
      <c r="B68" s="63">
        <v>951</v>
      </c>
      <c r="C68" s="63">
        <v>6</v>
      </c>
      <c r="D68" s="63">
        <v>135</v>
      </c>
      <c r="E68" s="54"/>
      <c r="F68" s="54"/>
      <c r="G68" s="54"/>
      <c r="H68" s="54"/>
      <c r="I68" s="52">
        <f t="shared" si="2"/>
        <v>10.533333333333333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150</v>
      </c>
      <c r="B69" s="53">
        <v>949</v>
      </c>
      <c r="C69" s="63">
        <v>7</v>
      </c>
      <c r="D69" s="53">
        <v>121</v>
      </c>
      <c r="E69" s="54"/>
      <c r="F69" s="54"/>
      <c r="G69" s="54"/>
      <c r="H69" s="54"/>
      <c r="I69" s="52">
        <f t="shared" si="2"/>
        <v>8.8666666666666671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165</v>
      </c>
      <c r="B70" s="53">
        <v>946</v>
      </c>
      <c r="C70" s="63">
        <v>8</v>
      </c>
      <c r="D70" s="53">
        <f>B70</f>
        <v>946</v>
      </c>
      <c r="E70" s="54"/>
      <c r="F70" s="54"/>
      <c r="G70" s="54"/>
      <c r="H70" s="54"/>
      <c r="I70" s="52">
        <f t="shared" si="2"/>
        <v>7.8666666666666663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pédonculé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v>42</v>
      </c>
      <c r="C88" s="63"/>
      <c r="D88" s="63"/>
      <c r="E88" s="54"/>
      <c r="F88" s="54"/>
      <c r="G88" s="54"/>
      <c r="H88" s="93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3">
        <v>70</v>
      </c>
      <c r="C89" s="63">
        <v>1</v>
      </c>
      <c r="D89" s="63">
        <v>8</v>
      </c>
      <c r="E89" s="54"/>
      <c r="F89" s="54"/>
      <c r="G89" s="54"/>
      <c r="H89" s="93">
        <v>1</v>
      </c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3">
        <v>97</v>
      </c>
      <c r="C90" s="63"/>
      <c r="D90" s="63"/>
      <c r="E90" s="93"/>
      <c r="F90" s="93"/>
      <c r="G90" s="93"/>
      <c r="H90" s="93"/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3">
        <v>137</v>
      </c>
      <c r="C91" s="63">
        <v>2</v>
      </c>
      <c r="D91" s="63">
        <v>42</v>
      </c>
      <c r="E91" s="93"/>
      <c r="F91" s="93"/>
      <c r="G91" s="93"/>
      <c r="H91" s="93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3">
        <v>137</v>
      </c>
      <c r="C92" s="63"/>
      <c r="D92" s="63"/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3">
        <v>179</v>
      </c>
      <c r="C93" s="63">
        <v>3</v>
      </c>
      <c r="D93" s="63">
        <v>42</v>
      </c>
      <c r="E93" s="93"/>
      <c r="F93" s="93"/>
      <c r="G93" s="93"/>
      <c r="H93" s="93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3">
        <v>178</v>
      </c>
      <c r="C94" s="63"/>
      <c r="D94" s="63"/>
      <c r="E94" s="93"/>
      <c r="F94" s="93"/>
      <c r="G94" s="93"/>
      <c r="H94" s="93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55</v>
      </c>
      <c r="B95" s="63">
        <v>218</v>
      </c>
      <c r="C95" s="63">
        <v>4</v>
      </c>
      <c r="D95" s="63">
        <v>42</v>
      </c>
      <c r="E95" s="93"/>
      <c r="F95" s="93"/>
      <c r="G95" s="93"/>
      <c r="H95" s="93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60</v>
      </c>
      <c r="B96" s="63">
        <v>214</v>
      </c>
      <c r="C96" s="63"/>
      <c r="D96" s="63"/>
      <c r="E96" s="93"/>
      <c r="F96" s="93"/>
      <c r="G96" s="93"/>
      <c r="H96" s="93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65</v>
      </c>
      <c r="B97" s="63">
        <v>250</v>
      </c>
      <c r="C97" s="63">
        <v>5</v>
      </c>
      <c r="D97" s="63">
        <v>42</v>
      </c>
      <c r="E97" s="93"/>
      <c r="F97" s="93"/>
      <c r="G97" s="93"/>
      <c r="H97" s="93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70</v>
      </c>
      <c r="B98" s="63">
        <v>242</v>
      </c>
      <c r="C98" s="63"/>
      <c r="D98" s="63"/>
      <c r="E98" s="93"/>
      <c r="F98" s="93"/>
      <c r="G98" s="93"/>
      <c r="H98" s="93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75</v>
      </c>
      <c r="B99" s="63">
        <v>273</v>
      </c>
      <c r="C99" s="63">
        <v>6</v>
      </c>
      <c r="D99" s="63">
        <v>42</v>
      </c>
      <c r="E99" s="93"/>
      <c r="F99" s="93"/>
      <c r="G99" s="93"/>
      <c r="H99" s="93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80</v>
      </c>
      <c r="B100" s="63">
        <v>261</v>
      </c>
      <c r="C100" s="63"/>
      <c r="D100" s="63"/>
      <c r="E100" s="68"/>
      <c r="F100" s="68"/>
      <c r="G100" s="68"/>
      <c r="H100" s="68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85</v>
      </c>
      <c r="B101" s="63">
        <v>290</v>
      </c>
      <c r="C101" s="63">
        <v>7</v>
      </c>
      <c r="D101" s="63">
        <v>42</v>
      </c>
      <c r="E101" s="68"/>
      <c r="F101" s="68"/>
      <c r="G101" s="68"/>
      <c r="H101" s="68"/>
      <c r="I101" s="56">
        <f t="shared" si="3"/>
        <v>5.8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>
        <v>95</v>
      </c>
      <c r="B102" s="53">
        <v>300</v>
      </c>
      <c r="C102" s="63">
        <v>8</v>
      </c>
      <c r="D102" s="53">
        <v>42</v>
      </c>
      <c r="E102" s="57"/>
      <c r="F102" s="57"/>
      <c r="G102" s="57"/>
      <c r="H102" s="57"/>
      <c r="I102" s="56">
        <f t="shared" si="3"/>
        <v>5.2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105</v>
      </c>
      <c r="B103" s="53">
        <v>305</v>
      </c>
      <c r="C103" s="63">
        <v>9</v>
      </c>
      <c r="D103" s="53">
        <v>41</v>
      </c>
      <c r="E103" s="57"/>
      <c r="F103" s="57"/>
      <c r="G103" s="57"/>
      <c r="H103" s="57"/>
      <c r="I103" s="56">
        <f t="shared" si="3"/>
        <v>4.7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>
        <v>115</v>
      </c>
      <c r="B104" s="53">
        <v>304</v>
      </c>
      <c r="C104" s="63">
        <v>10</v>
      </c>
      <c r="D104" s="53">
        <v>37</v>
      </c>
      <c r="E104" s="57"/>
      <c r="F104" s="57"/>
      <c r="G104" s="57"/>
      <c r="H104" s="57"/>
      <c r="I104" s="56">
        <f t="shared" si="3"/>
        <v>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125</v>
      </c>
      <c r="B105" s="53">
        <v>301</v>
      </c>
      <c r="C105" s="53">
        <v>11</v>
      </c>
      <c r="D105" s="53">
        <v>33</v>
      </c>
      <c r="E105" s="57"/>
      <c r="F105" s="57"/>
      <c r="G105" s="57"/>
      <c r="H105" s="57"/>
      <c r="I105" s="56">
        <f t="shared" si="3"/>
        <v>3.4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63">
        <v>135</v>
      </c>
      <c r="B106" s="53">
        <v>298</v>
      </c>
      <c r="C106" s="53">
        <v>12</v>
      </c>
      <c r="D106" s="53">
        <v>29</v>
      </c>
      <c r="E106" s="57"/>
      <c r="F106" s="57"/>
      <c r="G106" s="57"/>
      <c r="H106" s="57"/>
      <c r="I106" s="56">
        <f t="shared" si="3"/>
        <v>3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150</v>
      </c>
      <c r="B107" s="53">
        <v>306</v>
      </c>
      <c r="C107" s="53">
        <v>13</v>
      </c>
      <c r="D107" s="53">
        <f>B107</f>
        <v>306</v>
      </c>
      <c r="E107" s="57"/>
      <c r="F107" s="57"/>
      <c r="G107" s="57"/>
      <c r="H107" s="57"/>
      <c r="I107" s="56">
        <f t="shared" si="3"/>
        <v>2.4666666666666668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Erable sycomore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3">
        <v>37.4</v>
      </c>
      <c r="C114" s="53"/>
      <c r="D114" s="63"/>
      <c r="E114" s="54"/>
      <c r="F114" s="54"/>
      <c r="G114" s="54"/>
      <c r="H114" s="54"/>
      <c r="I114" s="56">
        <f>IFERROR(B114/A114,"")</f>
        <v>2.4933333333333332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3">
        <v>95.1</v>
      </c>
      <c r="C115" s="53"/>
      <c r="D115" s="63"/>
      <c r="E115" s="54"/>
      <c r="F115" s="54"/>
      <c r="G115" s="54"/>
      <c r="H115" s="54"/>
      <c r="I115" s="56">
        <f t="shared" ref="I115:I133" si="4">IF(A115&lt;&gt;0,(B115-(B114-D114))/(A115-A114),"")</f>
        <v>11.54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3">
        <v>157.6</v>
      </c>
      <c r="C116" s="53">
        <v>1</v>
      </c>
      <c r="D116" s="63">
        <v>71.099999999999994</v>
      </c>
      <c r="E116" s="54"/>
      <c r="F116" s="54"/>
      <c r="G116" s="54"/>
      <c r="H116" s="54">
        <v>1</v>
      </c>
      <c r="I116" s="56">
        <f t="shared" si="4"/>
        <v>12.5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3">
        <v>146.5</v>
      </c>
      <c r="C117" s="53"/>
      <c r="D117" s="63"/>
      <c r="E117" s="54"/>
      <c r="F117" s="54"/>
      <c r="G117" s="54"/>
      <c r="H117" s="54"/>
      <c r="I117" s="56">
        <f t="shared" si="4"/>
        <v>12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35</v>
      </c>
      <c r="B118" s="63">
        <v>200.4</v>
      </c>
      <c r="C118" s="53">
        <v>2</v>
      </c>
      <c r="D118" s="63">
        <v>56</v>
      </c>
      <c r="E118" s="54"/>
      <c r="F118" s="54"/>
      <c r="G118" s="54"/>
      <c r="H118" s="54"/>
      <c r="I118" s="56">
        <f t="shared" si="4"/>
        <v>10.780000000000001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40</v>
      </c>
      <c r="B119" s="63">
        <v>191.6</v>
      </c>
      <c r="C119" s="53"/>
      <c r="D119" s="63"/>
      <c r="E119" s="54"/>
      <c r="F119" s="54"/>
      <c r="G119" s="54"/>
      <c r="H119" s="54"/>
      <c r="I119" s="56">
        <f t="shared" si="4"/>
        <v>9.4399999999999977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45</v>
      </c>
      <c r="B120" s="63">
        <v>232.60000000000002</v>
      </c>
      <c r="C120" s="63">
        <v>3</v>
      </c>
      <c r="D120" s="63">
        <v>49.8</v>
      </c>
      <c r="E120" s="93"/>
      <c r="F120" s="93"/>
      <c r="G120" s="93"/>
      <c r="H120" s="93"/>
      <c r="I120" s="56">
        <f t="shared" si="4"/>
        <v>8.2000000000000064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50</v>
      </c>
      <c r="B121" s="63">
        <v>218.4</v>
      </c>
      <c r="C121" s="63"/>
      <c r="D121" s="63"/>
      <c r="E121" s="93"/>
      <c r="F121" s="93"/>
      <c r="G121" s="93"/>
      <c r="H121" s="93"/>
      <c r="I121" s="56">
        <f t="shared" si="4"/>
        <v>7.1199999999999992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55</v>
      </c>
      <c r="B122" s="63">
        <v>249</v>
      </c>
      <c r="C122" s="63">
        <v>4</v>
      </c>
      <c r="D122" s="63">
        <v>29.9</v>
      </c>
      <c r="E122" s="93"/>
      <c r="F122" s="93"/>
      <c r="G122" s="93"/>
      <c r="H122" s="93"/>
      <c r="I122" s="56">
        <f t="shared" si="4"/>
        <v>6.1199999999999992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60</v>
      </c>
      <c r="B123" s="63">
        <v>244.9</v>
      </c>
      <c r="C123" s="63"/>
      <c r="D123" s="63"/>
      <c r="E123" s="93"/>
      <c r="F123" s="93"/>
      <c r="G123" s="93"/>
      <c r="H123" s="93"/>
      <c r="I123" s="56">
        <f t="shared" si="4"/>
        <v>5.1600000000000019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65</v>
      </c>
      <c r="B124" s="63">
        <v>266.60000000000002</v>
      </c>
      <c r="C124" s="63">
        <v>5</v>
      </c>
      <c r="D124" s="63">
        <v>22.700000000000003</v>
      </c>
      <c r="E124" s="93"/>
      <c r="F124" s="93"/>
      <c r="G124" s="93"/>
      <c r="H124" s="93"/>
      <c r="I124" s="56">
        <f t="shared" si="4"/>
        <v>4.3400000000000034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70</v>
      </c>
      <c r="B125" s="63">
        <v>262.7</v>
      </c>
      <c r="C125" s="63"/>
      <c r="D125" s="63"/>
      <c r="E125" s="93"/>
      <c r="F125" s="93"/>
      <c r="G125" s="93"/>
      <c r="H125" s="93"/>
      <c r="I125" s="56">
        <f t="shared" si="4"/>
        <v>3.7599999999999909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75</v>
      </c>
      <c r="B126" s="63">
        <v>279.70000000000005</v>
      </c>
      <c r="C126" s="63"/>
      <c r="D126" s="63"/>
      <c r="E126" s="68"/>
      <c r="F126" s="68"/>
      <c r="G126" s="68"/>
      <c r="H126" s="68"/>
      <c r="I126" s="56">
        <f t="shared" si="4"/>
        <v>3.4000000000000115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80</v>
      </c>
      <c r="B127" s="63">
        <v>294.60000000000002</v>
      </c>
      <c r="C127" s="63">
        <v>6</v>
      </c>
      <c r="D127" s="63">
        <f>B127</f>
        <v>294.60000000000002</v>
      </c>
      <c r="E127" s="68"/>
      <c r="F127" s="68"/>
      <c r="G127" s="68"/>
      <c r="H127" s="68"/>
      <c r="I127" s="56">
        <f t="shared" si="4"/>
        <v>2.9799999999999955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F8" sqref="F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Mélèze d'Europe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Sapin pectiné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pédonculé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Erable sycomore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205.33000726169792</v>
      </c>
      <c r="T3" s="62">
        <f>IF('Données projet'!E9&gt;30,$R$33-$H$33,LOOKUP('Données projet'!$E$9,$A$3:$A$203,R3:R203)-LOOKUP('Données projet'!$E$9,$A$3:$A$203,$H$3:$H$203))</f>
        <v>307.23455947678775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491.47342911047105</v>
      </c>
      <c r="AO3" s="62">
        <f>IF('Données projet'!E10&gt;30,$AM$33-$H$33,LOOKUP('Données projet'!$E$10,$A$3:$A$203,AM3:AM203)-LOOKUP('Données projet'!$E$10,$A$3:$A$203,$H$3:$H$203))</f>
        <v>58.734453933891757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278.21934231434597</v>
      </c>
      <c r="BJ3" s="62">
        <f>IF('Données projet'!E11&gt;30,$BH$33-$H$33,LOOKUP('Données projet'!$E$11,$A$3:$A$203,BH3:BH203)-LOOKUP('Données projet'!$E$11,$A$3:$A$203,$H$3:$H$203))</f>
        <v>143.57726487417773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237.4598967324826</v>
      </c>
      <c r="CE3" s="62">
        <f>IF('Données projet'!E12&gt;30,$CC$33-$H$33,LOOKUP('Données projet'!$E$12,$A$3:$A$203,CC3:CC203)-LOOKUP('Données projet'!$E$12,$A$3:$A$203,$H$3:$H$203))</f>
        <v>218.74305466112406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6.2222222222222223</v>
      </c>
      <c r="N4" s="14">
        <f>IF('Données projet'!$A$36&gt;35,N3+M4-V3,IF(A4&lt;'Données projet'!$A$36,$K$205^A4,IF(A4='Données projet'!$A$36,'Données projet'!$B$36,N3+M4-V3)))</f>
        <v>1.2997069632623315</v>
      </c>
      <c r="O4" s="14">
        <f>N4*VLOOKUP('Données projet'!$B$9,Paramètres!$A$1:$I$89,3,0)*VLOOKUP('Données projet'!$B$9,Paramètres!$A$1:$I$89,5,0)</f>
        <v>0.81101714507569489</v>
      </c>
      <c r="P4" s="14">
        <f>EXP(-1.0587+0.8836*LN(O4)+0.284)</f>
        <v>0.38297551084354686</v>
      </c>
      <c r="Q4" s="22">
        <f t="shared" ref="Q4:Q34" si="2">(O4+P4)*0.475*44/12</f>
        <v>2.0795372090593456</v>
      </c>
      <c r="R4" s="62">
        <f t="shared" si="0"/>
        <v>295.41287054239268</v>
      </c>
      <c r="S4" s="62">
        <f ca="1">AVERAGE(OFFSET($R$3,0,0,'Données projet'!$E$9+1,1))-AVERAGE(OFFSET($H$3,0,0,'Données projet'!$E$9+1,1))</f>
        <v>205.33000726169792</v>
      </c>
      <c r="T4" s="62">
        <f>$T$3</f>
        <v>307.23455947678775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2.8888888888888888</v>
      </c>
      <c r="AI4" s="14">
        <f>IF('Données projet'!$A$62&gt;35,AI3+AH4-AQ3,IF(A4&lt;'Données projet'!$A$62,$AF$205^A4,IF(A4='Données projet'!$A$62,'Données projet'!$B$62,AI3+AH4-AQ3)))</f>
        <v>2.8888888888888888</v>
      </c>
      <c r="AJ4" s="14">
        <f>AI4*VLOOKUP('Données projet'!$B$10,Paramètres!$A$1:$I$89,3,0)*VLOOKUP('Données projet'!$B$10,Paramètres!$A$1:$I$89,5,0)</f>
        <v>1.4271111111111112</v>
      </c>
      <c r="AK4" s="14">
        <f>EXP(-1.0587+0.8836*LN(AJ4)+0.284)</f>
        <v>0.63100233431376296</v>
      </c>
      <c r="AL4" s="22">
        <f t="shared" ref="AL4:AL67" si="4">(AJ4+AK4)*0.475*44/12</f>
        <v>3.5845475841149894</v>
      </c>
      <c r="AM4" s="62">
        <f t="shared" ref="AM4:AM67" si="5">AL4+(AD4+AE4)*44/12</f>
        <v>296.91788091744831</v>
      </c>
      <c r="AN4" s="62">
        <f ca="1">AVERAGE(OFFSET($AM$3,0,0,'Données projet'!$E$10+1,1))-AVERAGE(OFFSET($H$3,0,0,'Données projet'!$E$10+1,1))</f>
        <v>491.47342911047105</v>
      </c>
      <c r="AO4" s="62">
        <f>$AO$3</f>
        <v>58.734453933891757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1.0155020926567102</v>
      </c>
      <c r="BF4" s="14">
        <f>EXP(-1.0587+0.8836*LN(BE4)+0.284)</f>
        <v>0.46714880239274614</v>
      </c>
      <c r="BG4" s="22">
        <f t="shared" ref="BG4:BG67" si="7">(BE4+BF4)*0.475*44/12</f>
        <v>2.5822836422111366</v>
      </c>
      <c r="BH4" s="62">
        <f t="shared" ref="BH4:BH67" si="8">BG4+(AY4+AZ4)*44/12</f>
        <v>295.91561697554442</v>
      </c>
      <c r="BI4" s="62">
        <f ca="1">AVERAGE(OFFSET($BH$3,0,0,'Données projet'!$E$11+1,1))-AVERAGE(OFFSET($H$3,0,0,'Données projet'!$E$11+1,1))</f>
        <v>278.21934231434597</v>
      </c>
      <c r="BJ4" s="62">
        <f>$BJ$3</f>
        <v>143.57726487417773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2.4933333333333332</v>
      </c>
      <c r="BY4" s="13">
        <f>IF('Données projet'!$A$114&gt;35,BY3+BX4-CG3,IF(A4&lt;'Données projet'!$A$114,$BV$205^A4,IF(A4='Données projet'!$A$114,'Données projet'!$B$114,BY3+BX4-CG3)))</f>
        <v>1.2730870686066207</v>
      </c>
      <c r="BZ4" s="14">
        <f>BY4*VLOOKUP('Données projet'!$B$12,Paramètres!$A$1:$I$89,3,0)*VLOOKUP('Données projet'!$B$12,Paramètres!$A$1:$I$89,5,0)</f>
        <v>1.0128680717834275</v>
      </c>
      <c r="CA4" s="14">
        <f>EXP(-1.0587+0.8836*LN(BZ4)+0.284)</f>
        <v>0.46607798613582108</v>
      </c>
      <c r="CB4" s="22">
        <f t="shared" ref="CB4:CB67" si="10">(BZ4+CA4)*0.475*44/12</f>
        <v>2.5758310508760247</v>
      </c>
      <c r="CC4" s="62">
        <f t="shared" ref="CC4:CC67" si="11">CB4+(BT4+BU4)*44/12</f>
        <v>295.90916438420936</v>
      </c>
      <c r="CD4" s="62">
        <f ca="1">AVERAGE(OFFSET($CC$3,0,0,'Données projet'!$E$12+1,1))-AVERAGE(OFFSET($H$3,0,0,'Données projet'!$E$12+1,1))</f>
        <v>237.4598967324826</v>
      </c>
      <c r="CE4" s="62">
        <f>$CE$3</f>
        <v>218.74305466112406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6.2222222222222223</v>
      </c>
      <c r="N5" s="14">
        <f>IF('Données projet'!$A$36&gt;35,N4+M5-V4,IF(A5&lt;'Données projet'!$A$36,$K$205^A5,IF(A5='Données projet'!$A$36,'Données projet'!$B$36,N4+M5-V4)))</f>
        <v>1.6892381903525915</v>
      </c>
      <c r="O5" s="14">
        <f>N5*VLOOKUP('Données projet'!$B$9,Paramètres!$A$1:$I$89,3,0)*VLOOKUP('Données projet'!$B$9,Paramètres!$A$1:$I$89,5,0)</f>
        <v>1.0540846307800171</v>
      </c>
      <c r="P5" s="14">
        <f t="shared" ref="P5:P68" si="33">EXP(-1.0587+0.8836*LN(O5)+0.284)</f>
        <v>0.48279730809434274</v>
      </c>
      <c r="Q5" s="22">
        <f t="shared" si="2"/>
        <v>2.6767360435395098</v>
      </c>
      <c r="R5" s="62">
        <f t="shared" si="0"/>
        <v>296.01006937687282</v>
      </c>
      <c r="S5" s="62">
        <f ca="1">AVERAGE(OFFSET($R$3,0,0,'Données projet'!$E$9+1,1))-AVERAGE(OFFSET($H$3,0,0,'Données projet'!$E$9+1,1))</f>
        <v>205.33000726169792</v>
      </c>
      <c r="T5" s="62">
        <f t="shared" ref="T5:T68" si="34">$T$3</f>
        <v>307.23455947678775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2.8888888888888888</v>
      </c>
      <c r="AI5" s="14">
        <f>IF('Données projet'!$A$62&gt;35,AI4+AH5-AQ4,IF(A5&lt;'Données projet'!$A$62,$AF$205^A5,IF(A5='Données projet'!$A$62,'Données projet'!$B$62,AI4+AH5-AQ4)))</f>
        <v>5.7777777777777777</v>
      </c>
      <c r="AJ5" s="14">
        <f>AI5*VLOOKUP('Données projet'!$B$10,Paramètres!$A$1:$I$89,3,0)*VLOOKUP('Données projet'!$B$10,Paramètres!$A$1:$I$89,5,0)</f>
        <v>2.8542222222222224</v>
      </c>
      <c r="AK5" s="14">
        <f t="shared" ref="AK5:AK68" si="35">EXP(-1.0587+0.8836*LN(AJ5)+0.284)</f>
        <v>1.1641825089896534</v>
      </c>
      <c r="AL5" s="22">
        <f t="shared" si="4"/>
        <v>6.9987215735273489</v>
      </c>
      <c r="AM5" s="62">
        <f t="shared" si="5"/>
        <v>300.33205490686066</v>
      </c>
      <c r="AN5" s="62">
        <f ca="1">AVERAGE(OFFSET($AM$3,0,0,'Données projet'!$E$10+1,1))-AVERAGE(OFFSET($H$3,0,0,'Données projet'!$E$10+1,1))</f>
        <v>491.47342911047105</v>
      </c>
      <c r="AO5" s="62">
        <f t="shared" ref="AO5:AO68" si="36">$AO$3</f>
        <v>58.734453933891757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1.2241743829417828</v>
      </c>
      <c r="BF5" s="14">
        <f t="shared" ref="BF5:BF68" si="37">EXP(-1.0587+0.8836*LN(BE5)+0.284)</f>
        <v>0.55102384568700224</v>
      </c>
      <c r="BG5" s="22">
        <f t="shared" si="7"/>
        <v>3.0918035815284672</v>
      </c>
      <c r="BH5" s="62">
        <f t="shared" si="8"/>
        <v>296.42513691486181</v>
      </c>
      <c r="BI5" s="62">
        <f ca="1">AVERAGE(OFFSET($BH$3,0,0,'Données projet'!$E$11+1,1))-AVERAGE(OFFSET($H$3,0,0,'Données projet'!$E$11+1,1))</f>
        <v>278.21934231434597</v>
      </c>
      <c r="BJ5" s="62">
        <f t="shared" ref="BJ5:BJ68" si="38">$BJ$3</f>
        <v>143.57726487417773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2.4933333333333332</v>
      </c>
      <c r="BY5" s="13">
        <f>IF('Données projet'!$A$114&gt;35,BY4+BX5-CG4,IF(A5&lt;'Données projet'!$A$114,$BV$205^A5,IF(A5='Données projet'!$A$114,'Données projet'!$B$114,BY4+BX5-CG4)))</f>
        <v>1.6207506842533985</v>
      </c>
      <c r="BZ5" s="14">
        <f>BY5*VLOOKUP('Données projet'!$B$12,Paramètres!$A$1:$I$89,3,0)*VLOOKUP('Données projet'!$B$12,Paramètres!$A$1:$I$89,5,0)</f>
        <v>1.2894692443920039</v>
      </c>
      <c r="CA5" s="14">
        <f t="shared" ref="CA5:CA68" si="39">EXP(-1.0587+0.8836*LN(BZ5)+0.284)</f>
        <v>0.57691418040252707</v>
      </c>
      <c r="CB5" s="22">
        <f t="shared" si="10"/>
        <v>3.2506177981838085</v>
      </c>
      <c r="CC5" s="62">
        <f t="shared" si="11"/>
        <v>296.5839511315171</v>
      </c>
      <c r="CD5" s="62">
        <f ca="1">AVERAGE(OFFSET($CC$3,0,0,'Données projet'!$E$12+1,1))-AVERAGE(OFFSET($H$3,0,0,'Données projet'!$E$12+1,1))</f>
        <v>237.4598967324826</v>
      </c>
      <c r="CE5" s="62">
        <f t="shared" ref="CE5:CE68" si="40">$CE$3</f>
        <v>218.74305466112406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6.2222222222222223</v>
      </c>
      <c r="N6" s="14">
        <f>IF('Données projet'!$A$36&gt;35,N5+M6-V5,IF(A6&lt;'Données projet'!$A$36,$K$205^A6,IF(A6='Données projet'!$A$36,'Données projet'!$B$36,N5+M6-V5)))</f>
        <v>2.1955146386099229</v>
      </c>
      <c r="O6" s="14">
        <f>N6*VLOOKUP('Données projet'!$B$9,Paramètres!$A$1:$I$89,3,0)*VLOOKUP('Données projet'!$B$9,Paramètres!$A$1:$I$89,5,0)</f>
        <v>1.3700011344925918</v>
      </c>
      <c r="P6" s="14">
        <f t="shared" si="33"/>
        <v>0.60863745619068288</v>
      </c>
      <c r="Q6" s="22">
        <f t="shared" si="2"/>
        <v>3.4461288787733699</v>
      </c>
      <c r="R6" s="62">
        <f t="shared" si="0"/>
        <v>296.77946221210669</v>
      </c>
      <c r="S6" s="62">
        <f ca="1">AVERAGE(OFFSET($R$3,0,0,'Données projet'!$E$9+1,1))-AVERAGE(OFFSET($H$3,0,0,'Données projet'!$E$9+1,1))</f>
        <v>205.33000726169792</v>
      </c>
      <c r="T6" s="62">
        <f t="shared" si="34"/>
        <v>307.23455947678775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2.8888888888888888</v>
      </c>
      <c r="AI6" s="14">
        <f>IF('Données projet'!$A$62&gt;35,AI5+AH6-AQ5,IF(A6&lt;'Données projet'!$A$62,$AF$205^A6,IF(A6='Données projet'!$A$62,'Données projet'!$B$62,AI5+AH6-AQ5)))</f>
        <v>8.6666666666666661</v>
      </c>
      <c r="AJ6" s="14">
        <f>AI6*VLOOKUP('Données projet'!$B$10,Paramètres!$A$1:$I$89,3,0)*VLOOKUP('Données projet'!$B$10,Paramètres!$A$1:$I$89,5,0)</f>
        <v>4.2813333333333334</v>
      </c>
      <c r="AK6" s="14">
        <f t="shared" si="35"/>
        <v>1.6657710364677518</v>
      </c>
      <c r="AL6" s="22">
        <f t="shared" si="4"/>
        <v>10.357873444070224</v>
      </c>
      <c r="AM6" s="62">
        <f t="shared" si="5"/>
        <v>303.69120677740352</v>
      </c>
      <c r="AN6" s="62">
        <f ca="1">AVERAGE(OFFSET($AM$3,0,0,'Données projet'!$E$10+1,1))-AVERAGE(OFFSET($H$3,0,0,'Données projet'!$E$10+1,1))</f>
        <v>491.47342911047105</v>
      </c>
      <c r="AO6" s="62">
        <f t="shared" si="36"/>
        <v>58.734453933891757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1.4757260774621526</v>
      </c>
      <c r="BF6" s="14">
        <f t="shared" si="37"/>
        <v>0.64995837934402878</v>
      </c>
      <c r="BG6" s="22">
        <f t="shared" si="7"/>
        <v>3.7022337622707653</v>
      </c>
      <c r="BH6" s="62">
        <f t="shared" si="8"/>
        <v>297.03556709560405</v>
      </c>
      <c r="BI6" s="62">
        <f ca="1">AVERAGE(OFFSET($BH$3,0,0,'Données projet'!$E$11+1,1))-AVERAGE(OFFSET($H$3,0,0,'Données projet'!$E$11+1,1))</f>
        <v>278.21934231434597</v>
      </c>
      <c r="BJ6" s="62">
        <f t="shared" si="38"/>
        <v>143.57726487417773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2.4933333333333332</v>
      </c>
      <c r="BY6" s="13">
        <f>IF('Données projet'!$A$114&gt;35,BY5+BX6-CG5,IF(A6&lt;'Données projet'!$A$114,$BV$205^A6,IF(A6='Données projet'!$A$114,'Données projet'!$B$114,BY5+BX6-CG5)))</f>
        <v>2.0633567375583337</v>
      </c>
      <c r="BZ6" s="14">
        <f>BY6*VLOOKUP('Données projet'!$B$12,Paramètres!$A$1:$I$89,3,0)*VLOOKUP('Données projet'!$B$12,Paramètres!$A$1:$I$89,5,0)</f>
        <v>1.6416066204014104</v>
      </c>
      <c r="CA6" s="14">
        <f t="shared" si="39"/>
        <v>0.71410789921437878</v>
      </c>
      <c r="CB6" s="22">
        <f t="shared" si="10"/>
        <v>4.1028694549974993</v>
      </c>
      <c r="CC6" s="62">
        <f t="shared" si="11"/>
        <v>297.43620278833083</v>
      </c>
      <c r="CD6" s="62">
        <f ca="1">AVERAGE(OFFSET($CC$3,0,0,'Données projet'!$E$12+1,1))-AVERAGE(OFFSET($H$3,0,0,'Données projet'!$E$12+1,1))</f>
        <v>237.4598967324826</v>
      </c>
      <c r="CE6" s="62">
        <f t="shared" si="40"/>
        <v>218.74305466112406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6.2222222222222223</v>
      </c>
      <c r="N7" s="14">
        <f>IF('Données projet'!$A$36&gt;35,N6+M7-V6,IF(A7&lt;'Données projet'!$A$36,$K$205^A7,IF(A7='Données projet'!$A$36,'Données projet'!$B$36,N6+M7-V6)))</f>
        <v>2.8535256637456983</v>
      </c>
      <c r="O7" s="14">
        <f>N7*VLOOKUP('Données projet'!$B$9,Paramètres!$A$1:$I$89,3,0)*VLOOKUP('Données projet'!$B$9,Paramètres!$A$1:$I$89,5,0)</f>
        <v>1.7806000141773157</v>
      </c>
      <c r="P7" s="14">
        <f t="shared" si="33"/>
        <v>0.76727758599241935</v>
      </c>
      <c r="Q7" s="22">
        <f t="shared" si="2"/>
        <v>4.4375534869622877</v>
      </c>
      <c r="R7" s="62">
        <f t="shared" si="0"/>
        <v>297.77088682029563</v>
      </c>
      <c r="S7" s="62">
        <f ca="1">AVERAGE(OFFSET($R$3,0,0,'Données projet'!$E$9+1,1))-AVERAGE(OFFSET($H$3,0,0,'Données projet'!$E$9+1,1))</f>
        <v>205.33000726169792</v>
      </c>
      <c r="T7" s="62">
        <f t="shared" si="34"/>
        <v>307.23455947678775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2.8888888888888888</v>
      </c>
      <c r="AI7" s="14">
        <f>IF('Données projet'!$A$62&gt;35,AI6+AH7-AQ6,IF(A7&lt;'Données projet'!$A$62,$AF$205^A7,IF(A7='Données projet'!$A$62,'Données projet'!$B$62,AI6+AH7-AQ6)))</f>
        <v>11.555555555555555</v>
      </c>
      <c r="AJ7" s="14">
        <f>AI7*VLOOKUP('Données projet'!$B$10,Paramètres!$A$1:$I$89,3,0)*VLOOKUP('Données projet'!$B$10,Paramètres!$A$1:$I$89,5,0)</f>
        <v>5.7084444444444449</v>
      </c>
      <c r="AK7" s="14">
        <f t="shared" si="35"/>
        <v>2.1478857375565856</v>
      </c>
      <c r="AL7" s="22">
        <f t="shared" si="4"/>
        <v>13.683108400318462</v>
      </c>
      <c r="AM7" s="62">
        <f t="shared" si="5"/>
        <v>307.01644173365179</v>
      </c>
      <c r="AN7" s="62">
        <f ca="1">AVERAGE(OFFSET($AM$3,0,0,'Données projet'!$E$10+1,1))-AVERAGE(OFFSET($H$3,0,0,'Données projet'!$E$10+1,1))</f>
        <v>491.47342911047105</v>
      </c>
      <c r="AO7" s="62">
        <f t="shared" si="36"/>
        <v>58.734453933891757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1.7789683284079942</v>
      </c>
      <c r="BF7" s="14">
        <f t="shared" si="37"/>
        <v>0.76665628572357314</v>
      </c>
      <c r="BG7" s="22">
        <f t="shared" si="7"/>
        <v>4.4336295362791462</v>
      </c>
      <c r="BH7" s="62">
        <f t="shared" si="8"/>
        <v>297.76696286961248</v>
      </c>
      <c r="BI7" s="62">
        <f ca="1">AVERAGE(OFFSET($BH$3,0,0,'Données projet'!$E$11+1,1))-AVERAGE(OFFSET($H$3,0,0,'Données projet'!$E$11+1,1))</f>
        <v>278.21934231434597</v>
      </c>
      <c r="BJ7" s="62">
        <f t="shared" si="38"/>
        <v>143.57726487417773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2.4933333333333332</v>
      </c>
      <c r="BY7" s="13">
        <f>IF('Données projet'!$A$114&gt;35,BY6+BX7-CG6,IF(A7&lt;'Données projet'!$A$114,$BV$205^A7,IF(A7='Données projet'!$A$114,'Données projet'!$B$114,BY6+BX7-CG6)))</f>
        <v>2.6268327805078595</v>
      </c>
      <c r="BZ7" s="14">
        <f>BY7*VLOOKUP('Données projet'!$B$12,Paramètres!$A$1:$I$89,3,0)*VLOOKUP('Données projet'!$B$12,Paramètres!$A$1:$I$89,5,0)</f>
        <v>2.0899081601720533</v>
      </c>
      <c r="CA7" s="14">
        <f t="shared" si="39"/>
        <v>0.88392712303339283</v>
      </c>
      <c r="CB7" s="22">
        <f t="shared" si="10"/>
        <v>5.1794297849161515</v>
      </c>
      <c r="CC7" s="62">
        <f t="shared" si="11"/>
        <v>298.51276311824944</v>
      </c>
      <c r="CD7" s="62">
        <f ca="1">AVERAGE(OFFSET($CC$3,0,0,'Données projet'!$E$12+1,1))-AVERAGE(OFFSET($H$3,0,0,'Données projet'!$E$12+1,1))</f>
        <v>237.4598967324826</v>
      </c>
      <c r="CE7" s="62">
        <f t="shared" si="40"/>
        <v>218.74305466112406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6.2222222222222223</v>
      </c>
      <c r="N8" s="14">
        <f>IF('Données projet'!$A$36&gt;35,N7+M8-V7,IF(A8&lt;'Données projet'!$A$36,$K$205^A8,IF(A8='Données projet'!$A$36,'Données projet'!$B$36,N7+M8-V7)))</f>
        <v>3.7087471750180505</v>
      </c>
      <c r="O8" s="14">
        <f>N8*VLOOKUP('Données projet'!$B$9,Paramètres!$A$1:$I$89,3,0)*VLOOKUP('Données projet'!$B$9,Paramètres!$A$1:$I$89,5,0)</f>
        <v>2.3142582372112632</v>
      </c>
      <c r="P8" s="14">
        <f t="shared" si="33"/>
        <v>0.96726694681425085</v>
      </c>
      <c r="Q8" s="22">
        <f t="shared" si="2"/>
        <v>5.7153230288444377</v>
      </c>
      <c r="R8" s="62">
        <f t="shared" si="0"/>
        <v>299.04865636217778</v>
      </c>
      <c r="S8" s="62">
        <f ca="1">AVERAGE(OFFSET($R$3,0,0,'Données projet'!$E$9+1,1))-AVERAGE(OFFSET($H$3,0,0,'Données projet'!$E$9+1,1))</f>
        <v>205.33000726169792</v>
      </c>
      <c r="T8" s="62">
        <f t="shared" si="34"/>
        <v>307.23455947678775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2.8888888888888888</v>
      </c>
      <c r="AI8" s="14">
        <f>IF('Données projet'!$A$62&gt;35,AI7+AH8-AQ7,IF(A8&lt;'Données projet'!$A$62,$AF$205^A8,IF(A8='Données projet'!$A$62,'Données projet'!$B$62,AI7+AH8-AQ7)))</f>
        <v>14.444444444444445</v>
      </c>
      <c r="AJ8" s="14">
        <f>AI8*VLOOKUP('Données projet'!$B$10,Paramètres!$A$1:$I$89,3,0)*VLOOKUP('Données projet'!$B$10,Paramètres!$A$1:$I$89,5,0)</f>
        <v>7.1355555555555554</v>
      </c>
      <c r="AK8" s="14">
        <f t="shared" si="35"/>
        <v>2.6160188058950142</v>
      </c>
      <c r="AL8" s="22">
        <f t="shared" si="4"/>
        <v>16.983992012859741</v>
      </c>
      <c r="AM8" s="62">
        <f t="shared" si="5"/>
        <v>310.31732534619306</v>
      </c>
      <c r="AN8" s="62">
        <f ca="1">AVERAGE(OFFSET($AM$3,0,0,'Données projet'!$E$10+1,1))-AVERAGE(OFFSET($H$3,0,0,'Données projet'!$E$10+1,1))</f>
        <v>491.47342911047105</v>
      </c>
      <c r="AO8" s="62">
        <f t="shared" si="36"/>
        <v>58.734453933891757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2.1445228635663907</v>
      </c>
      <c r="BF8" s="14">
        <f t="shared" si="37"/>
        <v>0.90430692044106609</v>
      </c>
      <c r="BG8" s="22">
        <f t="shared" si="7"/>
        <v>5.3100452071463202</v>
      </c>
      <c r="BH8" s="62">
        <f t="shared" si="8"/>
        <v>298.64337854047966</v>
      </c>
      <c r="BI8" s="62">
        <f ca="1">AVERAGE(OFFSET($BH$3,0,0,'Données projet'!$E$11+1,1))-AVERAGE(OFFSET($H$3,0,0,'Données projet'!$E$11+1,1))</f>
        <v>278.21934231434597</v>
      </c>
      <c r="BJ8" s="62">
        <f t="shared" si="38"/>
        <v>143.57726487417773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2.4933333333333332</v>
      </c>
      <c r="BY8" s="13">
        <f>IF('Données projet'!$A$114&gt;35,BY7+BX8-CG7,IF(A8&lt;'Données projet'!$A$114,$BV$205^A8,IF(A8='Données projet'!$A$114,'Données projet'!$B$114,BY7+BX8-CG7)))</f>
        <v>3.3441868442565297</v>
      </c>
      <c r="BZ8" s="14">
        <f>BY8*VLOOKUP('Données projet'!$B$12,Paramètres!$A$1:$I$89,3,0)*VLOOKUP('Données projet'!$B$12,Paramètres!$A$1:$I$89,5,0)</f>
        <v>2.6606350532904952</v>
      </c>
      <c r="CA8" s="14">
        <f t="shared" si="39"/>
        <v>1.0941303963920053</v>
      </c>
      <c r="CB8" s="22">
        <f t="shared" si="10"/>
        <v>6.5395498248636885</v>
      </c>
      <c r="CC8" s="62">
        <f t="shared" si="11"/>
        <v>299.872883158197</v>
      </c>
      <c r="CD8" s="62">
        <f ca="1">AVERAGE(OFFSET($CC$3,0,0,'Données projet'!$E$12+1,1))-AVERAGE(OFFSET($H$3,0,0,'Données projet'!$E$12+1,1))</f>
        <v>237.4598967324826</v>
      </c>
      <c r="CE8" s="62">
        <f t="shared" si="40"/>
        <v>218.74305466112406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6.2222222222222223</v>
      </c>
      <c r="N9" s="14">
        <f>IF('Données projet'!$A$36&gt;35,N8+M9-V8,IF(A9&lt;'Données projet'!$A$36,$K$205^A9,IF(A9='Données projet'!$A$36,'Données projet'!$B$36,N8+M9-V8)))</f>
        <v>4.8202845283504612</v>
      </c>
      <c r="O9" s="14">
        <f>N9*VLOOKUP('Données projet'!$B$9,Paramètres!$A$1:$I$89,3,0)*VLOOKUP('Données projet'!$B$9,Paramètres!$A$1:$I$89,5,0)</f>
        <v>3.0078575456906878</v>
      </c>
      <c r="P9" s="14">
        <f t="shared" si="33"/>
        <v>1.2193831326236693</v>
      </c>
      <c r="Q9" s="22">
        <f t="shared" si="2"/>
        <v>7.3624441813975059</v>
      </c>
      <c r="R9" s="62">
        <f t="shared" si="0"/>
        <v>300.69577751473082</v>
      </c>
      <c r="S9" s="62">
        <f ca="1">AVERAGE(OFFSET($R$3,0,0,'Données projet'!$E$9+1,1))-AVERAGE(OFFSET($H$3,0,0,'Données projet'!$E$9+1,1))</f>
        <v>205.33000726169792</v>
      </c>
      <c r="T9" s="62">
        <f t="shared" si="34"/>
        <v>307.23455947678775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2.8888888888888888</v>
      </c>
      <c r="AI9" s="14">
        <f>IF('Données projet'!$A$62&gt;35,AI8+AH9-AQ8,IF(A9&lt;'Données projet'!$A$62,$AF$205^A9,IF(A9='Données projet'!$A$62,'Données projet'!$B$62,AI8+AH9-AQ8)))</f>
        <v>17.333333333333332</v>
      </c>
      <c r="AJ9" s="14">
        <f>AI9*VLOOKUP('Données projet'!$B$10,Paramètres!$A$1:$I$89,3,0)*VLOOKUP('Données projet'!$B$10,Paramètres!$A$1:$I$89,5,0)</f>
        <v>8.5626666666666669</v>
      </c>
      <c r="AK9" s="14">
        <f t="shared" si="35"/>
        <v>3.073303218040131</v>
      </c>
      <c r="AL9" s="22">
        <f t="shared" si="4"/>
        <v>20.265980882531007</v>
      </c>
      <c r="AM9" s="62">
        <f t="shared" si="5"/>
        <v>313.5993142158643</v>
      </c>
      <c r="AN9" s="62">
        <f ca="1">AVERAGE(OFFSET($AM$3,0,0,'Données projet'!$E$10+1,1))-AVERAGE(OFFSET($H$3,0,0,'Données projet'!$E$10+1,1))</f>
        <v>491.47342911047105</v>
      </c>
      <c r="AO9" s="62">
        <f t="shared" si="36"/>
        <v>58.734453933891757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2.5851940357334171</v>
      </c>
      <c r="BF9" s="14">
        <f t="shared" si="37"/>
        <v>1.0666722775067177</v>
      </c>
      <c r="BG9" s="22">
        <f t="shared" si="7"/>
        <v>6.3603338288932347</v>
      </c>
      <c r="BH9" s="62">
        <f t="shared" si="8"/>
        <v>299.69366716222657</v>
      </c>
      <c r="BI9" s="62">
        <f ca="1">AVERAGE(OFFSET($BH$3,0,0,'Données projet'!$E$11+1,1))-AVERAGE(OFFSET($H$3,0,0,'Données projet'!$E$11+1,1))</f>
        <v>278.21934231434597</v>
      </c>
      <c r="BJ9" s="62">
        <f t="shared" si="38"/>
        <v>143.57726487417773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2.4933333333333332</v>
      </c>
      <c r="BY9" s="13">
        <f>IF('Données projet'!$A$114&gt;35,BY8+BX9-CG8,IF(A9&lt;'Données projet'!$A$114,$BV$205^A9,IF(A9='Données projet'!$A$114,'Données projet'!$B$114,BY8+BX9-CG8)))</f>
        <v>4.2574410264273705</v>
      </c>
      <c r="BZ9" s="14">
        <f>BY9*VLOOKUP('Données projet'!$B$12,Paramètres!$A$1:$I$89,3,0)*VLOOKUP('Données projet'!$B$12,Paramètres!$A$1:$I$89,5,0)</f>
        <v>3.3872200806256161</v>
      </c>
      <c r="CA9" s="14">
        <f t="shared" si="39"/>
        <v>1.3543212931409303</v>
      </c>
      <c r="CB9" s="22">
        <f t="shared" si="10"/>
        <v>8.2581845593100685</v>
      </c>
      <c r="CC9" s="62">
        <f t="shared" si="11"/>
        <v>301.59151789264337</v>
      </c>
      <c r="CD9" s="62">
        <f ca="1">AVERAGE(OFFSET($CC$3,0,0,'Données projet'!$E$12+1,1))-AVERAGE(OFFSET($H$3,0,0,'Données projet'!$E$12+1,1))</f>
        <v>237.4598967324826</v>
      </c>
      <c r="CE9" s="62">
        <f t="shared" si="40"/>
        <v>218.74305466112406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6.2222222222222223</v>
      </c>
      <c r="N10" s="14">
        <f>IF('Données projet'!$A$36&gt;35,N9+M10-V9,IF(A10&lt;'Données projet'!$A$36,$K$205^A10,IF(A10='Données projet'!$A$36,'Données projet'!$B$36,N9+M10-V9)))</f>
        <v>6.2649573664027773</v>
      </c>
      <c r="O10" s="14">
        <f>N10*VLOOKUP('Données projet'!$B$9,Paramètres!$A$1:$I$89,3,0)*VLOOKUP('Données projet'!$B$9,Paramètres!$A$1:$I$89,5,0)</f>
        <v>3.9093333966353332</v>
      </c>
      <c r="P10" s="14">
        <f t="shared" si="33"/>
        <v>1.5372128955964925</v>
      </c>
      <c r="Q10" s="22">
        <f t="shared" si="2"/>
        <v>9.4860681256370967</v>
      </c>
      <c r="R10" s="62">
        <f t="shared" si="0"/>
        <v>302.81940145897039</v>
      </c>
      <c r="S10" s="62">
        <f ca="1">AVERAGE(OFFSET($R$3,0,0,'Données projet'!$E$9+1,1))-AVERAGE(OFFSET($H$3,0,0,'Données projet'!$E$9+1,1))</f>
        <v>205.33000726169792</v>
      </c>
      <c r="T10" s="62">
        <f t="shared" si="34"/>
        <v>307.23455947678775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2.8888888888888888</v>
      </c>
      <c r="AI10" s="14">
        <f>IF('Données projet'!$A$62&gt;35,AI9+AH10-AQ9,IF(A10&lt;'Données projet'!$A$62,$AF$205^A10,IF(A10='Données projet'!$A$62,'Données projet'!$B$62,AI9+AH10-AQ9)))</f>
        <v>20.222222222222221</v>
      </c>
      <c r="AJ10" s="14">
        <f>AI10*VLOOKUP('Données projet'!$B$10,Paramètres!$A$1:$I$89,3,0)*VLOOKUP('Données projet'!$B$10,Paramètres!$A$1:$I$89,5,0)</f>
        <v>9.9897777777777783</v>
      </c>
      <c r="AK10" s="14">
        <f t="shared" si="35"/>
        <v>3.5217586828399909</v>
      </c>
      <c r="AL10" s="22">
        <f t="shared" si="4"/>
        <v>23.532592668909277</v>
      </c>
      <c r="AM10" s="62">
        <f t="shared" si="5"/>
        <v>316.86592600224259</v>
      </c>
      <c r="AN10" s="62">
        <f ca="1">AVERAGE(OFFSET($AM$3,0,0,'Données projet'!$E$10+1,1))-AVERAGE(OFFSET($H$3,0,0,'Données projet'!$E$10+1,1))</f>
        <v>491.47342911047105</v>
      </c>
      <c r="AO10" s="62">
        <f t="shared" si="36"/>
        <v>58.734453933891757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3.1164173233748005</v>
      </c>
      <c r="BF10" s="14">
        <f t="shared" si="37"/>
        <v>1.2581898046809412</v>
      </c>
      <c r="BG10" s="22">
        <f t="shared" si="7"/>
        <v>7.6191074146970825</v>
      </c>
      <c r="BH10" s="62">
        <f t="shared" si="8"/>
        <v>300.95244074803037</v>
      </c>
      <c r="BI10" s="62">
        <f ca="1">AVERAGE(OFFSET($BH$3,0,0,'Données projet'!$E$11+1,1))-AVERAGE(OFFSET($H$3,0,0,'Données projet'!$E$11+1,1))</f>
        <v>278.21934231434597</v>
      </c>
      <c r="BJ10" s="62">
        <f t="shared" si="38"/>
        <v>143.57726487417773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2.4933333333333332</v>
      </c>
      <c r="BY10" s="13">
        <f>IF('Données projet'!$A$114&gt;35,BY9+BX10-CG9,IF(A10&lt;'Données projet'!$A$114,$BV$205^A10,IF(A10='Données projet'!$A$114,'Données projet'!$B$114,BY9+BX10-CG9)))</f>
        <v>5.4200931160999835</v>
      </c>
      <c r="BZ10" s="14">
        <f>BY10*VLOOKUP('Données projet'!$B$12,Paramètres!$A$1:$I$89,3,0)*VLOOKUP('Données projet'!$B$12,Paramètres!$A$1:$I$89,5,0)</f>
        <v>4.312226083169147</v>
      </c>
      <c r="CA10" s="14">
        <f t="shared" si="39"/>
        <v>1.6763871756998234</v>
      </c>
      <c r="CB10" s="22">
        <f t="shared" si="10"/>
        <v>10.430168092530124</v>
      </c>
      <c r="CC10" s="62">
        <f t="shared" si="11"/>
        <v>303.76350142586341</v>
      </c>
      <c r="CD10" s="62">
        <f ca="1">AVERAGE(OFFSET($CC$3,0,0,'Données projet'!$E$12+1,1))-AVERAGE(OFFSET($H$3,0,0,'Données projet'!$E$12+1,1))</f>
        <v>237.4598967324826</v>
      </c>
      <c r="CE10" s="62">
        <f t="shared" si="40"/>
        <v>218.74305466112406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6.2222222222222223</v>
      </c>
      <c r="N11" s="14">
        <f>IF('Données projet'!$A$36&gt;35,N10+M11-V10,IF(A11&lt;'Données projet'!$A$36,$K$205^A11,IF(A11='Données projet'!$A$36,'Données projet'!$B$36,N10+M11-V10)))</f>
        <v>8.1426087136553278</v>
      </c>
      <c r="O11" s="14">
        <f>N11*VLOOKUP('Données projet'!$B$9,Paramètres!$A$1:$I$89,3,0)*VLOOKUP('Données projet'!$B$9,Paramètres!$A$1:$I$89,5,0)</f>
        <v>5.080987837320925</v>
      </c>
      <c r="P11" s="14">
        <f t="shared" si="33"/>
        <v>1.9378843475584122</v>
      </c>
      <c r="Q11" s="22">
        <f t="shared" si="2"/>
        <v>12.224535721998178</v>
      </c>
      <c r="R11" s="62">
        <f t="shared" si="0"/>
        <v>305.55786905533148</v>
      </c>
      <c r="S11" s="62">
        <f ca="1">AVERAGE(OFFSET($R$3,0,0,'Données projet'!$E$9+1,1))-AVERAGE(OFFSET($H$3,0,0,'Données projet'!$E$9+1,1))</f>
        <v>205.33000726169792</v>
      </c>
      <c r="T11" s="62">
        <f t="shared" si="34"/>
        <v>307.23455947678775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2.8888888888888888</v>
      </c>
      <c r="AI11" s="14">
        <f>IF('Données projet'!$A$62&gt;35,AI10+AH11-AQ10,IF(A11&lt;'Données projet'!$A$62,$AF$205^A11,IF(A11='Données projet'!$A$62,'Données projet'!$B$62,AI10+AH11-AQ10)))</f>
        <v>23.111111111111111</v>
      </c>
      <c r="AJ11" s="14">
        <f>AI11*VLOOKUP('Données projet'!$B$10,Paramètres!$A$1:$I$89,3,0)*VLOOKUP('Données projet'!$B$10,Paramètres!$A$1:$I$89,5,0)</f>
        <v>11.41688888888889</v>
      </c>
      <c r="AK11" s="14">
        <f t="shared" si="35"/>
        <v>3.962792007245318</v>
      </c>
      <c r="AL11" s="22">
        <f t="shared" si="4"/>
        <v>26.786277560767076</v>
      </c>
      <c r="AM11" s="62">
        <f t="shared" si="5"/>
        <v>320.11961089410039</v>
      </c>
      <c r="AN11" s="62">
        <f ca="1">AVERAGE(OFFSET($AM$3,0,0,'Données projet'!$E$10+1,1))-AVERAGE(OFFSET($H$3,0,0,'Données projet'!$E$10+1,1))</f>
        <v>491.47342911047105</v>
      </c>
      <c r="AO11" s="62">
        <f t="shared" si="36"/>
        <v>58.734453933891757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3.7567999922587045</v>
      </c>
      <c r="BF11" s="14">
        <f t="shared" si="37"/>
        <v>1.4840936789913857</v>
      </c>
      <c r="BG11" s="22">
        <f t="shared" si="7"/>
        <v>9.127889810760573</v>
      </c>
      <c r="BH11" s="62">
        <f t="shared" si="8"/>
        <v>302.46122314409388</v>
      </c>
      <c r="BI11" s="62">
        <f ca="1">AVERAGE(OFFSET($BH$3,0,0,'Données projet'!$E$11+1,1))-AVERAGE(OFFSET($H$3,0,0,'Données projet'!$E$11+1,1))</f>
        <v>278.21934231434597</v>
      </c>
      <c r="BJ11" s="62">
        <f t="shared" si="38"/>
        <v>143.57726487417773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2.4933333333333332</v>
      </c>
      <c r="BY11" s="13">
        <f>IF('Données projet'!$A$114&gt;35,BY10+BX11-CG10,IF(A11&lt;'Données projet'!$A$114,$BV$205^A11,IF(A11='Données projet'!$A$114,'Données projet'!$B$114,BY10+BX11-CG10)))</f>
        <v>6.9002504567506522</v>
      </c>
      <c r="BZ11" s="14">
        <f>BY11*VLOOKUP('Données projet'!$B$12,Paramètres!$A$1:$I$89,3,0)*VLOOKUP('Données projet'!$B$12,Paramètres!$A$1:$I$89,5,0)</f>
        <v>5.4898392633908193</v>
      </c>
      <c r="CA11" s="14">
        <f t="shared" si="39"/>
        <v>2.0750422939399171</v>
      </c>
      <c r="CB11" s="22">
        <f t="shared" si="10"/>
        <v>13.175502045684366</v>
      </c>
      <c r="CC11" s="62">
        <f t="shared" si="11"/>
        <v>306.50883537901768</v>
      </c>
      <c r="CD11" s="62">
        <f ca="1">AVERAGE(OFFSET($CC$3,0,0,'Données projet'!$E$12+1,1))-AVERAGE(OFFSET($H$3,0,0,'Données projet'!$E$12+1,1))</f>
        <v>237.4598967324826</v>
      </c>
      <c r="CE11" s="62">
        <f t="shared" si="40"/>
        <v>218.74305466112406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6.2222222222222223</v>
      </c>
      <c r="N12" s="14">
        <f>IF('Données projet'!$A$36&gt;35,N11+M12-V11,IF(A12&lt;'Données projet'!$A$36,$K$205^A12,IF(A12='Données projet'!$A$36,'Données projet'!$B$36,N11+M12-V11)))</f>
        <v>10.583005244258365</v>
      </c>
      <c r="O12" s="14">
        <f>N12*VLOOKUP('Données projet'!$B$9,Paramètres!$A$1:$I$89,3,0)*VLOOKUP('Données projet'!$B$9,Paramètres!$A$1:$I$89,5,0)</f>
        <v>6.6037952724172193</v>
      </c>
      <c r="P12" s="14">
        <f t="shared" si="33"/>
        <v>2.4429900082608067</v>
      </c>
      <c r="Q12" s="22">
        <f t="shared" si="2"/>
        <v>15.75648436384756</v>
      </c>
      <c r="R12" s="62">
        <f t="shared" si="0"/>
        <v>309.08981769718088</v>
      </c>
      <c r="S12" s="62">
        <f ca="1">AVERAGE(OFFSET($R$3,0,0,'Données projet'!$E$9+1,1))-AVERAGE(OFFSET($H$3,0,0,'Données projet'!$E$9+1,1))</f>
        <v>205.33000726169792</v>
      </c>
      <c r="T12" s="62">
        <f t="shared" si="34"/>
        <v>307.23455947678775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2.8888888888888888</v>
      </c>
      <c r="AI12" s="14">
        <f>IF('Données projet'!$A$62&gt;35,AI11+AH12-AQ11,IF(A12&lt;'Données projet'!$A$62,$AF$205^A12,IF(A12='Données projet'!$A$62,'Données projet'!$B$62,AI11+AH12-AQ11)))</f>
        <v>26</v>
      </c>
      <c r="AJ12" s="14">
        <f>AI12*VLOOKUP('Données projet'!$B$10,Paramètres!$A$1:$I$89,3,0)*VLOOKUP('Données projet'!$B$10,Paramètres!$A$1:$I$89,5,0)</f>
        <v>12.844000000000001</v>
      </c>
      <c r="AK12" s="14">
        <f t="shared" si="35"/>
        <v>4.3974372122609209</v>
      </c>
      <c r="AL12" s="22">
        <f t="shared" si="4"/>
        <v>30.028836478021105</v>
      </c>
      <c r="AM12" s="62">
        <f t="shared" si="5"/>
        <v>323.36216981135442</v>
      </c>
      <c r="AN12" s="62">
        <f ca="1">AVERAGE(OFFSET($AM$3,0,0,'Données projet'!$E$10+1,1))-AVERAGE(OFFSET($H$3,0,0,'Données projet'!$E$10+1,1))</f>
        <v>491.47342911047105</v>
      </c>
      <c r="AO12" s="62">
        <f t="shared" si="36"/>
        <v>58.734453933891757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4.5287728559252471</v>
      </c>
      <c r="BF12" s="14">
        <f t="shared" si="37"/>
        <v>1.7505578568733651</v>
      </c>
      <c r="BG12" s="22">
        <f t="shared" si="7"/>
        <v>10.93650099145758</v>
      </c>
      <c r="BH12" s="62">
        <f t="shared" si="8"/>
        <v>304.26983432479091</v>
      </c>
      <c r="BI12" s="62">
        <f ca="1">AVERAGE(OFFSET($BH$3,0,0,'Données projet'!$E$11+1,1))-AVERAGE(OFFSET($H$3,0,0,'Données projet'!$E$11+1,1))</f>
        <v>278.21934231434597</v>
      </c>
      <c r="BJ12" s="62">
        <f t="shared" si="38"/>
        <v>143.57726487417773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2.4933333333333332</v>
      </c>
      <c r="BY12" s="13">
        <f>IF('Données projet'!$A$114&gt;35,BY11+BX12-CG11,IF(A12&lt;'Données projet'!$A$114,$BV$205^A12,IF(A12='Données projet'!$A$114,'Données projet'!$B$114,BY11+BX12-CG11)))</f>
        <v>8.784619626636184</v>
      </c>
      <c r="BZ12" s="14">
        <f>BY12*VLOOKUP('Données projet'!$B$12,Paramètres!$A$1:$I$89,3,0)*VLOOKUP('Données projet'!$B$12,Paramètres!$A$1:$I$89,5,0)</f>
        <v>6.9890433749517484</v>
      </c>
      <c r="CA12" s="14">
        <f t="shared" si="39"/>
        <v>2.5685000363009434</v>
      </c>
      <c r="CB12" s="22">
        <f t="shared" si="10"/>
        <v>16.646054774598436</v>
      </c>
      <c r="CC12" s="62">
        <f t="shared" si="11"/>
        <v>309.97938810793175</v>
      </c>
      <c r="CD12" s="62">
        <f ca="1">AVERAGE(OFFSET($CC$3,0,0,'Données projet'!$E$12+1,1))-AVERAGE(OFFSET($H$3,0,0,'Données projet'!$E$12+1,1))</f>
        <v>237.4598967324826</v>
      </c>
      <c r="CE12" s="62">
        <f t="shared" si="40"/>
        <v>218.74305466112406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6.2222222222222223</v>
      </c>
      <c r="N13" s="14">
        <f>IF('Données projet'!$A$36&gt;35,N12+M13-V12,IF(A13&lt;'Données projet'!$A$36,$K$205^A13,IF(A13='Données projet'!$A$36,'Données projet'!$B$36,N12+M13-V12)))</f>
        <v>13.754805608204368</v>
      </c>
      <c r="O13" s="14">
        <f>N13*VLOOKUP('Données projet'!$B$9,Paramètres!$A$1:$I$89,3,0)*VLOOKUP('Données projet'!$B$9,Paramètres!$A$1:$I$89,5,0)</f>
        <v>8.5829986995195267</v>
      </c>
      <c r="P13" s="14">
        <f t="shared" si="33"/>
        <v>3.0797504443346257</v>
      </c>
      <c r="Q13" s="22">
        <f t="shared" si="2"/>
        <v>20.312621425545984</v>
      </c>
      <c r="R13" s="62">
        <f t="shared" si="0"/>
        <v>313.64595475887927</v>
      </c>
      <c r="S13" s="62">
        <f ca="1">AVERAGE(OFFSET($R$3,0,0,'Données projet'!$E$9+1,1))-AVERAGE(OFFSET($H$3,0,0,'Données projet'!$E$9+1,1))</f>
        <v>205.33000726169792</v>
      </c>
      <c r="T13" s="62">
        <f t="shared" si="34"/>
        <v>307.23455947678775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2.8888888888888888</v>
      </c>
      <c r="AI13" s="14">
        <f>IF('Données projet'!$A$62&gt;35,AI12+AH13-AQ12,IF(A13&lt;'Données projet'!$A$62,$AF$205^A13,IF(A13='Données projet'!$A$62,'Données projet'!$B$62,AI12+AH13-AQ12)))</f>
        <v>28.888888888888889</v>
      </c>
      <c r="AJ13" s="14">
        <f>AI13*VLOOKUP('Données projet'!$B$10,Paramètres!$A$1:$I$89,3,0)*VLOOKUP('Données projet'!$B$10,Paramètres!$A$1:$I$89,5,0)</f>
        <v>14.271111111111111</v>
      </c>
      <c r="AK13" s="14">
        <f t="shared" si="35"/>
        <v>4.8264850562289698</v>
      </c>
      <c r="AL13" s="22">
        <f t="shared" si="4"/>
        <v>33.261646658117307</v>
      </c>
      <c r="AM13" s="62">
        <f t="shared" si="5"/>
        <v>326.5949799914506</v>
      </c>
      <c r="AN13" s="62">
        <f ca="1">AVERAGE(OFFSET($AM$3,0,0,'Données projet'!$E$10+1,1))-AVERAGE(OFFSET($H$3,0,0,'Données projet'!$E$10+1,1))</f>
        <v>491.47342911047105</v>
      </c>
      <c r="AO13" s="62">
        <f t="shared" si="36"/>
        <v>58.734453933891757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5.4593759643387862</v>
      </c>
      <c r="BF13" s="14">
        <f t="shared" si="37"/>
        <v>2.0648648084962673</v>
      </c>
      <c r="BG13" s="22">
        <f t="shared" si="7"/>
        <v>13.104719346021051</v>
      </c>
      <c r="BH13" s="62">
        <f t="shared" si="8"/>
        <v>306.43805267935437</v>
      </c>
      <c r="BI13" s="62">
        <f ca="1">AVERAGE(OFFSET($BH$3,0,0,'Données projet'!$E$11+1,1))-AVERAGE(OFFSET($H$3,0,0,'Données projet'!$E$11+1,1))</f>
        <v>278.21934231434597</v>
      </c>
      <c r="BJ13" s="62">
        <f t="shared" si="38"/>
        <v>143.57726487417773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2.4933333333333332</v>
      </c>
      <c r="BY13" s="13">
        <f>IF('Données projet'!$A$114&gt;35,BY12+BX13-CG12,IF(A13&lt;'Données projet'!$A$114,$BV$205^A13,IF(A13='Données projet'!$A$114,'Données projet'!$B$114,BY12+BX13-CG12)))</f>
        <v>11.183585649298445</v>
      </c>
      <c r="BZ13" s="14">
        <f>BY13*VLOOKUP('Données projet'!$B$12,Paramètres!$A$1:$I$89,3,0)*VLOOKUP('Données projet'!$B$12,Paramètres!$A$1:$I$89,5,0)</f>
        <v>8.8976607425818433</v>
      </c>
      <c r="CA13" s="14">
        <f t="shared" si="39"/>
        <v>3.1793050463331762</v>
      </c>
      <c r="CB13" s="22">
        <f t="shared" si="10"/>
        <v>21.03404874902699</v>
      </c>
      <c r="CC13" s="62">
        <f t="shared" si="11"/>
        <v>314.36738208236028</v>
      </c>
      <c r="CD13" s="62">
        <f ca="1">AVERAGE(OFFSET($CC$3,0,0,'Données projet'!$E$12+1,1))-AVERAGE(OFFSET($H$3,0,0,'Données projet'!$E$12+1,1))</f>
        <v>237.4598967324826</v>
      </c>
      <c r="CE13" s="62">
        <f t="shared" si="40"/>
        <v>218.74305466112406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6.2222222222222223</v>
      </c>
      <c r="N14" s="14">
        <f>IF('Données projet'!$A$36&gt;35,N13+M14-V13,IF(A14&lt;'Données projet'!$A$36,$K$205^A14,IF(A14='Données projet'!$A$36,'Données projet'!$B$36,N13+M14-V13)))</f>
        <v>17.877216627302985</v>
      </c>
      <c r="O14" s="14">
        <f>N14*VLOOKUP('Données projet'!$B$9,Paramètres!$A$1:$I$89,3,0)*VLOOKUP('Données projet'!$B$9,Paramètres!$A$1:$I$89,5,0)</f>
        <v>11.155383175437063</v>
      </c>
      <c r="P14" s="14">
        <f t="shared" si="33"/>
        <v>3.8824812083990929</v>
      </c>
      <c r="Q14" s="22">
        <f t="shared" si="2"/>
        <v>26.1909471351813</v>
      </c>
      <c r="R14" s="62">
        <f t="shared" si="0"/>
        <v>319.52428046851463</v>
      </c>
      <c r="S14" s="62">
        <f ca="1">AVERAGE(OFFSET($R$3,0,0,'Données projet'!$E$9+1,1))-AVERAGE(OFFSET($H$3,0,0,'Données projet'!$E$9+1,1))</f>
        <v>205.33000726169792</v>
      </c>
      <c r="T14" s="62">
        <f t="shared" si="34"/>
        <v>307.23455947678775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2.8888888888888888</v>
      </c>
      <c r="AI14" s="14">
        <f>IF('Données projet'!$A$62&gt;35,AI13+AH14-AQ13,IF(A14&lt;'Données projet'!$A$62,$AF$205^A14,IF(A14='Données projet'!$A$62,'Données projet'!$B$62,AI13+AH14-AQ13)))</f>
        <v>31.777777777777779</v>
      </c>
      <c r="AJ14" s="14">
        <f>AI14*VLOOKUP('Données projet'!$B$10,Paramètres!$A$1:$I$89,3,0)*VLOOKUP('Données projet'!$B$10,Paramètres!$A$1:$I$89,5,0)</f>
        <v>15.698222222222224</v>
      </c>
      <c r="AK14" s="14">
        <f t="shared" si="35"/>
        <v>5.2505589940088448</v>
      </c>
      <c r="AL14" s="22">
        <f t="shared" si="4"/>
        <v>36.485793951602439</v>
      </c>
      <c r="AM14" s="62">
        <f t="shared" si="5"/>
        <v>329.81912728493575</v>
      </c>
      <c r="AN14" s="62">
        <f ca="1">AVERAGE(OFFSET($AM$3,0,0,'Données projet'!$E$10+1,1))-AVERAGE(OFFSET($H$3,0,0,'Données projet'!$E$10+1,1))</f>
        <v>491.47342911047105</v>
      </c>
      <c r="AO14" s="62">
        <f t="shared" si="36"/>
        <v>58.734453933891757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6.5812057411986977</v>
      </c>
      <c r="BF14" s="14">
        <f t="shared" si="37"/>
        <v>2.4356045477877388</v>
      </c>
      <c r="BG14" s="22">
        <f t="shared" si="7"/>
        <v>15.70427791998471</v>
      </c>
      <c r="BH14" s="62">
        <f t="shared" si="8"/>
        <v>309.037611253318</v>
      </c>
      <c r="BI14" s="62">
        <f ca="1">AVERAGE(OFFSET($BH$3,0,0,'Données projet'!$E$11+1,1))-AVERAGE(OFFSET($H$3,0,0,'Données projet'!$E$11+1,1))</f>
        <v>278.21934231434597</v>
      </c>
      <c r="BJ14" s="62">
        <f t="shared" si="38"/>
        <v>143.57726487417773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2.4933333333333332</v>
      </c>
      <c r="BY14" s="13">
        <f>IF('Données projet'!$A$114&gt;35,BY13+BX14-CG13,IF(A14&lt;'Données projet'!$A$114,$BV$205^A14,IF(A14='Données projet'!$A$114,'Données projet'!$B$114,BY13+BX14-CG13)))</f>
        <v>14.237678270776428</v>
      </c>
      <c r="BZ14" s="14">
        <f>BY14*VLOOKUP('Données projet'!$B$12,Paramètres!$A$1:$I$89,3,0)*VLOOKUP('Données projet'!$B$12,Paramètres!$A$1:$I$89,5,0)</f>
        <v>11.327496832229725</v>
      </c>
      <c r="CA14" s="14">
        <f t="shared" si="39"/>
        <v>3.9353632216399443</v>
      </c>
      <c r="CB14" s="22">
        <f t="shared" si="10"/>
        <v>26.582814593823006</v>
      </c>
      <c r="CC14" s="62">
        <f t="shared" si="11"/>
        <v>319.91614792715632</v>
      </c>
      <c r="CD14" s="62">
        <f ca="1">AVERAGE(OFFSET($CC$3,0,0,'Données projet'!$E$12+1,1))-AVERAGE(OFFSET($H$3,0,0,'Données projet'!$E$12+1,1))</f>
        <v>237.4598967324826</v>
      </c>
      <c r="CE14" s="62">
        <f t="shared" si="40"/>
        <v>218.74305466112406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6.2222222222222223</v>
      </c>
      <c r="N15" s="14">
        <f>IF('Données projet'!$A$36&gt;35,N14+M15-V14,IF(A15&lt;'Données projet'!$A$36,$K$205^A15,IF(A15='Données projet'!$A$36,'Données projet'!$B$36,N14+M15-V14)))</f>
        <v>23.235142934254824</v>
      </c>
      <c r="O15" s="14">
        <f>N15*VLOOKUP('Données projet'!$B$9,Paramètres!$A$1:$I$89,3,0)*VLOOKUP('Données projet'!$B$9,Paramètres!$A$1:$I$89,5,0)</f>
        <v>14.498729190975009</v>
      </c>
      <c r="P15" s="14">
        <f t="shared" si="33"/>
        <v>4.8944421329010357</v>
      </c>
      <c r="Q15" s="22">
        <f t="shared" si="2"/>
        <v>33.776440055750776</v>
      </c>
      <c r="R15" s="62">
        <f t="shared" si="0"/>
        <v>327.10977338908407</v>
      </c>
      <c r="S15" s="62">
        <f ca="1">AVERAGE(OFFSET($R$3,0,0,'Données projet'!$E$9+1,1))-AVERAGE(OFFSET($H$3,0,0,'Données projet'!$E$9+1,1))</f>
        <v>205.33000726169792</v>
      </c>
      <c r="T15" s="62">
        <f t="shared" si="34"/>
        <v>307.23455947678775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2.8888888888888888</v>
      </c>
      <c r="AI15" s="14">
        <f>IF('Données projet'!$A$62&gt;35,AI14+AH15-AQ14,IF(A15&lt;'Données projet'!$A$62,$AF$205^A15,IF(A15='Données projet'!$A$62,'Données projet'!$B$62,AI14+AH15-AQ14)))</f>
        <v>34.666666666666664</v>
      </c>
      <c r="AJ15" s="14">
        <f>AI15*VLOOKUP('Données projet'!$B$10,Paramètres!$A$1:$I$89,3,0)*VLOOKUP('Données projet'!$B$10,Paramètres!$A$1:$I$89,5,0)</f>
        <v>17.125333333333334</v>
      </c>
      <c r="AK15" s="14">
        <f t="shared" si="35"/>
        <v>5.6701626233364282</v>
      </c>
      <c r="AL15" s="22">
        <f t="shared" si="4"/>
        <v>39.702155457866496</v>
      </c>
      <c r="AM15" s="62">
        <f t="shared" si="5"/>
        <v>333.03548879119978</v>
      </c>
      <c r="AN15" s="62">
        <f ca="1">AVERAGE(OFFSET($AM$3,0,0,'Données projet'!$E$10+1,1))-AVERAGE(OFFSET($H$3,0,0,'Données projet'!$E$10+1,1))</f>
        <v>491.47342911047105</v>
      </c>
      <c r="AO15" s="62">
        <f t="shared" si="36"/>
        <v>58.734453933891757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7.9335567454791462</v>
      </c>
      <c r="BF15" s="14">
        <f t="shared" si="37"/>
        <v>2.8729093976493338</v>
      </c>
      <c r="BG15" s="22">
        <f t="shared" si="7"/>
        <v>18.82126186594877</v>
      </c>
      <c r="BH15" s="62">
        <f t="shared" si="8"/>
        <v>312.15459519928208</v>
      </c>
      <c r="BI15" s="62">
        <f ca="1">AVERAGE(OFFSET($BH$3,0,0,'Données projet'!$E$11+1,1))-AVERAGE(OFFSET($H$3,0,0,'Données projet'!$E$11+1,1))</f>
        <v>278.21934231434597</v>
      </c>
      <c r="BJ15" s="62">
        <f t="shared" si="38"/>
        <v>143.57726487417773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2.4933333333333332</v>
      </c>
      <c r="BY15" s="13">
        <f>IF('Données projet'!$A$114&gt;35,BY14+BX15-CG14,IF(A15&lt;'Données projet'!$A$114,$BV$205^A15,IF(A15='Données projet'!$A$114,'Données projet'!$B$114,BY14+BX15-CG14)))</f>
        <v>18.125804093506943</v>
      </c>
      <c r="BZ15" s="14">
        <f>BY15*VLOOKUP('Données projet'!$B$12,Paramètres!$A$1:$I$89,3,0)*VLOOKUP('Données projet'!$B$12,Paramètres!$A$1:$I$89,5,0)</f>
        <v>14.420889736794125</v>
      </c>
      <c r="CA15" s="14">
        <f t="shared" si="39"/>
        <v>4.8712166528651375</v>
      </c>
      <c r="CB15" s="22">
        <f t="shared" si="10"/>
        <v>33.600418628656548</v>
      </c>
      <c r="CC15" s="62">
        <f t="shared" si="11"/>
        <v>326.93375196198986</v>
      </c>
      <c r="CD15" s="62">
        <f ca="1">AVERAGE(OFFSET($CC$3,0,0,'Données projet'!$E$12+1,1))-AVERAGE(OFFSET($H$3,0,0,'Données projet'!$E$12+1,1))</f>
        <v>237.4598967324826</v>
      </c>
      <c r="CE15" s="62">
        <f t="shared" si="40"/>
        <v>218.74305466112406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6.2222222222222223</v>
      </c>
      <c r="N16" s="14">
        <f>IF('Données projet'!$A$36&gt;35,N15+M16-V15,IF(A16&lt;'Données projet'!$A$36,$K$205^A16,IF(A16='Données projet'!$A$36,'Données projet'!$B$36,N15+M16-V15)))</f>
        <v>30.19887706404656</v>
      </c>
      <c r="O16" s="14">
        <f>N16*VLOOKUP('Données projet'!$B$9,Paramètres!$A$1:$I$89,3,0)*VLOOKUP('Données projet'!$B$9,Paramètres!$A$1:$I$89,5,0)</f>
        <v>18.844099287965054</v>
      </c>
      <c r="P16" s="14">
        <f t="shared" si="33"/>
        <v>6.1701686386769925</v>
      </c>
      <c r="Q16" s="22">
        <f t="shared" si="2"/>
        <v>43.566516638901568</v>
      </c>
      <c r="R16" s="62">
        <f t="shared" si="0"/>
        <v>336.8998499722349</v>
      </c>
      <c r="S16" s="62">
        <f ca="1">AVERAGE(OFFSET($R$3,0,0,'Données projet'!$E$9+1,1))-AVERAGE(OFFSET($H$3,0,0,'Données projet'!$E$9+1,1))</f>
        <v>205.33000726169792</v>
      </c>
      <c r="T16" s="62">
        <f t="shared" si="34"/>
        <v>307.23455947678775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2.8888888888888888</v>
      </c>
      <c r="AI16" s="14">
        <f>IF('Données projet'!$A$62&gt;35,AI15+AH16-AQ15,IF(A16&lt;'Données projet'!$A$62,$AF$205^A16,IF(A16='Données projet'!$A$62,'Données projet'!$B$62,AI15+AH16-AQ15)))</f>
        <v>37.55555555555555</v>
      </c>
      <c r="AJ16" s="14">
        <f>AI16*VLOOKUP('Données projet'!$B$10,Paramètres!$A$1:$I$89,3,0)*VLOOKUP('Données projet'!$B$10,Paramètres!$A$1:$I$89,5,0)</f>
        <v>18.552444444444443</v>
      </c>
      <c r="AK16" s="14">
        <f t="shared" si="35"/>
        <v>6.0857108227803369</v>
      </c>
      <c r="AL16" s="22">
        <f t="shared" si="4"/>
        <v>42.911453757083166</v>
      </c>
      <c r="AM16" s="62">
        <f t="shared" si="5"/>
        <v>336.24478709041648</v>
      </c>
      <c r="AN16" s="62">
        <f ca="1">AVERAGE(OFFSET($AM$3,0,0,'Données projet'!$E$10+1,1))-AVERAGE(OFFSET($H$3,0,0,'Données projet'!$E$10+1,1))</f>
        <v>491.47342911047105</v>
      </c>
      <c r="AO16" s="62">
        <f t="shared" si="36"/>
        <v>58.734453933891757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9.5637980499107691</v>
      </c>
      <c r="BF16" s="14">
        <f t="shared" si="37"/>
        <v>3.3887309065006521</v>
      </c>
      <c r="BG16" s="22">
        <f t="shared" si="7"/>
        <v>22.558987932416557</v>
      </c>
      <c r="BH16" s="62">
        <f t="shared" si="8"/>
        <v>315.89232126574984</v>
      </c>
      <c r="BI16" s="62">
        <f ca="1">AVERAGE(OFFSET($BH$3,0,0,'Données projet'!$E$11+1,1))-AVERAGE(OFFSET($H$3,0,0,'Données projet'!$E$11+1,1))</f>
        <v>278.21934231434597</v>
      </c>
      <c r="BJ16" s="62">
        <f t="shared" si="38"/>
        <v>143.57726487417773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2.4933333333333332</v>
      </c>
      <c r="BY16" s="13">
        <f>IF('Données projet'!$A$114&gt;35,BY15+BX16-CG15,IF(A16&lt;'Données projet'!$A$114,$BV$205^A16,IF(A16='Données projet'!$A$114,'Données projet'!$B$114,BY15+BX16-CG15)))</f>
        <v>23.075726799540639</v>
      </c>
      <c r="BZ16" s="14">
        <f>BY16*VLOOKUP('Données projet'!$B$12,Paramètres!$A$1:$I$89,3,0)*VLOOKUP('Données projet'!$B$12,Paramètres!$A$1:$I$89,5,0)</f>
        <v>18.359048241714532</v>
      </c>
      <c r="CA16" s="14">
        <f t="shared" si="39"/>
        <v>6.0296217509656884</v>
      </c>
      <c r="CB16" s="22">
        <f t="shared" si="10"/>
        <v>42.47693357058472</v>
      </c>
      <c r="CC16" s="62">
        <f t="shared" si="11"/>
        <v>335.81026690391803</v>
      </c>
      <c r="CD16" s="62">
        <f ca="1">AVERAGE(OFFSET($CC$3,0,0,'Données projet'!$E$12+1,1))-AVERAGE(OFFSET($H$3,0,0,'Données projet'!$E$12+1,1))</f>
        <v>237.4598967324826</v>
      </c>
      <c r="CE16" s="62">
        <f t="shared" si="40"/>
        <v>218.74305466112406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6.2222222222222223</v>
      </c>
      <c r="N17" s="14">
        <f>IF('Données projet'!$A$36&gt;35,N16+M17-V16,IF(A17&lt;'Données projet'!$A$36,$K$205^A17,IF(A17='Données projet'!$A$36,'Données projet'!$B$36,N16+M17-V16)))</f>
        <v>39.249690802844427</v>
      </c>
      <c r="O17" s="14">
        <f>N17*VLOOKUP('Données projet'!$B$9,Paramètres!$A$1:$I$89,3,0)*VLOOKUP('Données projet'!$B$9,Paramètres!$A$1:$I$89,5,0)</f>
        <v>24.491807060974921</v>
      </c>
      <c r="P17" s="14">
        <f t="shared" si="33"/>
        <v>7.7784106944068903</v>
      </c>
      <c r="Q17" s="22">
        <f t="shared" si="2"/>
        <v>56.203962590623313</v>
      </c>
      <c r="R17" s="62">
        <f t="shared" si="0"/>
        <v>349.53729592395661</v>
      </c>
      <c r="S17" s="62">
        <f ca="1">AVERAGE(OFFSET($R$3,0,0,'Données projet'!$E$9+1,1))-AVERAGE(OFFSET($H$3,0,0,'Données projet'!$E$9+1,1))</f>
        <v>205.33000726169792</v>
      </c>
      <c r="T17" s="62">
        <f t="shared" si="34"/>
        <v>307.23455947678775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2.8888888888888888</v>
      </c>
      <c r="AI17" s="14">
        <f>IF('Données projet'!$A$62&gt;35,AI16+AH17-AQ16,IF(A17&lt;'Données projet'!$A$62,$AF$205^A17,IF(A17='Données projet'!$A$62,'Données projet'!$B$62,AI16+AH17-AQ16)))</f>
        <v>40.444444444444436</v>
      </c>
      <c r="AJ17" s="14">
        <f>AI17*VLOOKUP('Données projet'!$B$10,Paramètres!$A$1:$I$89,3,0)*VLOOKUP('Données projet'!$B$10,Paramètres!$A$1:$I$89,5,0)</f>
        <v>19.979555555555553</v>
      </c>
      <c r="AK17" s="14">
        <f t="shared" si="35"/>
        <v>6.4975510176259741</v>
      </c>
      <c r="AL17" s="22">
        <f t="shared" si="4"/>
        <v>46.114293948291156</v>
      </c>
      <c r="AM17" s="62">
        <f t="shared" si="5"/>
        <v>339.44762728162448</v>
      </c>
      <c r="AN17" s="62">
        <f ca="1">AVERAGE(OFFSET($AM$3,0,0,'Données projet'!$E$10+1,1))-AVERAGE(OFFSET($H$3,0,0,'Données projet'!$E$10+1,1))</f>
        <v>491.47342911047105</v>
      </c>
      <c r="AO17" s="62">
        <f t="shared" si="36"/>
        <v>58.734453933891757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11.529032447092296</v>
      </c>
      <c r="BF17" s="14">
        <f t="shared" si="37"/>
        <v>3.9971664842854926</v>
      </c>
      <c r="BG17" s="22">
        <f t="shared" si="7"/>
        <v>27.041463138816312</v>
      </c>
      <c r="BH17" s="62">
        <f t="shared" si="8"/>
        <v>320.37479647214963</v>
      </c>
      <c r="BI17" s="62">
        <f ca="1">AVERAGE(OFFSET($BH$3,0,0,'Données projet'!$E$11+1,1))-AVERAGE(OFFSET($H$3,0,0,'Données projet'!$E$11+1,1))</f>
        <v>278.21934231434597</v>
      </c>
      <c r="BJ17" s="62">
        <f t="shared" si="38"/>
        <v>143.57726487417773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2.4933333333333332</v>
      </c>
      <c r="BY17" s="13">
        <f>IF('Données projet'!$A$114&gt;35,BY16+BX17-CG16,IF(A17&lt;'Données projet'!$A$114,$BV$205^A17,IF(A17='Données projet'!$A$114,'Données projet'!$B$114,BY16+BX17-CG16)))</f>
        <v>29.37740938719443</v>
      </c>
      <c r="BZ17" s="14">
        <f>BY17*VLOOKUP('Données projet'!$B$12,Paramètres!$A$1:$I$89,3,0)*VLOOKUP('Données projet'!$B$12,Paramètres!$A$1:$I$89,5,0)</f>
        <v>23.372666908451887</v>
      </c>
      <c r="CA17" s="14">
        <f t="shared" si="39"/>
        <v>7.4635026627966923</v>
      </c>
      <c r="CB17" s="22">
        <f t="shared" si="10"/>
        <v>53.706328669924602</v>
      </c>
      <c r="CC17" s="62">
        <f t="shared" si="11"/>
        <v>347.03966200325794</v>
      </c>
      <c r="CD17" s="62">
        <f ca="1">AVERAGE(OFFSET($CC$3,0,0,'Données projet'!$E$12+1,1))-AVERAGE(OFFSET($H$3,0,0,'Données projet'!$E$12+1,1))</f>
        <v>237.4598967324826</v>
      </c>
      <c r="CE17" s="62">
        <f t="shared" si="40"/>
        <v>218.74305466112406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6.2222222222222223</v>
      </c>
      <c r="N18" s="14">
        <f>IF('Données projet'!$A$36&gt;35,N17+M18-V17,IF(A18&lt;'Données projet'!$A$36,$K$205^A18,IF(A18='Données projet'!$A$36,'Données projet'!$B$36,N17+M18-V17)))</f>
        <v>51.013096442350388</v>
      </c>
      <c r="O18" s="14">
        <f>N18*VLOOKUP('Données projet'!$B$9,Paramètres!$A$1:$I$89,3,0)*VLOOKUP('Données projet'!$B$9,Paramètres!$A$1:$I$89,5,0)</f>
        <v>31.832172180026642</v>
      </c>
      <c r="P18" s="14">
        <f t="shared" si="33"/>
        <v>9.8058378099430179</v>
      </c>
      <c r="Q18" s="22">
        <f t="shared" si="2"/>
        <v>72.519534065863823</v>
      </c>
      <c r="R18" s="62">
        <f t="shared" si="0"/>
        <v>365.85286739919712</v>
      </c>
      <c r="S18" s="62">
        <f ca="1">AVERAGE(OFFSET($R$3,0,0,'Données projet'!$E$9+1,1))-AVERAGE(OFFSET($H$3,0,0,'Données projet'!$E$9+1,1))</f>
        <v>205.33000726169792</v>
      </c>
      <c r="T18" s="62">
        <f t="shared" si="34"/>
        <v>307.23455947678775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2.8888888888888888</v>
      </c>
      <c r="AI18" s="14">
        <f>IF('Données projet'!$A$62&gt;35,AI17+AH18-AQ17,IF(A18&lt;'Données projet'!$A$62,$AF$205^A18,IF(A18='Données projet'!$A$62,'Données projet'!$B$62,AI17+AH18-AQ17)))</f>
        <v>43.333333333333321</v>
      </c>
      <c r="AJ18" s="14">
        <f>AI18*VLOOKUP('Données projet'!$B$10,Paramètres!$A$1:$I$89,3,0)*VLOOKUP('Données projet'!$B$10,Paramètres!$A$1:$I$89,5,0)</f>
        <v>21.406666666666659</v>
      </c>
      <c r="AK18" s="14">
        <f t="shared" si="35"/>
        <v>6.9059781885815115</v>
      </c>
      <c r="AL18" s="22">
        <f t="shared" si="4"/>
        <v>49.311189789557226</v>
      </c>
      <c r="AM18" s="62">
        <f t="shared" si="5"/>
        <v>342.64452312289052</v>
      </c>
      <c r="AN18" s="62">
        <f ca="1">AVERAGE(OFFSET($AM$3,0,0,'Données projet'!$E$10+1,1))-AVERAGE(OFFSET($H$3,0,0,'Données projet'!$E$10+1,1))</f>
        <v>491.47342911047105</v>
      </c>
      <c r="AO18" s="62">
        <f t="shared" si="36"/>
        <v>58.734453933891757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13.898096600580887</v>
      </c>
      <c r="BF18" s="14">
        <f t="shared" si="37"/>
        <v>4.7148446849071632</v>
      </c>
      <c r="BG18" s="22">
        <f t="shared" si="7"/>
        <v>32.417539405558351</v>
      </c>
      <c r="BH18" s="62">
        <f t="shared" si="8"/>
        <v>325.75087273889164</v>
      </c>
      <c r="BI18" s="62">
        <f ca="1">AVERAGE(OFFSET($BH$3,0,0,'Données projet'!$E$11+1,1))-AVERAGE(OFFSET($H$3,0,0,'Données projet'!$E$11+1,1))</f>
        <v>278.21934231434597</v>
      </c>
      <c r="BJ18" s="62">
        <f t="shared" si="38"/>
        <v>143.57726487417773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37.4</v>
      </c>
      <c r="BW18" s="13">
        <f>VLOOKUP(A18,'Données projet'!$A$113:$I$133,9,0)</f>
        <v>2.4933333333333332</v>
      </c>
      <c r="BX18" s="13">
        <f t="array" ref="BX18">INDEX(BW:BW,MIN(IF(ISNUMBER(BW18:BW214),ROW(BW18:BW214),"")))</f>
        <v>2.4933333333333332</v>
      </c>
      <c r="BY18" s="13">
        <f>IF('Données projet'!$A$114&gt;35,BY17+BX18-CG17,IF(A18&lt;'Données projet'!$A$114,$BV$205^A18,IF(A18='Données projet'!$A$114,'Données projet'!$B$114,BY17+BX18-CG17)))</f>
        <v>37.4</v>
      </c>
      <c r="BZ18" s="14">
        <f>BY18*VLOOKUP('Données projet'!$B$12,Paramètres!$A$1:$I$89,3,0)*VLOOKUP('Données projet'!$B$12,Paramètres!$A$1:$I$89,5,0)</f>
        <v>29.755439999999997</v>
      </c>
      <c r="CA18" s="14">
        <f t="shared" si="39"/>
        <v>9.2383692208639729</v>
      </c>
      <c r="CB18" s="22">
        <f t="shared" si="10"/>
        <v>67.91421772633808</v>
      </c>
      <c r="CC18" s="62">
        <f t="shared" si="11"/>
        <v>361.24755105967142</v>
      </c>
      <c r="CD18" s="62">
        <f ca="1">AVERAGE(OFFSET($CC$3,0,0,'Données projet'!$E$12+1,1))-AVERAGE(OFFSET($H$3,0,0,'Données projet'!$E$12+1,1))</f>
        <v>237.4598967324826</v>
      </c>
      <c r="CE18" s="62">
        <f t="shared" si="40"/>
        <v>218.74305466112406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6.2222222222222223</v>
      </c>
      <c r="N19" s="14">
        <f>IF('Données projet'!$A$36&gt;35,N18+M19-V18,IF(A19&lt;'Données projet'!$A$36,$K$205^A19,IF(A19='Données projet'!$A$36,'Données projet'!$B$36,N18+M19-V18)))</f>
        <v>66.302076663695672</v>
      </c>
      <c r="O19" s="14">
        <f>N19*VLOOKUP('Données projet'!$B$9,Paramètres!$A$1:$I$89,3,0)*VLOOKUP('Données projet'!$B$9,Paramètres!$A$1:$I$89,5,0)</f>
        <v>41.372495838146101</v>
      </c>
      <c r="P19" s="14">
        <f t="shared" si="33"/>
        <v>12.361709728704412</v>
      </c>
      <c r="Q19" s="22">
        <f t="shared" si="2"/>
        <v>93.587074695597963</v>
      </c>
      <c r="R19" s="62">
        <f t="shared" si="0"/>
        <v>386.92040802893126</v>
      </c>
      <c r="S19" s="62">
        <f ca="1">AVERAGE(OFFSET($R$3,0,0,'Données projet'!$E$9+1,1))-AVERAGE(OFFSET($H$3,0,0,'Données projet'!$E$9+1,1))</f>
        <v>205.33000726169792</v>
      </c>
      <c r="T19" s="62">
        <f t="shared" si="34"/>
        <v>307.23455947678775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2.8888888888888888</v>
      </c>
      <c r="AI19" s="14">
        <f>IF('Données projet'!$A$62&gt;35,AI18+AH19-AQ18,IF(A19&lt;'Données projet'!$A$62,$AF$205^A19,IF(A19='Données projet'!$A$62,'Données projet'!$B$62,AI18+AH19-AQ18)))</f>
        <v>46.222222222222207</v>
      </c>
      <c r="AJ19" s="14">
        <f>AI19*VLOOKUP('Données projet'!$B$10,Paramètres!$A$1:$I$89,3,0)*VLOOKUP('Données projet'!$B$10,Paramètres!$A$1:$I$89,5,0)</f>
        <v>22.833777777777772</v>
      </c>
      <c r="AK19" s="14">
        <f t="shared" si="35"/>
        <v>7.3112457604713095</v>
      </c>
      <c r="AL19" s="22">
        <f t="shared" si="4"/>
        <v>52.502582662450486</v>
      </c>
      <c r="AM19" s="62">
        <f t="shared" si="5"/>
        <v>345.83591599578381</v>
      </c>
      <c r="AN19" s="62">
        <f ca="1">AVERAGE(OFFSET($AM$3,0,0,'Données projet'!$E$10+1,1))-AVERAGE(OFFSET($H$3,0,0,'Données projet'!$E$10+1,1))</f>
        <v>491.47342911047105</v>
      </c>
      <c r="AO19" s="62">
        <f t="shared" si="36"/>
        <v>58.734453933891757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16.753972200658836</v>
      </c>
      <c r="BF19" s="14">
        <f t="shared" si="37"/>
        <v>5.5613796648680189</v>
      </c>
      <c r="BG19" s="22">
        <f t="shared" si="7"/>
        <v>38.865904499125939</v>
      </c>
      <c r="BH19" s="62">
        <f t="shared" si="8"/>
        <v>332.19923783245923</v>
      </c>
      <c r="BI19" s="62">
        <f ca="1">AVERAGE(OFFSET($BH$3,0,0,'Données projet'!$E$11+1,1))-AVERAGE(OFFSET($H$3,0,0,'Données projet'!$E$11+1,1))</f>
        <v>278.21934231434597</v>
      </c>
      <c r="BJ19" s="62">
        <f t="shared" si="38"/>
        <v>143.57726487417773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11.54</v>
      </c>
      <c r="BY19" s="13">
        <f>IF('Données projet'!$A$114&gt;35,BY18+BX19-CG18,IF(A19&lt;'Données projet'!$A$114,$BV$205^A19,IF(A19='Données projet'!$A$114,'Données projet'!$B$114,BY18+BX19-CG18)))</f>
        <v>48.94</v>
      </c>
      <c r="BZ19" s="14">
        <f>BY19*VLOOKUP('Données projet'!$B$12,Paramètres!$A$1:$I$89,3,0)*VLOOKUP('Données projet'!$B$12,Paramètres!$A$1:$I$89,5,0)</f>
        <v>38.936664</v>
      </c>
      <c r="CA19" s="14">
        <f t="shared" si="39"/>
        <v>11.71636916173216</v>
      </c>
      <c r="CB19" s="22">
        <f t="shared" si="10"/>
        <v>88.220699423350183</v>
      </c>
      <c r="CC19" s="62">
        <f t="shared" si="11"/>
        <v>381.55403275668351</v>
      </c>
      <c r="CD19" s="62">
        <f ca="1">AVERAGE(OFFSET($CC$3,0,0,'Données projet'!$E$12+1,1))-AVERAGE(OFFSET($H$3,0,0,'Données projet'!$E$12+1,1))</f>
        <v>237.4598967324826</v>
      </c>
      <c r="CE19" s="62">
        <f t="shared" si="40"/>
        <v>218.74305466112406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6.2222222222222223</v>
      </c>
      <c r="N20" s="14">
        <f>IF('Données projet'!$A$36&gt;35,N19+M20-V19,IF(A20&lt;'Données projet'!$A$36,$K$205^A20,IF(A20='Données projet'!$A$36,'Données projet'!$B$36,N19+M20-V19)))</f>
        <v>86.1732707185582</v>
      </c>
      <c r="O20" s="14">
        <f>N20*VLOOKUP('Données projet'!$B$9,Paramètres!$A$1:$I$89,3,0)*VLOOKUP('Données projet'!$B$9,Paramètres!$A$1:$I$89,5,0)</f>
        <v>53.772120928380318</v>
      </c>
      <c r="P20" s="14">
        <f t="shared" si="33"/>
        <v>15.583764526657339</v>
      </c>
      <c r="Q20" s="22">
        <f t="shared" si="2"/>
        <v>120.79483383419057</v>
      </c>
      <c r="R20" s="62">
        <f t="shared" si="0"/>
        <v>414.12816716752388</v>
      </c>
      <c r="S20" s="62">
        <f ca="1">AVERAGE(OFFSET($R$3,0,0,'Données projet'!$E$9+1,1))-AVERAGE(OFFSET($H$3,0,0,'Données projet'!$E$9+1,1))</f>
        <v>205.33000726169792</v>
      </c>
      <c r="T20" s="62">
        <f t="shared" si="34"/>
        <v>307.23455947678775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2.8888888888888888</v>
      </c>
      <c r="AI20" s="14">
        <f>IF('Données projet'!$A$62&gt;35,AI19+AH20-AQ19,IF(A20&lt;'Données projet'!$A$62,$AF$205^A20,IF(A20='Données projet'!$A$62,'Données projet'!$B$62,AI19+AH20-AQ19)))</f>
        <v>49.111111111111093</v>
      </c>
      <c r="AJ20" s="14">
        <f>AI20*VLOOKUP('Données projet'!$B$10,Paramètres!$A$1:$I$89,3,0)*VLOOKUP('Données projet'!$B$10,Paramètres!$A$1:$I$89,5,0)</f>
        <v>24.260888888888882</v>
      </c>
      <c r="AK20" s="14">
        <f t="shared" si="35"/>
        <v>7.7135736895645035</v>
      </c>
      <c r="AL20" s="22">
        <f t="shared" si="4"/>
        <v>55.688855657472971</v>
      </c>
      <c r="AM20" s="62">
        <f t="shared" si="5"/>
        <v>349.02218899080628</v>
      </c>
      <c r="AN20" s="62">
        <f ca="1">AVERAGE(OFFSET($AM$3,0,0,'Données projet'!$E$10+1,1))-AVERAGE(OFFSET($H$3,0,0,'Données projet'!$E$10+1,1))</f>
        <v>491.47342911047105</v>
      </c>
      <c r="AO20" s="62">
        <f t="shared" si="36"/>
        <v>58.734453933891757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20.196692580818372</v>
      </c>
      <c r="BF20" s="14">
        <f t="shared" si="37"/>
        <v>6.5599072384749233</v>
      </c>
      <c r="BG20" s="22">
        <f t="shared" si="7"/>
        <v>46.601078018602493</v>
      </c>
      <c r="BH20" s="62">
        <f t="shared" si="8"/>
        <v>339.93441135193581</v>
      </c>
      <c r="BI20" s="62">
        <f ca="1">AVERAGE(OFFSET($BH$3,0,0,'Données projet'!$E$11+1,1))-AVERAGE(OFFSET($H$3,0,0,'Données projet'!$E$11+1,1))</f>
        <v>278.21934231434597</v>
      </c>
      <c r="BJ20" s="62">
        <f t="shared" si="38"/>
        <v>143.57726487417773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11.54</v>
      </c>
      <c r="BY20" s="13">
        <f>IF('Données projet'!$A$114&gt;35,BY19+BX20-CG19,IF(A20&lt;'Données projet'!$A$114,$BV$205^A20,IF(A20='Données projet'!$A$114,'Données projet'!$B$114,BY19+BX20-CG19)))</f>
        <v>60.48</v>
      </c>
      <c r="BZ20" s="14">
        <f>BY20*VLOOKUP('Données projet'!$B$12,Paramètres!$A$1:$I$89,3,0)*VLOOKUP('Données projet'!$B$12,Paramètres!$A$1:$I$89,5,0)</f>
        <v>48.117888000000001</v>
      </c>
      <c r="CA20" s="14">
        <f t="shared" si="39"/>
        <v>14.126615953608919</v>
      </c>
      <c r="CB20" s="22">
        <f t="shared" si="10"/>
        <v>108.40917771920219</v>
      </c>
      <c r="CC20" s="62">
        <f t="shared" si="11"/>
        <v>401.74251105253552</v>
      </c>
      <c r="CD20" s="62">
        <f ca="1">AVERAGE(OFFSET($CC$3,0,0,'Données projet'!$E$12+1,1))-AVERAGE(OFFSET($H$3,0,0,'Données projet'!$E$12+1,1))</f>
        <v>237.4598967324826</v>
      </c>
      <c r="CE20" s="62">
        <f t="shared" si="40"/>
        <v>218.74305466112406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112</v>
      </c>
      <c r="L21" s="13">
        <f>VLOOKUP(A21,'Données projet'!$A$35:$I$55,9,0)</f>
        <v>6.2222222222222223</v>
      </c>
      <c r="M21" s="13">
        <f t="array" ref="M21">INDEX(L:L,MIN(IF(ISNUMBER(L21:L217),ROW(L21:L217),"")))</f>
        <v>6.2222222222222223</v>
      </c>
      <c r="N21" s="14">
        <f>IF('Données projet'!$A$36&gt;35,N20+M21-V20,IF(A21&lt;'Données projet'!$A$36,$K$205^A21,IF(A21='Données projet'!$A$36,'Données projet'!$B$36,N20+M21-V20)))</f>
        <v>112</v>
      </c>
      <c r="O21" s="14">
        <f>N21*VLOOKUP('Données projet'!$B$9,Paramètres!$A$1:$I$89,3,0)*VLOOKUP('Données projet'!$B$9,Paramètres!$A$1:$I$89,5,0)</f>
        <v>69.888000000000005</v>
      </c>
      <c r="P21" s="14">
        <f t="shared" si="33"/>
        <v>19.645641432461961</v>
      </c>
      <c r="Q21" s="22">
        <f t="shared" si="2"/>
        <v>155.93775882820458</v>
      </c>
      <c r="R21" s="62">
        <f t="shared" si="0"/>
        <v>449.27109216153792</v>
      </c>
      <c r="S21" s="62">
        <f ca="1">AVERAGE(OFFSET($R$3,0,0,'Données projet'!$E$9+1,1))-AVERAGE(OFFSET($H$3,0,0,'Données projet'!$E$9+1,1))</f>
        <v>205.33000726169792</v>
      </c>
      <c r="T21" s="62">
        <f t="shared" si="34"/>
        <v>307.23455947678775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2.8888888888888888</v>
      </c>
      <c r="AI21" s="14">
        <f>IF('Données projet'!$A$62&gt;35,AI20+AH21-AQ20,IF(A21&lt;'Données projet'!$A$62,$AF$205^A21,IF(A21='Données projet'!$A$62,'Données projet'!$B$62,AI20+AH21-AQ20)))</f>
        <v>51.999999999999979</v>
      </c>
      <c r="AJ21" s="14">
        <f>AI21*VLOOKUP('Données projet'!$B$10,Paramètres!$A$1:$I$89,3,0)*VLOOKUP('Données projet'!$B$10,Paramètres!$A$1:$I$89,5,0)</f>
        <v>25.687999999999988</v>
      </c>
      <c r="AK21" s="14">
        <f t="shared" si="35"/>
        <v>8.1131545930997699</v>
      </c>
      <c r="AL21" s="22">
        <f t="shared" si="4"/>
        <v>58.870344249648745</v>
      </c>
      <c r="AM21" s="62">
        <f t="shared" si="5"/>
        <v>352.20367758298204</v>
      </c>
      <c r="AN21" s="62">
        <f ca="1">AVERAGE(OFFSET($AM$3,0,0,'Données projet'!$E$10+1,1))-AVERAGE(OFFSET($H$3,0,0,'Données projet'!$E$10+1,1))</f>
        <v>491.47342911047105</v>
      </c>
      <c r="AO21" s="62">
        <f t="shared" si="36"/>
        <v>58.734453933891757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24.346846605609343</v>
      </c>
      <c r="BF21" s="14">
        <f t="shared" si="37"/>
        <v>7.7377171800078735</v>
      </c>
      <c r="BG21" s="22">
        <f t="shared" si="7"/>
        <v>55.880615259949991</v>
      </c>
      <c r="BH21" s="62">
        <f t="shared" si="8"/>
        <v>349.21394859328331</v>
      </c>
      <c r="BI21" s="62">
        <f ca="1">AVERAGE(OFFSET($BH$3,0,0,'Données projet'!$E$11+1,1))-AVERAGE(OFFSET($H$3,0,0,'Données projet'!$E$11+1,1))</f>
        <v>278.21934231434597</v>
      </c>
      <c r="BJ21" s="62">
        <f t="shared" si="38"/>
        <v>143.57726487417773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11.54</v>
      </c>
      <c r="BY21" s="13">
        <f>IF('Données projet'!$A$114&gt;35,BY20+BX21-CG20,IF(A21&lt;'Données projet'!$A$114,$BV$205^A21,IF(A21='Données projet'!$A$114,'Données projet'!$B$114,BY20+BX21-CG20)))</f>
        <v>72.02</v>
      </c>
      <c r="BZ21" s="14">
        <f>BY21*VLOOKUP('Données projet'!$B$12,Paramètres!$A$1:$I$89,3,0)*VLOOKUP('Données projet'!$B$12,Paramètres!$A$1:$I$89,5,0)</f>
        <v>57.299111999999994</v>
      </c>
      <c r="CA21" s="14">
        <f t="shared" si="39"/>
        <v>16.483580059789663</v>
      </c>
      <c r="CB21" s="22">
        <f t="shared" si="10"/>
        <v>128.50485533746698</v>
      </c>
      <c r="CC21" s="62">
        <f t="shared" si="11"/>
        <v>421.83818867080026</v>
      </c>
      <c r="CD21" s="62">
        <f ca="1">AVERAGE(OFFSET($CC$3,0,0,'Données projet'!$E$12+1,1))-AVERAGE(OFFSET($H$3,0,0,'Données projet'!$E$12+1,1))</f>
        <v>237.4598967324826</v>
      </c>
      <c r="CE21" s="62">
        <f t="shared" si="40"/>
        <v>218.74305466112406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18</v>
      </c>
      <c r="N22" s="14">
        <f>IF('Données projet'!$A$36&gt;35,N21+M22-V21,IF(A22&lt;'Données projet'!$A$36,$K$205^A22,IF(A22='Données projet'!$A$36,'Données projet'!$B$36,N21+M22-V21)))</f>
        <v>130</v>
      </c>
      <c r="O22" s="14">
        <f>N22*VLOOKUP('Données projet'!$B$9,Paramètres!$A$1:$I$89,3,0)*VLOOKUP('Données projet'!$B$9,Paramètres!$A$1:$I$89,5,0)</f>
        <v>81.12</v>
      </c>
      <c r="P22" s="14">
        <f t="shared" si="33"/>
        <v>22.410807975569174</v>
      </c>
      <c r="Q22" s="22">
        <f t="shared" si="2"/>
        <v>180.31615722411632</v>
      </c>
      <c r="R22" s="62">
        <f t="shared" si="0"/>
        <v>473.64949055744967</v>
      </c>
      <c r="S22" s="62">
        <f ca="1">AVERAGE(OFFSET($R$3,0,0,'Données projet'!$E$9+1,1))-AVERAGE(OFFSET($H$3,0,0,'Données projet'!$E$9+1,1))</f>
        <v>205.33000726169792</v>
      </c>
      <c r="T22" s="62">
        <f t="shared" si="34"/>
        <v>307.23455947678775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2.8888888888888888</v>
      </c>
      <c r="AI22" s="14">
        <f>IF('Données projet'!$A$62&gt;35,AI21+AH22-AQ21,IF(A22&lt;'Données projet'!$A$62,$AF$205^A22,IF(A22='Données projet'!$A$62,'Données projet'!$B$62,AI21+AH22-AQ21)))</f>
        <v>54.888888888888864</v>
      </c>
      <c r="AJ22" s="14">
        <f>AI22*VLOOKUP('Données projet'!$B$10,Paramètres!$A$1:$I$89,3,0)*VLOOKUP('Données projet'!$B$10,Paramètres!$A$1:$I$89,5,0)</f>
        <v>27.115111111111101</v>
      </c>
      <c r="AK22" s="14">
        <f t="shared" si="35"/>
        <v>8.5101584776427384</v>
      </c>
      <c r="AL22" s="22">
        <f t="shared" si="4"/>
        <v>62.047344533746269</v>
      </c>
      <c r="AM22" s="62">
        <f t="shared" si="5"/>
        <v>355.38067786707961</v>
      </c>
      <c r="AN22" s="62">
        <f ca="1">AVERAGE(OFFSET($AM$3,0,0,'Données projet'!$E$10+1,1))-AVERAGE(OFFSET($H$3,0,0,'Données projet'!$E$10+1,1))</f>
        <v>491.47342911047105</v>
      </c>
      <c r="AO22" s="62">
        <f t="shared" si="36"/>
        <v>58.734453933891757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29.349802561239567</v>
      </c>
      <c r="BF22" s="14">
        <f t="shared" si="37"/>
        <v>9.1269990536799668</v>
      </c>
      <c r="BG22" s="22">
        <f t="shared" si="7"/>
        <v>67.013762812651535</v>
      </c>
      <c r="BH22" s="62">
        <f t="shared" si="8"/>
        <v>360.34709614598484</v>
      </c>
      <c r="BI22" s="62">
        <f ca="1">AVERAGE(OFFSET($BH$3,0,0,'Données projet'!$E$11+1,1))-AVERAGE(OFFSET($H$3,0,0,'Données projet'!$E$11+1,1))</f>
        <v>278.21934231434597</v>
      </c>
      <c r="BJ22" s="62">
        <f t="shared" si="38"/>
        <v>143.57726487417773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11.54</v>
      </c>
      <c r="BY22" s="13">
        <f>IF('Données projet'!$A$114&gt;35,BY21+BX22-CG21,IF(A22&lt;'Données projet'!$A$114,$BV$205^A22,IF(A22='Données projet'!$A$114,'Données projet'!$B$114,BY21+BX22-CG21)))</f>
        <v>83.56</v>
      </c>
      <c r="BZ22" s="14">
        <f>BY22*VLOOKUP('Données projet'!$B$12,Paramètres!$A$1:$I$89,3,0)*VLOOKUP('Données projet'!$B$12,Paramètres!$A$1:$I$89,5,0)</f>
        <v>66.480336000000008</v>
      </c>
      <c r="CA22" s="14">
        <f t="shared" si="39"/>
        <v>18.796793982740784</v>
      </c>
      <c r="CB22" s="22">
        <f t="shared" si="10"/>
        <v>148.52433471994019</v>
      </c>
      <c r="CC22" s="62">
        <f t="shared" si="11"/>
        <v>441.85766805327353</v>
      </c>
      <c r="CD22" s="62">
        <f ca="1">AVERAGE(OFFSET($CC$3,0,0,'Données projet'!$E$12+1,1))-AVERAGE(OFFSET($H$3,0,0,'Données projet'!$E$12+1,1))</f>
        <v>237.4598967324826</v>
      </c>
      <c r="CE22" s="62">
        <f t="shared" si="40"/>
        <v>218.74305466112406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18</v>
      </c>
      <c r="N23" s="14">
        <f>IF('Données projet'!$A$36&gt;35,N22+M23-V22,IF(A23&lt;'Données projet'!$A$36,$K$205^A23,IF(A23='Données projet'!$A$36,'Données projet'!$B$36,N22+M23-V22)))</f>
        <v>148</v>
      </c>
      <c r="O23" s="14">
        <f>N23*VLOOKUP('Données projet'!$B$9,Paramètres!$A$1:$I$89,3,0)*VLOOKUP('Données projet'!$B$9,Paramètres!$A$1:$I$89,5,0)</f>
        <v>92.35199999999999</v>
      </c>
      <c r="P23" s="14">
        <f t="shared" si="33"/>
        <v>25.131616275989753</v>
      </c>
      <c r="Q23" s="22">
        <f t="shared" si="2"/>
        <v>204.61729834734879</v>
      </c>
      <c r="R23" s="62">
        <f t="shared" si="0"/>
        <v>497.95063168068214</v>
      </c>
      <c r="S23" s="62">
        <f ca="1">AVERAGE(OFFSET($R$3,0,0,'Données projet'!$E$9+1,1))-AVERAGE(OFFSET($H$3,0,0,'Données projet'!$E$9+1,1))</f>
        <v>205.33000726169792</v>
      </c>
      <c r="T23" s="62">
        <f t="shared" si="34"/>
        <v>307.23455947678775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2.8888888888888888</v>
      </c>
      <c r="AI23" s="14">
        <f>IF('Données projet'!$A$62&gt;35,AI22+AH23-AQ22,IF(A23&lt;'Données projet'!$A$62,$AF$205^A23,IF(A23='Données projet'!$A$62,'Données projet'!$B$62,AI22+AH23-AQ22)))</f>
        <v>57.77777777777775</v>
      </c>
      <c r="AJ23" s="14">
        <f>AI23*VLOOKUP('Données projet'!$B$10,Paramètres!$A$1:$I$89,3,0)*VLOOKUP('Données projet'!$B$10,Paramètres!$A$1:$I$89,5,0)</f>
        <v>28.542222222222211</v>
      </c>
      <c r="AK23" s="14">
        <f t="shared" si="35"/>
        <v>8.9047364436020189</v>
      </c>
      <c r="AL23" s="22">
        <f t="shared" si="4"/>
        <v>65.220119676310517</v>
      </c>
      <c r="AM23" s="62">
        <f t="shared" si="5"/>
        <v>358.55345300964382</v>
      </c>
      <c r="AN23" s="62">
        <f ca="1">AVERAGE(OFFSET($AM$3,0,0,'Données projet'!$E$10+1,1))-AVERAGE(OFFSET($H$3,0,0,'Données projet'!$E$10+1,1))</f>
        <v>491.47342911047105</v>
      </c>
      <c r="AO23" s="62">
        <f t="shared" si="36"/>
        <v>58.734453933891757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35.380800000000001</v>
      </c>
      <c r="BF23" s="14">
        <f t="shared" si="37"/>
        <v>10.765721954933243</v>
      </c>
      <c r="BG23" s="22">
        <f t="shared" si="7"/>
        <v>80.371859071508723</v>
      </c>
      <c r="BH23" s="62">
        <f t="shared" si="8"/>
        <v>373.70519240484202</v>
      </c>
      <c r="BI23" s="62">
        <f ca="1">AVERAGE(OFFSET($BH$3,0,0,'Données projet'!$E$11+1,1))-AVERAGE(OFFSET($H$3,0,0,'Données projet'!$E$11+1,1))</f>
        <v>278.21934231434597</v>
      </c>
      <c r="BJ23" s="62">
        <f t="shared" si="38"/>
        <v>143.57726487417773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95.1</v>
      </c>
      <c r="BW23" s="13">
        <f>VLOOKUP(A23,'Données projet'!$A$113:$I$133,9,0)</f>
        <v>11.54</v>
      </c>
      <c r="BX23" s="13">
        <f t="array" ref="BX23">INDEX(BW:BW,MIN(IF(ISNUMBER(BW23:BW219),ROW(BW23:BW219),"")))</f>
        <v>11.54</v>
      </c>
      <c r="BY23" s="13">
        <f>IF('Données projet'!$A$114&gt;35,BY22+BX23-CG22,IF(A23&lt;'Données projet'!$A$114,$BV$205^A23,IF(A23='Données projet'!$A$114,'Données projet'!$B$114,BY22+BX23-CG22)))</f>
        <v>95.1</v>
      </c>
      <c r="BZ23" s="14">
        <f>BY23*VLOOKUP('Données projet'!$B$12,Paramètres!$A$1:$I$89,3,0)*VLOOKUP('Données projet'!$B$12,Paramètres!$A$1:$I$89,5,0)</f>
        <v>75.661559999999994</v>
      </c>
      <c r="CA23" s="14">
        <f t="shared" si="39"/>
        <v>21.072995399411479</v>
      </c>
      <c r="CB23" s="22">
        <f t="shared" si="10"/>
        <v>168.47935065397499</v>
      </c>
      <c r="CC23" s="62">
        <f t="shared" si="11"/>
        <v>461.81268398730833</v>
      </c>
      <c r="CD23" s="62">
        <f ca="1">AVERAGE(OFFSET($CC$3,0,0,'Données projet'!$E$12+1,1))-AVERAGE(OFFSET($H$3,0,0,'Données projet'!$E$12+1,1))</f>
        <v>237.4598967324826</v>
      </c>
      <c r="CE23" s="62">
        <f t="shared" si="40"/>
        <v>218.74305466112406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166</v>
      </c>
      <c r="L24" s="13">
        <f>VLOOKUP(A24,'Données projet'!$A$35:$I$55,9,0)</f>
        <v>18</v>
      </c>
      <c r="M24" s="13">
        <f t="array" ref="M24">INDEX(L:L,MIN(IF(ISNUMBER(L24:L220),ROW(L24:L220),"")))</f>
        <v>18</v>
      </c>
      <c r="N24" s="14">
        <f>IF('Données projet'!$A$36&gt;35,N23+M24-V23,IF(A24&lt;'Données projet'!$A$36,$K$205^A24,IF(A24='Données projet'!$A$36,'Données projet'!$B$36,N23+M24-V23)))</f>
        <v>166</v>
      </c>
      <c r="O24" s="14">
        <f>N24*VLOOKUP('Données projet'!$B$9,Paramètres!$A$1:$I$89,3,0)*VLOOKUP('Données projet'!$B$9,Paramètres!$A$1:$I$89,5,0)</f>
        <v>103.58399999999999</v>
      </c>
      <c r="P24" s="14">
        <f t="shared" si="33"/>
        <v>27.814078427747937</v>
      </c>
      <c r="Q24" s="22">
        <f t="shared" si="2"/>
        <v>228.85165326166091</v>
      </c>
      <c r="R24" s="62">
        <f t="shared" si="0"/>
        <v>522.18498659499426</v>
      </c>
      <c r="S24" s="62">
        <f ca="1">AVERAGE(OFFSET($R$3,0,0,'Données projet'!$E$9+1,1))-AVERAGE(OFFSET($H$3,0,0,'Données projet'!$E$9+1,1))</f>
        <v>205.33000726169792</v>
      </c>
      <c r="T24" s="62">
        <f t="shared" si="34"/>
        <v>307.23455947678775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46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2.8888888888888888</v>
      </c>
      <c r="AI24" s="14">
        <f>IF('Données projet'!$A$62&gt;35,AI23+AH24-AQ23,IF(A24&lt;'Données projet'!$A$62,$AF$205^A24,IF(A24='Données projet'!$A$62,'Données projet'!$B$62,AI23+AH24-AQ23)))</f>
        <v>60.666666666666636</v>
      </c>
      <c r="AJ24" s="14">
        <f>AI24*VLOOKUP('Données projet'!$B$10,Paramètres!$A$1:$I$89,3,0)*VLOOKUP('Données projet'!$B$10,Paramètres!$A$1:$I$89,5,0)</f>
        <v>29.969333333333317</v>
      </c>
      <c r="AK24" s="14">
        <f t="shared" si="35"/>
        <v>9.2970236277867855</v>
      </c>
      <c r="AL24" s="22">
        <f t="shared" si="4"/>
        <v>68.388905040617502</v>
      </c>
      <c r="AM24" s="62">
        <f t="shared" si="5"/>
        <v>361.7222383739508</v>
      </c>
      <c r="AN24" s="62">
        <f ca="1">AVERAGE(OFFSET($AM$3,0,0,'Données projet'!$E$10+1,1))-AVERAGE(OFFSET($H$3,0,0,'Données projet'!$E$10+1,1))</f>
        <v>491.47342911047105</v>
      </c>
      <c r="AO24" s="62">
        <f t="shared" si="36"/>
        <v>58.734453933891757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40.098240000000011</v>
      </c>
      <c r="BF24" s="14">
        <f t="shared" si="37"/>
        <v>12.024681710991171</v>
      </c>
      <c r="BG24" s="22">
        <f t="shared" si="7"/>
        <v>90.780755313309626</v>
      </c>
      <c r="BH24" s="62">
        <f t="shared" si="8"/>
        <v>384.11408864664293</v>
      </c>
      <c r="BI24" s="62">
        <f ca="1">AVERAGE(OFFSET($BH$3,0,0,'Données projet'!$E$11+1,1))-AVERAGE(OFFSET($H$3,0,0,'Données projet'!$E$11+1,1))</f>
        <v>278.21934231434597</v>
      </c>
      <c r="BJ24" s="62">
        <f t="shared" si="38"/>
        <v>143.57726487417773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12.5</v>
      </c>
      <c r="BY24" s="13">
        <f>IF('Données projet'!$A$114&gt;35,BY23+BX24-CG23,IF(A24&lt;'Données projet'!$A$114,$BV$205^A24,IF(A24='Données projet'!$A$114,'Données projet'!$B$114,BY23+BX24-CG23)))</f>
        <v>107.6</v>
      </c>
      <c r="BZ24" s="14">
        <f>BY24*VLOOKUP('Données projet'!$B$12,Paramètres!$A$1:$I$89,3,0)*VLOOKUP('Données projet'!$B$12,Paramètres!$A$1:$I$89,5,0)</f>
        <v>85.606560000000002</v>
      </c>
      <c r="CA24" s="14">
        <f t="shared" si="39"/>
        <v>23.502566518382334</v>
      </c>
      <c r="CB24" s="22">
        <f t="shared" si="10"/>
        <v>190.03172868618256</v>
      </c>
      <c r="CC24" s="62">
        <f t="shared" si="11"/>
        <v>483.3650620195159</v>
      </c>
      <c r="CD24" s="62">
        <f ca="1">AVERAGE(OFFSET($CC$3,0,0,'Données projet'!$E$12+1,1))-AVERAGE(OFFSET($H$3,0,0,'Données projet'!$E$12+1,1))</f>
        <v>237.4598967324826</v>
      </c>
      <c r="CE24" s="62">
        <f t="shared" si="40"/>
        <v>218.74305466112406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</v>
      </c>
      <c r="N25" s="14">
        <f>IF('Données projet'!$A$36&gt;35,N24+M25-V24,IF(A25&lt;'Données projet'!$A$36,$K$205^A25,IF(A25='Données projet'!$A$36,'Données projet'!$B$36,N24+M25-V24)))</f>
        <v>136</v>
      </c>
      <c r="O25" s="14">
        <f>N25*VLOOKUP('Données projet'!$B$9,Paramètres!$A$1:$I$89,3,0)*VLOOKUP('Données projet'!$B$9,Paramètres!$A$1:$I$89,5,0)</f>
        <v>84.864000000000004</v>
      </c>
      <c r="P25" s="14">
        <f t="shared" si="33"/>
        <v>23.322341364766192</v>
      </c>
      <c r="Q25" s="22">
        <f t="shared" si="2"/>
        <v>188.42454454363443</v>
      </c>
      <c r="R25" s="62">
        <f t="shared" si="0"/>
        <v>481.75787787696777</v>
      </c>
      <c r="S25" s="62">
        <f ca="1">AVERAGE(OFFSET($R$3,0,0,'Données projet'!$E$9+1,1))-AVERAGE(OFFSET($H$3,0,0,'Données projet'!$E$9+1,1))</f>
        <v>205.33000726169792</v>
      </c>
      <c r="T25" s="62">
        <f t="shared" si="34"/>
        <v>307.23455947678775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2.8888888888888888</v>
      </c>
      <c r="AI25" s="14">
        <f>IF('Données projet'!$A$62&gt;35,AI24+AH25-AQ24,IF(A25&lt;'Données projet'!$A$62,$AF$205^A25,IF(A25='Données projet'!$A$62,'Données projet'!$B$62,AI24+AH25-AQ24)))</f>
        <v>63.555555555555522</v>
      </c>
      <c r="AJ25" s="14">
        <f>AI25*VLOOKUP('Données projet'!$B$10,Paramètres!$A$1:$I$89,3,0)*VLOOKUP('Données projet'!$B$10,Paramètres!$A$1:$I$89,5,0)</f>
        <v>31.39644444444443</v>
      </c>
      <c r="AK25" s="14">
        <f t="shared" si="35"/>
        <v>9.6871415695966938</v>
      </c>
      <c r="AL25" s="22">
        <f t="shared" si="4"/>
        <v>71.553912307788281</v>
      </c>
      <c r="AM25" s="62">
        <f t="shared" si="5"/>
        <v>364.88724564112158</v>
      </c>
      <c r="AN25" s="62">
        <f ca="1">AVERAGE(OFFSET($AM$3,0,0,'Données projet'!$E$10+1,1))-AVERAGE(OFFSET($H$3,0,0,'Données projet'!$E$10+1,1))</f>
        <v>491.47342911047105</v>
      </c>
      <c r="AO25" s="62">
        <f t="shared" si="36"/>
        <v>58.734453933891757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44.815680000000008</v>
      </c>
      <c r="BF25" s="14">
        <f t="shared" si="37"/>
        <v>13.266476878569183</v>
      </c>
      <c r="BG25" s="22">
        <f t="shared" si="7"/>
        <v>101.159756563508</v>
      </c>
      <c r="BH25" s="62">
        <f t="shared" si="8"/>
        <v>394.4930898968413</v>
      </c>
      <c r="BI25" s="62">
        <f ca="1">AVERAGE(OFFSET($BH$3,0,0,'Données projet'!$E$11+1,1))-AVERAGE(OFFSET($H$3,0,0,'Données projet'!$E$11+1,1))</f>
        <v>278.21934231434597</v>
      </c>
      <c r="BJ25" s="62">
        <f t="shared" si="38"/>
        <v>143.57726487417773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12.5</v>
      </c>
      <c r="BY25" s="13">
        <f>IF('Données projet'!$A$114&gt;35,BY24+BX25-CG24,IF(A25&lt;'Données projet'!$A$114,$BV$205^A25,IF(A25='Données projet'!$A$114,'Données projet'!$B$114,BY24+BX25-CG24)))</f>
        <v>120.1</v>
      </c>
      <c r="BZ25" s="14">
        <f>BY25*VLOOKUP('Données projet'!$B$12,Paramètres!$A$1:$I$89,3,0)*VLOOKUP('Données projet'!$B$12,Paramètres!$A$1:$I$89,5,0)</f>
        <v>95.551559999999995</v>
      </c>
      <c r="CA25" s="14">
        <f t="shared" si="39"/>
        <v>25.899427779946908</v>
      </c>
      <c r="CB25" s="22">
        <f t="shared" si="10"/>
        <v>211.52713705007417</v>
      </c>
      <c r="CC25" s="62">
        <f t="shared" si="11"/>
        <v>504.86047038340746</v>
      </c>
      <c r="CD25" s="62">
        <f ca="1">AVERAGE(OFFSET($CC$3,0,0,'Données projet'!$E$12+1,1))-AVERAGE(OFFSET($H$3,0,0,'Données projet'!$E$12+1,1))</f>
        <v>237.4598967324826</v>
      </c>
      <c r="CE25" s="62">
        <f t="shared" si="40"/>
        <v>218.74305466112406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</v>
      </c>
      <c r="N26" s="14">
        <f>IF('Données projet'!$A$36&gt;35,N25+M26-V25,IF(A26&lt;'Données projet'!$A$36,$K$205^A26,IF(A26='Données projet'!$A$36,'Données projet'!$B$36,N25+M26-V25)))</f>
        <v>152</v>
      </c>
      <c r="O26" s="14">
        <f>N26*VLOOKUP('Données projet'!$B$9,Paramètres!$A$1:$I$89,3,0)*VLOOKUP('Données projet'!$B$9,Paramètres!$A$1:$I$89,5,0)</f>
        <v>94.847999999999999</v>
      </c>
      <c r="P26" s="14">
        <f t="shared" si="33"/>
        <v>25.730851751939202</v>
      </c>
      <c r="Q26" s="22">
        <f t="shared" si="2"/>
        <v>210.0081668012941</v>
      </c>
      <c r="R26" s="62">
        <f t="shared" si="0"/>
        <v>503.34150013462738</v>
      </c>
      <c r="S26" s="62">
        <f ca="1">AVERAGE(OFFSET($R$3,0,0,'Données projet'!$E$9+1,1))-AVERAGE(OFFSET($H$3,0,0,'Données projet'!$E$9+1,1))</f>
        <v>205.33000726169792</v>
      </c>
      <c r="T26" s="62">
        <f t="shared" si="34"/>
        <v>307.23455947678775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2.8888888888888888</v>
      </c>
      <c r="AI26" s="14">
        <f>IF('Données projet'!$A$62&gt;35,AI25+AH26-AQ25,IF(A26&lt;'Données projet'!$A$62,$AF$205^A26,IF(A26='Données projet'!$A$62,'Données projet'!$B$62,AI25+AH26-AQ25)))</f>
        <v>66.444444444444414</v>
      </c>
      <c r="AJ26" s="14">
        <f>AI26*VLOOKUP('Données projet'!$B$10,Paramètres!$A$1:$I$89,3,0)*VLOOKUP('Données projet'!$B$10,Paramètres!$A$1:$I$89,5,0)</f>
        <v>32.823555555555544</v>
      </c>
      <c r="AK26" s="14">
        <f t="shared" si="35"/>
        <v>10.07520013483424</v>
      </c>
      <c r="AL26" s="22">
        <f t="shared" si="4"/>
        <v>74.715332827428867</v>
      </c>
      <c r="AM26" s="62">
        <f t="shared" si="5"/>
        <v>368.0486661607622</v>
      </c>
      <c r="AN26" s="62">
        <f ca="1">AVERAGE(OFFSET($AM$3,0,0,'Données projet'!$E$10+1,1))-AVERAGE(OFFSET($H$3,0,0,'Données projet'!$E$10+1,1))</f>
        <v>491.47342911047105</v>
      </c>
      <c r="AO26" s="62">
        <f t="shared" si="36"/>
        <v>58.734453933891757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49.533120000000011</v>
      </c>
      <c r="BF26" s="14">
        <f t="shared" si="37"/>
        <v>14.493120113047395</v>
      </c>
      <c r="BG26" s="22">
        <f t="shared" si="7"/>
        <v>111.5123681968909</v>
      </c>
      <c r="BH26" s="62">
        <f t="shared" si="8"/>
        <v>404.84570153022423</v>
      </c>
      <c r="BI26" s="62">
        <f ca="1">AVERAGE(OFFSET($BH$3,0,0,'Données projet'!$E$11+1,1))-AVERAGE(OFFSET($H$3,0,0,'Données projet'!$E$11+1,1))</f>
        <v>278.21934231434597</v>
      </c>
      <c r="BJ26" s="62">
        <f t="shared" si="38"/>
        <v>143.57726487417773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12.5</v>
      </c>
      <c r="BY26" s="13">
        <f>IF('Données projet'!$A$114&gt;35,BY25+BX26-CG25,IF(A26&lt;'Données projet'!$A$114,$BV$205^A26,IF(A26='Données projet'!$A$114,'Données projet'!$B$114,BY25+BX26-CG25)))</f>
        <v>132.6</v>
      </c>
      <c r="BZ26" s="14">
        <f>BY26*VLOOKUP('Données projet'!$B$12,Paramètres!$A$1:$I$89,3,0)*VLOOKUP('Données projet'!$B$12,Paramètres!$A$1:$I$89,5,0)</f>
        <v>105.49656000000002</v>
      </c>
      <c r="CA26" s="14">
        <f t="shared" si="39"/>
        <v>28.267371424916934</v>
      </c>
      <c r="CB26" s="22">
        <f t="shared" si="10"/>
        <v>232.9721805650637</v>
      </c>
      <c r="CC26" s="62">
        <f t="shared" si="11"/>
        <v>526.30551389839707</v>
      </c>
      <c r="CD26" s="62">
        <f ca="1">AVERAGE(OFFSET($CC$3,0,0,'Données projet'!$E$12+1,1))-AVERAGE(OFFSET($H$3,0,0,'Données projet'!$E$12+1,1))</f>
        <v>237.4598967324826</v>
      </c>
      <c r="CE26" s="62">
        <f t="shared" si="40"/>
        <v>218.74305466112406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168</v>
      </c>
      <c r="L27" s="13">
        <f>VLOOKUP(A27,'Données projet'!$A$35:$I$55,9,0)</f>
        <v>16</v>
      </c>
      <c r="M27" s="13">
        <f t="array" ref="M27">INDEX(L:L,MIN(IF(ISNUMBER(L27:L223),ROW(L27:L223),"")))</f>
        <v>16</v>
      </c>
      <c r="N27" s="14">
        <f>IF('Données projet'!$A$36&gt;35,N26+M27-V26,IF(A27&lt;'Données projet'!$A$36,$K$205^A27,IF(A27='Données projet'!$A$36,'Données projet'!$B$36,N26+M27-V26)))</f>
        <v>168</v>
      </c>
      <c r="O27" s="14">
        <f>N27*VLOOKUP('Données projet'!$B$9,Paramètres!$A$1:$I$89,3,0)*VLOOKUP('Données projet'!$B$9,Paramètres!$A$1:$I$89,5,0)</f>
        <v>104.83200000000001</v>
      </c>
      <c r="P27" s="14">
        <f t="shared" si="33"/>
        <v>28.109974371137717</v>
      </c>
      <c r="Q27" s="22">
        <f t="shared" si="2"/>
        <v>231.54060536306486</v>
      </c>
      <c r="R27" s="62">
        <f t="shared" si="0"/>
        <v>524.87393869639823</v>
      </c>
      <c r="S27" s="62">
        <f ca="1">AVERAGE(OFFSET($R$3,0,0,'Données projet'!$E$9+1,1))-AVERAGE(OFFSET($H$3,0,0,'Données projet'!$E$9+1,1))</f>
        <v>205.33000726169792</v>
      </c>
      <c r="T27" s="62">
        <f t="shared" si="34"/>
        <v>307.23455947678775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2.8888888888888888</v>
      </c>
      <c r="AI27" s="14">
        <f>IF('Données projet'!$A$62&gt;35,AI26+AH27-AQ26,IF(A27&lt;'Données projet'!$A$62,$AF$205^A27,IF(A27='Données projet'!$A$62,'Données projet'!$B$62,AI26+AH27-AQ26)))</f>
        <v>69.3333333333333</v>
      </c>
      <c r="AJ27" s="14">
        <f>AI27*VLOOKUP('Données projet'!$B$10,Paramètres!$A$1:$I$89,3,0)*VLOOKUP('Données projet'!$B$10,Paramètres!$A$1:$I$89,5,0)</f>
        <v>34.250666666666653</v>
      </c>
      <c r="AK27" s="14">
        <f t="shared" si="35"/>
        <v>10.461299095500312</v>
      </c>
      <c r="AL27" s="22">
        <f t="shared" si="4"/>
        <v>77.873340369107467</v>
      </c>
      <c r="AM27" s="62">
        <f t="shared" si="5"/>
        <v>371.20667370244075</v>
      </c>
      <c r="AN27" s="62">
        <f ca="1">AVERAGE(OFFSET($AM$3,0,0,'Données projet'!$E$10+1,1))-AVERAGE(OFFSET($H$3,0,0,'Données projet'!$E$10+1,1))</f>
        <v>491.47342911047105</v>
      </c>
      <c r="AO27" s="62">
        <f t="shared" si="36"/>
        <v>58.734453933891757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54.250560000000007</v>
      </c>
      <c r="BF27" s="14">
        <f t="shared" si="37"/>
        <v>15.706218631166928</v>
      </c>
      <c r="BG27" s="22">
        <f t="shared" si="7"/>
        <v>121.84138944928242</v>
      </c>
      <c r="BH27" s="62">
        <f t="shared" si="8"/>
        <v>415.17472278261573</v>
      </c>
      <c r="BI27" s="62">
        <f ca="1">AVERAGE(OFFSET($BH$3,0,0,'Données projet'!$E$11+1,1))-AVERAGE(OFFSET($H$3,0,0,'Données projet'!$E$11+1,1))</f>
        <v>278.21934231434597</v>
      </c>
      <c r="BJ27" s="62">
        <f t="shared" si="38"/>
        <v>143.57726487417773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12.5</v>
      </c>
      <c r="BY27" s="13">
        <f>IF('Données projet'!$A$114&gt;35,BY26+BX27-CG26,IF(A27&lt;'Données projet'!$A$114,$BV$205^A27,IF(A27='Données projet'!$A$114,'Données projet'!$B$114,BY26+BX27-CG26)))</f>
        <v>145.1</v>
      </c>
      <c r="BZ27" s="14">
        <f>BY27*VLOOKUP('Données projet'!$B$12,Paramètres!$A$1:$I$89,3,0)*VLOOKUP('Données projet'!$B$12,Paramètres!$A$1:$I$89,5,0)</f>
        <v>115.44156000000001</v>
      </c>
      <c r="CA27" s="14">
        <f t="shared" si="39"/>
        <v>30.609433583241273</v>
      </c>
      <c r="CB27" s="22">
        <f t="shared" si="10"/>
        <v>254.37214715747857</v>
      </c>
      <c r="CC27" s="62">
        <f t="shared" si="11"/>
        <v>547.70548049081185</v>
      </c>
      <c r="CD27" s="62">
        <f ca="1">AVERAGE(OFFSET($CC$3,0,0,'Données projet'!$E$12+1,1))-AVERAGE(OFFSET($H$3,0,0,'Données projet'!$E$12+1,1))</f>
        <v>237.4598967324826</v>
      </c>
      <c r="CE27" s="62">
        <f t="shared" si="40"/>
        <v>218.74305466112406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14.166666666666666</v>
      </c>
      <c r="N28" s="14">
        <f>IF('Données projet'!$A$36&gt;35,N27+M28-V27,IF(A28&lt;'Données projet'!$A$36,$K$205^A28,IF(A28='Données projet'!$A$36,'Données projet'!$B$36,N27+M28-V27)))</f>
        <v>182.16666666666666</v>
      </c>
      <c r="O28" s="14">
        <f>N28*VLOOKUP('Données projet'!$B$9,Paramètres!$A$1:$I$89,3,0)*VLOOKUP('Données projet'!$B$9,Paramètres!$A$1:$I$89,5,0)</f>
        <v>113.672</v>
      </c>
      <c r="P28" s="14">
        <f t="shared" si="33"/>
        <v>30.194476096101166</v>
      </c>
      <c r="Q28" s="22">
        <f t="shared" si="2"/>
        <v>250.56744586737622</v>
      </c>
      <c r="R28" s="62">
        <f t="shared" si="0"/>
        <v>543.90077920070951</v>
      </c>
      <c r="S28" s="62">
        <f ca="1">AVERAGE(OFFSET($R$3,0,0,'Données projet'!$E$9+1,1))-AVERAGE(OFFSET($H$3,0,0,'Données projet'!$E$9+1,1))</f>
        <v>205.33000726169792</v>
      </c>
      <c r="T28" s="62">
        <f t="shared" si="34"/>
        <v>307.23455947678775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2.8888888888888888</v>
      </c>
      <c r="AI28" s="14">
        <f>IF('Données projet'!$A$62&gt;35,AI27+AH28-AQ27,IF(A28&lt;'Données projet'!$A$62,$AF$205^A28,IF(A28='Données projet'!$A$62,'Données projet'!$B$62,AI27+AH28-AQ27)))</f>
        <v>72.222222222222186</v>
      </c>
      <c r="AJ28" s="14">
        <f>AI28*VLOOKUP('Données projet'!$B$10,Paramètres!$A$1:$I$89,3,0)*VLOOKUP('Données projet'!$B$10,Paramètres!$A$1:$I$89,5,0)</f>
        <v>35.677777777777763</v>
      </c>
      <c r="AK28" s="14">
        <f t="shared" si="35"/>
        <v>10.845529438871214</v>
      </c>
      <c r="AL28" s="22">
        <f t="shared" si="4"/>
        <v>81.028093402330299</v>
      </c>
      <c r="AM28" s="62">
        <f t="shared" si="5"/>
        <v>374.3614267356636</v>
      </c>
      <c r="AN28" s="62">
        <f ca="1">AVERAGE(OFFSET($AM$3,0,0,'Données projet'!$E$10+1,1))-AVERAGE(OFFSET($H$3,0,0,'Données projet'!$E$10+1,1))</f>
        <v>491.47342911047105</v>
      </c>
      <c r="AO28" s="62">
        <f t="shared" si="36"/>
        <v>58.734453933891757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58.968000000000011</v>
      </c>
      <c r="BF28" s="14">
        <f t="shared" si="37"/>
        <v>16.907084152971134</v>
      </c>
      <c r="BG28" s="22">
        <f t="shared" si="7"/>
        <v>132.14910489975807</v>
      </c>
      <c r="BH28" s="62">
        <f t="shared" si="8"/>
        <v>425.48243823309139</v>
      </c>
      <c r="BI28" s="62">
        <f ca="1">AVERAGE(OFFSET($BH$3,0,0,'Données projet'!$E$11+1,1))-AVERAGE(OFFSET($H$3,0,0,'Données projet'!$E$11+1,1))</f>
        <v>278.21934231434597</v>
      </c>
      <c r="BJ28" s="62">
        <f t="shared" si="38"/>
        <v>143.57726487417773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157.6</v>
      </c>
      <c r="BW28" s="13">
        <f>VLOOKUP(A28,'Données projet'!$A$113:$I$133,9,0)</f>
        <v>12.5</v>
      </c>
      <c r="BX28" s="13">
        <f t="array" ref="BX28">INDEX(BW:BW,MIN(IF(ISNUMBER(BW28:BW224),ROW(BW28:BW224),"")))</f>
        <v>12.5</v>
      </c>
      <c r="BY28" s="13">
        <f>IF('Données projet'!$A$114&gt;35,BY27+BX28-CG27,IF(A28&lt;'Données projet'!$A$114,$BV$205^A28,IF(A28='Données projet'!$A$114,'Données projet'!$B$114,BY27+BX28-CG27)))</f>
        <v>157.6</v>
      </c>
      <c r="BZ28" s="14">
        <f>BY28*VLOOKUP('Données projet'!$B$12,Paramètres!$A$1:$I$89,3,0)*VLOOKUP('Données projet'!$B$12,Paramètres!$A$1:$I$89,5,0)</f>
        <v>125.38656000000002</v>
      </c>
      <c r="CA28" s="14">
        <f t="shared" si="39"/>
        <v>32.928097385453526</v>
      </c>
      <c r="CB28" s="22">
        <f t="shared" si="10"/>
        <v>275.73136161299823</v>
      </c>
      <c r="CC28" s="62">
        <f t="shared" si="11"/>
        <v>569.06469494633154</v>
      </c>
      <c r="CD28" s="62">
        <f ca="1">AVERAGE(OFFSET($CC$3,0,0,'Données projet'!$E$12+1,1))-AVERAGE(OFFSET($H$3,0,0,'Données projet'!$E$12+1,1))</f>
        <v>237.4598967324826</v>
      </c>
      <c r="CE28" s="62">
        <f t="shared" si="40"/>
        <v>218.74305466112406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71.099999999999994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14.166666666666666</v>
      </c>
      <c r="N29" s="14">
        <f>IF('Données projet'!$A$36&gt;35,N28+M29-V28,IF(A29&lt;'Données projet'!$A$36,$K$205^A29,IF(A29='Données projet'!$A$36,'Données projet'!$B$36,N28+M29-V28)))</f>
        <v>196.33333333333331</v>
      </c>
      <c r="O29" s="14">
        <f>N29*VLOOKUP('Données projet'!$B$9,Paramètres!$A$1:$I$89,3,0)*VLOOKUP('Données projet'!$B$9,Paramètres!$A$1:$I$89,5,0)</f>
        <v>122.51199999999997</v>
      </c>
      <c r="P29" s="14">
        <f t="shared" si="33"/>
        <v>32.260173749374388</v>
      </c>
      <c r="Q29" s="22">
        <f t="shared" si="2"/>
        <v>269.56153594682701</v>
      </c>
      <c r="R29" s="62">
        <f t="shared" si="0"/>
        <v>562.89486928016026</v>
      </c>
      <c r="S29" s="62">
        <f ca="1">AVERAGE(OFFSET($R$3,0,0,'Données projet'!$E$9+1,1))-AVERAGE(OFFSET($H$3,0,0,'Données projet'!$E$9+1,1))</f>
        <v>205.33000726169792</v>
      </c>
      <c r="T29" s="62">
        <f t="shared" si="34"/>
        <v>307.23455947678775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2.8888888888888888</v>
      </c>
      <c r="AI29" s="14">
        <f>IF('Données projet'!$A$62&gt;35,AI28+AH29-AQ28,IF(A29&lt;'Données projet'!$A$62,$AF$205^A29,IF(A29='Données projet'!$A$62,'Données projet'!$B$62,AI28+AH29-AQ28)))</f>
        <v>75.111111111111072</v>
      </c>
      <c r="AJ29" s="14">
        <f>AI29*VLOOKUP('Données projet'!$B$10,Paramètres!$A$1:$I$89,3,0)*VLOOKUP('Données projet'!$B$10,Paramètres!$A$1:$I$89,5,0)</f>
        <v>37.104888888888873</v>
      </c>
      <c r="AK29" s="14">
        <f t="shared" si="35"/>
        <v>11.227974461227545</v>
      </c>
      <c r="AL29" s="22">
        <f t="shared" si="4"/>
        <v>84.17973700145275</v>
      </c>
      <c r="AM29" s="62">
        <f t="shared" si="5"/>
        <v>377.51307033478605</v>
      </c>
      <c r="AN29" s="62">
        <f ca="1">AVERAGE(OFFSET($AM$3,0,0,'Données projet'!$E$10+1,1))-AVERAGE(OFFSET($H$3,0,0,'Données projet'!$E$10+1,1))</f>
        <v>491.47342911047105</v>
      </c>
      <c r="AO29" s="62">
        <f t="shared" si="36"/>
        <v>58.734453933891757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69</v>
      </c>
      <c r="BE29" s="14">
        <f>BD29*VLOOKUP('Données projet'!$B$11,Paramètres!$A$1:$I$89,3,0)*VLOOKUP('Données projet'!$B$11,Paramètres!$A$1:$I$89,5,0)</f>
        <v>58.125600000000013</v>
      </c>
      <c r="BF29" s="14">
        <f t="shared" si="37"/>
        <v>16.693490054590175</v>
      </c>
      <c r="BG29" s="22">
        <f t="shared" si="7"/>
        <v>130.30991517841125</v>
      </c>
      <c r="BH29" s="62">
        <f t="shared" si="8"/>
        <v>423.64324851174456</v>
      </c>
      <c r="BI29" s="62">
        <f ca="1">AVERAGE(OFFSET($BH$3,0,0,'Données projet'!$E$11+1,1))-AVERAGE(OFFSET($H$3,0,0,'Données projet'!$E$11+1,1))</f>
        <v>278.21934231434597</v>
      </c>
      <c r="BJ29" s="62">
        <f t="shared" si="38"/>
        <v>143.57726487417773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12</v>
      </c>
      <c r="BY29" s="13">
        <f>IF('Données projet'!$A$114&gt;35,BY28+BX29-CG28,IF(A29&lt;'Données projet'!$A$114,$BV$205^A29,IF(A29='Données projet'!$A$114,'Données projet'!$B$114,BY28+BX29-CG28)))</f>
        <v>98.5</v>
      </c>
      <c r="BZ29" s="14">
        <f>BY29*VLOOKUP('Données projet'!$B$12,Paramètres!$A$1:$I$89,3,0)*VLOOKUP('Données projet'!$B$12,Paramètres!$A$1:$I$89,5,0)</f>
        <v>78.366600000000005</v>
      </c>
      <c r="CA29" s="14">
        <f t="shared" si="39"/>
        <v>21.737331115333586</v>
      </c>
      <c r="CB29" s="22">
        <f t="shared" si="10"/>
        <v>174.34768002587268</v>
      </c>
      <c r="CC29" s="62">
        <f t="shared" si="11"/>
        <v>467.68101335920596</v>
      </c>
      <c r="CD29" s="62">
        <f ca="1">AVERAGE(OFFSET($CC$3,0,0,'Données projet'!$E$12+1,1))-AVERAGE(OFFSET($H$3,0,0,'Données projet'!$E$12+1,1))</f>
        <v>237.4598967324826</v>
      </c>
      <c r="CE29" s="62">
        <f t="shared" si="40"/>
        <v>218.74305466112406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14.166666666666666</v>
      </c>
      <c r="N30" s="14">
        <f>IF('Données projet'!$A$36&gt;35,N29+M30-V29,IF(A30&lt;'Données projet'!$A$36,$K$205^A30,IF(A30='Données projet'!$A$36,'Données projet'!$B$36,N29+M30-V29)))</f>
        <v>210.49999999999997</v>
      </c>
      <c r="O30" s="14">
        <f>N30*VLOOKUP('Données projet'!$B$9,Paramètres!$A$1:$I$89,3,0)*VLOOKUP('Données projet'!$B$9,Paramètres!$A$1:$I$89,5,0)</f>
        <v>131.35199999999998</v>
      </c>
      <c r="P30" s="14">
        <f t="shared" si="33"/>
        <v>34.308578470466699</v>
      </c>
      <c r="Q30" s="22">
        <f t="shared" si="2"/>
        <v>288.52550750272945</v>
      </c>
      <c r="R30" s="62">
        <f t="shared" si="0"/>
        <v>581.85884083606277</v>
      </c>
      <c r="S30" s="62">
        <f ca="1">AVERAGE(OFFSET($R$3,0,0,'Données projet'!$E$9+1,1))-AVERAGE(OFFSET($H$3,0,0,'Données projet'!$E$9+1,1))</f>
        <v>205.33000726169792</v>
      </c>
      <c r="T30" s="62">
        <f t="shared" si="34"/>
        <v>307.23455947678775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2.8888888888888888</v>
      </c>
      <c r="AI30" s="14">
        <f>IF('Données projet'!$A$62&gt;35,AI29+AH30-AQ29,IF(A30&lt;'Données projet'!$A$62,$AF$205^A30,IF(A30='Données projet'!$A$62,'Données projet'!$B$62,AI29+AH30-AQ29)))</f>
        <v>77.999999999999957</v>
      </c>
      <c r="AJ30" s="14">
        <f>AI30*VLOOKUP('Données projet'!$B$10,Paramètres!$A$1:$I$89,3,0)*VLOOKUP('Données projet'!$B$10,Paramètres!$A$1:$I$89,5,0)</f>
        <v>38.531999999999982</v>
      </c>
      <c r="AK30" s="14">
        <f t="shared" si="35"/>
        <v>11.60871068858415</v>
      </c>
      <c r="AL30" s="22">
        <f t="shared" si="4"/>
        <v>87.328404449284037</v>
      </c>
      <c r="AM30" s="62">
        <f t="shared" si="5"/>
        <v>380.66173778261737</v>
      </c>
      <c r="AN30" s="62">
        <f ca="1">AVERAGE(OFFSET($AM$3,0,0,'Données projet'!$E$10+1,1))-AVERAGE(OFFSET($H$3,0,0,'Données projet'!$E$10+1,1))</f>
        <v>491.47342911047105</v>
      </c>
      <c r="AO30" s="62">
        <f t="shared" si="36"/>
        <v>58.734453933891757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76</v>
      </c>
      <c r="BE30" s="14">
        <f>BD30*VLOOKUP('Données projet'!$B$11,Paramètres!$A$1:$I$89,3,0)*VLOOKUP('Données projet'!$B$11,Paramètres!$A$1:$I$89,5,0)</f>
        <v>64.022400000000019</v>
      </c>
      <c r="BF30" s="14">
        <f t="shared" si="37"/>
        <v>18.181385543312242</v>
      </c>
      <c r="BG30" s="22">
        <f t="shared" si="7"/>
        <v>143.17159315460219</v>
      </c>
      <c r="BH30" s="62">
        <f t="shared" si="8"/>
        <v>436.50492648793551</v>
      </c>
      <c r="BI30" s="62">
        <f ca="1">AVERAGE(OFFSET($BH$3,0,0,'Données projet'!$E$11+1,1))-AVERAGE(OFFSET($H$3,0,0,'Données projet'!$E$11+1,1))</f>
        <v>278.21934231434597</v>
      </c>
      <c r="BJ30" s="62">
        <f t="shared" si="38"/>
        <v>143.57726487417773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12</v>
      </c>
      <c r="BY30" s="13">
        <f>IF('Données projet'!$A$114&gt;35,BY29+BX30-CG29,IF(A30&lt;'Données projet'!$A$114,$BV$205^A30,IF(A30='Données projet'!$A$114,'Données projet'!$B$114,BY29+BX30-CG29)))</f>
        <v>110.5</v>
      </c>
      <c r="BZ30" s="14">
        <f>BY30*VLOOKUP('Données projet'!$B$12,Paramètres!$A$1:$I$89,3,0)*VLOOKUP('Données projet'!$B$12,Paramètres!$A$1:$I$89,5,0)</f>
        <v>87.913800000000009</v>
      </c>
      <c r="CA30" s="14">
        <f t="shared" si="39"/>
        <v>24.061399085756083</v>
      </c>
      <c r="CB30" s="22">
        <f t="shared" si="10"/>
        <v>195.02347174102519</v>
      </c>
      <c r="CC30" s="62">
        <f t="shared" si="11"/>
        <v>488.35680507435848</v>
      </c>
      <c r="CD30" s="62">
        <f ca="1">AVERAGE(OFFSET($CC$3,0,0,'Données projet'!$E$12+1,1))-AVERAGE(OFFSET($H$3,0,0,'Données projet'!$E$12+1,1))</f>
        <v>237.4598967324826</v>
      </c>
      <c r="CE30" s="62">
        <f t="shared" si="40"/>
        <v>218.74305466112406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14.166666666666666</v>
      </c>
      <c r="N31" s="14">
        <f>IF('Données projet'!$A$36&gt;35,N30+M31-V30,IF(A31&lt;'Données projet'!$A$36,$K$205^A31,IF(A31='Données projet'!$A$36,'Données projet'!$B$36,N30+M31-V30)))</f>
        <v>224.66666666666663</v>
      </c>
      <c r="O31" s="14">
        <f>N31*VLOOKUP('Données projet'!$B$9,Paramètres!$A$1:$I$89,3,0)*VLOOKUP('Données projet'!$B$9,Paramètres!$A$1:$I$89,5,0)</f>
        <v>140.19199999999998</v>
      </c>
      <c r="P31" s="14">
        <f t="shared" si="33"/>
        <v>36.340986489928383</v>
      </c>
      <c r="Q31" s="22">
        <f t="shared" si="2"/>
        <v>307.46161813662519</v>
      </c>
      <c r="R31" s="62">
        <f t="shared" si="0"/>
        <v>600.79495146995851</v>
      </c>
      <c r="S31" s="62">
        <f ca="1">AVERAGE(OFFSET($R$3,0,0,'Données projet'!$E$9+1,1))-AVERAGE(OFFSET($H$3,0,0,'Données projet'!$E$9+1,1))</f>
        <v>205.33000726169792</v>
      </c>
      <c r="T31" s="62">
        <f t="shared" si="34"/>
        <v>307.23455947678775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2.8888888888888888</v>
      </c>
      <c r="AI31" s="14">
        <f>IF('Données projet'!$A$62&gt;35,AI30+AH31-AQ30,IF(A31&lt;'Données projet'!$A$62,$AF$205^A31,IF(A31='Données projet'!$A$62,'Données projet'!$B$62,AI30+AH31-AQ30)))</f>
        <v>80.888888888888843</v>
      </c>
      <c r="AJ31" s="14">
        <f>AI31*VLOOKUP('Données projet'!$B$10,Paramètres!$A$1:$I$89,3,0)*VLOOKUP('Données projet'!$B$10,Paramètres!$A$1:$I$89,5,0)</f>
        <v>39.959111111111092</v>
      </c>
      <c r="AK31" s="14">
        <f t="shared" si="35"/>
        <v>11.987808657181205</v>
      </c>
      <c r="AL31" s="22">
        <f t="shared" si="4"/>
        <v>90.474218596442412</v>
      </c>
      <c r="AM31" s="62">
        <f t="shared" si="5"/>
        <v>383.80755192977574</v>
      </c>
      <c r="AN31" s="62">
        <f ca="1">AVERAGE(OFFSET($AM$3,0,0,'Données projet'!$E$10+1,1))-AVERAGE(OFFSET($H$3,0,0,'Données projet'!$E$10+1,1))</f>
        <v>491.47342911047105</v>
      </c>
      <c r="AO31" s="62">
        <f t="shared" si="36"/>
        <v>58.734453933891757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83</v>
      </c>
      <c r="BE31" s="14">
        <f>BD31*VLOOKUP('Données projet'!$B$11,Paramètres!$A$1:$I$89,3,0)*VLOOKUP('Données projet'!$B$11,Paramètres!$A$1:$I$89,5,0)</f>
        <v>69.919200000000004</v>
      </c>
      <c r="BF31" s="14">
        <f t="shared" si="37"/>
        <v>19.653390735061731</v>
      </c>
      <c r="BG31" s="22">
        <f t="shared" si="7"/>
        <v>156.00559553023251</v>
      </c>
      <c r="BH31" s="62">
        <f t="shared" si="8"/>
        <v>449.3389288635658</v>
      </c>
      <c r="BI31" s="62">
        <f ca="1">AVERAGE(OFFSET($BH$3,0,0,'Données projet'!$E$11+1,1))-AVERAGE(OFFSET($H$3,0,0,'Données projet'!$E$11+1,1))</f>
        <v>278.21934231434597</v>
      </c>
      <c r="BJ31" s="62">
        <f t="shared" si="38"/>
        <v>143.57726487417773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12</v>
      </c>
      <c r="BY31" s="13">
        <f>IF('Données projet'!$A$114&gt;35,BY30+BX31-CG30,IF(A31&lt;'Données projet'!$A$114,$BV$205^A31,IF(A31='Données projet'!$A$114,'Données projet'!$B$114,BY30+BX31-CG30)))</f>
        <v>122.5</v>
      </c>
      <c r="BZ31" s="14">
        <f>BY31*VLOOKUP('Données projet'!$B$12,Paramètres!$A$1:$I$89,3,0)*VLOOKUP('Données projet'!$B$12,Paramètres!$A$1:$I$89,5,0)</f>
        <v>97.460999999999999</v>
      </c>
      <c r="CA31" s="14">
        <f t="shared" si="39"/>
        <v>26.356213417143714</v>
      </c>
      <c r="CB31" s="22">
        <f t="shared" si="10"/>
        <v>215.64831336819194</v>
      </c>
      <c r="CC31" s="62">
        <f t="shared" si="11"/>
        <v>508.98164670152528</v>
      </c>
      <c r="CD31" s="62">
        <f ca="1">AVERAGE(OFFSET($CC$3,0,0,'Données projet'!$E$12+1,1))-AVERAGE(OFFSET($H$3,0,0,'Données projet'!$E$12+1,1))</f>
        <v>237.4598967324826</v>
      </c>
      <c r="CE31" s="62">
        <f t="shared" si="40"/>
        <v>218.74305466112406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14.166666666666666</v>
      </c>
      <c r="N32" s="14">
        <f>IF('Données projet'!$A$36&gt;35,N31+M32-V31,IF(A32&lt;'Données projet'!$A$36,$K$205^A32,IF(A32='Données projet'!$A$36,'Données projet'!$B$36,N31+M32-V31)))</f>
        <v>238.83333333333329</v>
      </c>
      <c r="O32" s="14">
        <f>N32*VLOOKUP('Données projet'!$B$9,Paramètres!$A$1:$I$89,3,0)*VLOOKUP('Données projet'!$B$9,Paramètres!$A$1:$I$89,5,0)</f>
        <v>149.03199999999998</v>
      </c>
      <c r="P32" s="14">
        <f t="shared" si="33"/>
        <v>38.358521326699815</v>
      </c>
      <c r="Q32" s="22">
        <f t="shared" si="2"/>
        <v>326.37182464400212</v>
      </c>
      <c r="R32" s="62">
        <f t="shared" si="0"/>
        <v>619.70515797733538</v>
      </c>
      <c r="S32" s="62">
        <f ca="1">AVERAGE(OFFSET($R$3,0,0,'Données projet'!$E$9+1,1))-AVERAGE(OFFSET($H$3,0,0,'Données projet'!$E$9+1,1))</f>
        <v>205.33000726169792</v>
      </c>
      <c r="T32" s="62">
        <f t="shared" si="34"/>
        <v>307.23455947678775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2.8888888888888888</v>
      </c>
      <c r="AI32" s="14">
        <f>IF('Données projet'!$A$62&gt;35,AI31+AH32-AQ31,IF(A32&lt;'Données projet'!$A$62,$AF$205^A32,IF(A32='Données projet'!$A$62,'Données projet'!$B$62,AI31+AH32-AQ31)))</f>
        <v>83.777777777777729</v>
      </c>
      <c r="AJ32" s="14">
        <f>AI32*VLOOKUP('Données projet'!$B$10,Paramètres!$A$1:$I$89,3,0)*VLOOKUP('Données projet'!$B$10,Paramètres!$A$1:$I$89,5,0)</f>
        <v>41.386222222222202</v>
      </c>
      <c r="AK32" s="14">
        <f t="shared" si="35"/>
        <v>12.365333579343227</v>
      </c>
      <c r="AL32" s="22">
        <f t="shared" si="4"/>
        <v>93.61729302105978</v>
      </c>
      <c r="AM32" s="62">
        <f t="shared" si="5"/>
        <v>386.95062635439308</v>
      </c>
      <c r="AN32" s="62">
        <f ca="1">AVERAGE(OFFSET($AM$3,0,0,'Données projet'!$E$10+1,1))-AVERAGE(OFFSET($H$3,0,0,'Données projet'!$E$10+1,1))</f>
        <v>491.47342911047105</v>
      </c>
      <c r="AO32" s="62">
        <f t="shared" si="36"/>
        <v>58.734453933891757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90</v>
      </c>
      <c r="BE32" s="14">
        <f>BD32*VLOOKUP('Données projet'!$B$11,Paramètres!$A$1:$I$89,3,0)*VLOOKUP('Données projet'!$B$11,Paramètres!$A$1:$I$89,5,0)</f>
        <v>75.816000000000003</v>
      </c>
      <c r="BF32" s="14">
        <f t="shared" si="37"/>
        <v>21.110998140607162</v>
      </c>
      <c r="BG32" s="22">
        <f t="shared" si="7"/>
        <v>168.81452176155747</v>
      </c>
      <c r="BH32" s="62">
        <f t="shared" si="8"/>
        <v>462.14785509489082</v>
      </c>
      <c r="BI32" s="62">
        <f ca="1">AVERAGE(OFFSET($BH$3,0,0,'Données projet'!$E$11+1,1))-AVERAGE(OFFSET($H$3,0,0,'Données projet'!$E$11+1,1))</f>
        <v>278.21934231434597</v>
      </c>
      <c r="BJ32" s="62">
        <f t="shared" si="38"/>
        <v>143.57726487417773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12</v>
      </c>
      <c r="BY32" s="13">
        <f>IF('Données projet'!$A$114&gt;35,BY31+BX32-CG31,IF(A32&lt;'Données projet'!$A$114,$BV$205^A32,IF(A32='Données projet'!$A$114,'Données projet'!$B$114,BY31+BX32-CG31)))</f>
        <v>134.5</v>
      </c>
      <c r="BZ32" s="14">
        <f>BY32*VLOOKUP('Données projet'!$B$12,Paramètres!$A$1:$I$89,3,0)*VLOOKUP('Données projet'!$B$12,Paramètres!$A$1:$I$89,5,0)</f>
        <v>107.0082</v>
      </c>
      <c r="CA32" s="14">
        <f t="shared" si="39"/>
        <v>28.624965901970803</v>
      </c>
      <c r="CB32" s="22">
        <f t="shared" si="10"/>
        <v>236.22776394593248</v>
      </c>
      <c r="CC32" s="62">
        <f t="shared" si="11"/>
        <v>529.56109727926582</v>
      </c>
      <c r="CD32" s="62">
        <f ca="1">AVERAGE(OFFSET($CC$3,0,0,'Données projet'!$E$12+1,1))-AVERAGE(OFFSET($H$3,0,0,'Données projet'!$E$12+1,1))</f>
        <v>237.4598967324826</v>
      </c>
      <c r="CE32" s="62">
        <f t="shared" si="40"/>
        <v>218.74305466112406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253</v>
      </c>
      <c r="L33" s="13">
        <f>VLOOKUP(A33,'Données projet'!$A$35:$I$55,9,0)</f>
        <v>14.166666666666666</v>
      </c>
      <c r="M33" s="13">
        <f t="array" ref="M33">INDEX(L:L,MIN(IF(ISNUMBER(L33:L229),ROW(L33:L229),"")))</f>
        <v>14.166666666666666</v>
      </c>
      <c r="N33" s="14">
        <f>IF('Données projet'!$A$36&gt;35,N32+M33-V32,IF(A33&lt;'Données projet'!$A$36,$K$205^A33,IF(A33='Données projet'!$A$36,'Données projet'!$B$36,N32+M33-V32)))</f>
        <v>252.99999999999994</v>
      </c>
      <c r="O33" s="14">
        <f>N33*VLOOKUP('Données projet'!$B$9,Paramètres!$A$1:$I$89,3,0)*VLOOKUP('Données projet'!$B$9,Paramètres!$A$1:$I$89,5,0)</f>
        <v>157.87199999999996</v>
      </c>
      <c r="P33" s="14">
        <f t="shared" si="33"/>
        <v>40.362165684361159</v>
      </c>
      <c r="Q33" s="22">
        <f t="shared" si="2"/>
        <v>345.25783856692897</v>
      </c>
      <c r="R33" s="62">
        <f t="shared" si="0"/>
        <v>638.59117190026222</v>
      </c>
      <c r="S33" s="62">
        <f ca="1">AVERAGE(OFFSET($R$3,0,0,'Données projet'!$E$9+1,1))-AVERAGE(OFFSET($H$3,0,0,'Données projet'!$E$9+1,1))</f>
        <v>205.33000726169792</v>
      </c>
      <c r="T33" s="62">
        <f t="shared" si="34"/>
        <v>307.23455947678775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82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2.8888888888888888</v>
      </c>
      <c r="AI33" s="14">
        <f>IF('Données projet'!$A$62&gt;35,AI32+AH33-AQ32,IF(A33&lt;'Données projet'!$A$62,$AF$205^A33,IF(A33='Données projet'!$A$62,'Données projet'!$B$62,AI32+AH33-AQ32)))</f>
        <v>86.666666666666615</v>
      </c>
      <c r="AJ33" s="14">
        <f>AI33*VLOOKUP('Données projet'!$B$10,Paramètres!$A$1:$I$89,3,0)*VLOOKUP('Données projet'!$B$10,Paramètres!$A$1:$I$89,5,0)</f>
        <v>42.813333333333311</v>
      </c>
      <c r="AK33" s="14">
        <f t="shared" si="35"/>
        <v>12.741345914915239</v>
      </c>
      <c r="AL33" s="22">
        <f t="shared" si="4"/>
        <v>96.757733024032902</v>
      </c>
      <c r="AM33" s="62">
        <f t="shared" si="5"/>
        <v>390.09106635736623</v>
      </c>
      <c r="AN33" s="62">
        <f ca="1">AVERAGE(OFFSET($AM$3,0,0,'Données projet'!$E$10+1,1))-AVERAGE(OFFSET($H$3,0,0,'Données projet'!$E$10+1,1))</f>
        <v>491.47342911047105</v>
      </c>
      <c r="AO33" s="62">
        <f t="shared" si="36"/>
        <v>58.734453933891757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97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97</v>
      </c>
      <c r="BE33" s="14">
        <f>BD33*VLOOKUP('Données projet'!$B$11,Paramètres!$A$1:$I$89,3,0)*VLOOKUP('Données projet'!$B$11,Paramètres!$A$1:$I$89,5,0)</f>
        <v>81.712800000000001</v>
      </c>
      <c r="BF33" s="14">
        <f t="shared" si="37"/>
        <v>22.55545490774292</v>
      </c>
      <c r="BG33" s="22">
        <f t="shared" si="7"/>
        <v>181.60054396431892</v>
      </c>
      <c r="BH33" s="62">
        <f t="shared" si="8"/>
        <v>474.9338772976522</v>
      </c>
      <c r="BI33" s="62">
        <f ca="1">AVERAGE(OFFSET($BH$3,0,0,'Données projet'!$E$11+1,1))-AVERAGE(OFFSET($H$3,0,0,'Données projet'!$E$11+1,1))</f>
        <v>278.21934231434597</v>
      </c>
      <c r="BJ33" s="62">
        <f t="shared" si="38"/>
        <v>143.57726487417773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146.5</v>
      </c>
      <c r="BW33" s="13">
        <f>VLOOKUP(A33,'Données projet'!$A$113:$I$133,9,0)</f>
        <v>12</v>
      </c>
      <c r="BX33" s="13">
        <f t="array" ref="BX33">INDEX(BW:BW,MIN(IF(ISNUMBER(BW33:BW229),ROW(BW33:BW229),"")))</f>
        <v>12</v>
      </c>
      <c r="BY33" s="13">
        <f>IF('Données projet'!$A$114&gt;35,BY32+BX33-CG32,IF(A33&lt;'Données projet'!$A$114,$BV$205^A33,IF(A33='Données projet'!$A$114,'Données projet'!$B$114,BY32+BX33-CG32)))</f>
        <v>146.5</v>
      </c>
      <c r="BZ33" s="14">
        <f>BY33*VLOOKUP('Données projet'!$B$12,Paramètres!$A$1:$I$89,3,0)*VLOOKUP('Données projet'!$B$12,Paramètres!$A$1:$I$89,5,0)</f>
        <v>116.55540000000001</v>
      </c>
      <c r="CA33" s="14">
        <f t="shared" si="39"/>
        <v>30.870246172975257</v>
      </c>
      <c r="CB33" s="22">
        <f t="shared" si="10"/>
        <v>256.76633375126522</v>
      </c>
      <c r="CC33" s="62">
        <f t="shared" si="11"/>
        <v>550.09966708459854</v>
      </c>
      <c r="CD33" s="62">
        <f ca="1">AVERAGE(OFFSET($CC$3,0,0,'Données projet'!$E$12+1,1))-AVERAGE(OFFSET($H$3,0,0,'Données projet'!$E$12+1,1))</f>
        <v>237.4598967324826</v>
      </c>
      <c r="CE33" s="62">
        <f t="shared" si="40"/>
        <v>218.74305466112406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12.833333333333334</v>
      </c>
      <c r="N34" s="14">
        <f>IF('Données projet'!$A$36&gt;35,N33+M34-V33,IF(A34&lt;'Données projet'!$A$36,$K$205^A34,IF(A34='Données projet'!$A$36,'Données projet'!$B$36,N33+M34-V33)))</f>
        <v>183.83333333333326</v>
      </c>
      <c r="O34" s="14">
        <f>N34*VLOOKUP('Données projet'!$B$9,Paramètres!$A$1:$I$89,3,0)*VLOOKUP('Données projet'!$B$9,Paramètres!$A$1:$I$89,5,0)</f>
        <v>114.71199999999996</v>
      </c>
      <c r="P34" s="14">
        <f t="shared" si="33"/>
        <v>30.438443898016164</v>
      </c>
      <c r="Q34" s="22">
        <f t="shared" si="2"/>
        <v>252.80368978904474</v>
      </c>
      <c r="R34" s="62">
        <f t="shared" si="0"/>
        <v>546.13702312237808</v>
      </c>
      <c r="S34" s="62">
        <f ca="1">AVERAGE(OFFSET($R$3,0,0,'Données projet'!$E$9+1,1))-AVERAGE(OFFSET($H$3,0,0,'Données projet'!$E$9+1,1))</f>
        <v>205.33000726169792</v>
      </c>
      <c r="T34" s="62">
        <f t="shared" si="34"/>
        <v>307.23455947678775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2.8888888888888888</v>
      </c>
      <c r="AI34" s="14">
        <f>IF('Données projet'!$A$62&gt;35,AI33+AH34-AQ33,IF(A34&lt;'Données projet'!$A$62,$AF$205^A34,IF(A34='Données projet'!$A$62,'Données projet'!$B$62,AI33+AH34-AQ33)))</f>
        <v>89.5555555555555</v>
      </c>
      <c r="AJ34" s="14">
        <f>AI34*VLOOKUP('Données projet'!$B$10,Paramètres!$A$1:$I$89,3,0)*VLOOKUP('Données projet'!$B$10,Paramètres!$A$1:$I$89,5,0)</f>
        <v>44.240444444444414</v>
      </c>
      <c r="AK34" s="14">
        <f t="shared" si="35"/>
        <v>13.115901864367101</v>
      </c>
      <c r="AL34" s="22">
        <f t="shared" si="4"/>
        <v>99.89563648784673</v>
      </c>
      <c r="AM34" s="62">
        <f t="shared" si="5"/>
        <v>393.22896982118004</v>
      </c>
      <c r="AN34" s="62">
        <f ca="1">AVERAGE(OFFSET($AM$3,0,0,'Données projet'!$E$10+1,1))-AVERAGE(OFFSET($H$3,0,0,'Données projet'!$E$10+1,1))</f>
        <v>491.47342911047105</v>
      </c>
      <c r="AO34" s="62">
        <f t="shared" si="36"/>
        <v>58.734453933891757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105</v>
      </c>
      <c r="BE34" s="14">
        <f>BD34*VLOOKUP('Données projet'!$B$11,Paramètres!$A$1:$I$89,3,0)*VLOOKUP('Données projet'!$B$11,Paramètres!$A$1:$I$89,5,0)</f>
        <v>88.452000000000012</v>
      </c>
      <c r="BF34" s="14">
        <f t="shared" si="37"/>
        <v>24.191508526943956</v>
      </c>
      <c r="BG34" s="22">
        <f t="shared" si="7"/>
        <v>196.18744401776075</v>
      </c>
      <c r="BH34" s="62">
        <f t="shared" si="8"/>
        <v>489.52077735109407</v>
      </c>
      <c r="BI34" s="62">
        <f ca="1">AVERAGE(OFFSET($BH$3,0,0,'Données projet'!$E$11+1,1))-AVERAGE(OFFSET($H$3,0,0,'Données projet'!$E$11+1,1))</f>
        <v>278.21934231434597</v>
      </c>
      <c r="BJ34" s="62">
        <f t="shared" si="38"/>
        <v>143.57726487417773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10.780000000000001</v>
      </c>
      <c r="BY34" s="13">
        <f>IF('Données projet'!$A$114&gt;35,BY33+BX34-CG33,IF(A34&lt;'Données projet'!$A$114,$BV$205^A34,IF(A34='Données projet'!$A$114,'Données projet'!$B$114,BY33+BX34-CG33)))</f>
        <v>157.28</v>
      </c>
      <c r="BZ34" s="14">
        <f>BY34*VLOOKUP('Données projet'!$B$12,Paramètres!$A$1:$I$89,3,0)*VLOOKUP('Données projet'!$B$12,Paramètres!$A$1:$I$89,5,0)</f>
        <v>125.131968</v>
      </c>
      <c r="CA34" s="14">
        <f t="shared" si="39"/>
        <v>32.869013714969185</v>
      </c>
      <c r="CB34" s="22">
        <f t="shared" si="10"/>
        <v>275.18504315357131</v>
      </c>
      <c r="CC34" s="62">
        <f t="shared" si="11"/>
        <v>568.51837648690457</v>
      </c>
      <c r="CD34" s="62">
        <f ca="1">AVERAGE(OFFSET($CC$3,0,0,'Données projet'!$E$12+1,1))-AVERAGE(OFFSET($H$3,0,0,'Données projet'!$E$12+1,1))</f>
        <v>237.4598967324826</v>
      </c>
      <c r="CE34" s="62">
        <f t="shared" si="40"/>
        <v>218.74305466112406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12.833333333333334</v>
      </c>
      <c r="N35" s="14">
        <f>IF('Données projet'!$A$36&gt;35,N34+M35-V34,IF(A35&lt;'Données projet'!$A$36,$K$205^A35,IF(A35='Données projet'!$A$36,'Données projet'!$B$36,N34+M35-V34)))</f>
        <v>196.6666666666666</v>
      </c>
      <c r="O35" s="14">
        <f>N35*VLOOKUP('Données projet'!$B$9,Paramètres!$A$1:$I$89,3,0)*VLOOKUP('Données projet'!$B$9,Paramètres!$A$1:$I$89,5,0)</f>
        <v>122.71999999999996</v>
      </c>
      <c r="P35" s="14">
        <f t="shared" si="33"/>
        <v>32.308564708068729</v>
      </c>
      <c r="Q35" s="22">
        <f t="shared" ref="Q35:Q66" si="53">(O35+P35)*0.475*44/12</f>
        <v>270.00808353321963</v>
      </c>
      <c r="R35" s="62">
        <f t="shared" si="0"/>
        <v>563.34141686655289</v>
      </c>
      <c r="S35" s="62">
        <f ca="1">AVERAGE(OFFSET($R$3,0,0,'Données projet'!$E$9+1,1))-AVERAGE(OFFSET($H$3,0,0,'Données projet'!$E$9+1,1))</f>
        <v>205.33000726169792</v>
      </c>
      <c r="T35" s="62">
        <f t="shared" si="34"/>
        <v>307.23455947678775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2.8888888888888888</v>
      </c>
      <c r="AI35" s="14">
        <f>IF('Données projet'!$A$62&gt;35,AI34+AH35-AQ34,IF(A35&lt;'Données projet'!$A$62,$AF$205^A35,IF(A35='Données projet'!$A$62,'Données projet'!$B$62,AI34+AH35-AQ34)))</f>
        <v>92.444444444444386</v>
      </c>
      <c r="AJ35" s="14">
        <f>AI35*VLOOKUP('Données projet'!$B$10,Paramètres!$A$1:$I$89,3,0)*VLOOKUP('Données projet'!$B$10,Paramètres!$A$1:$I$89,5,0)</f>
        <v>45.667555555555531</v>
      </c>
      <c r="AK35" s="14">
        <f t="shared" si="35"/>
        <v>13.489053796484187</v>
      </c>
      <c r="AL35" s="22">
        <f t="shared" si="4"/>
        <v>103.03109462146917</v>
      </c>
      <c r="AM35" s="62">
        <f t="shared" si="5"/>
        <v>396.36442795480247</v>
      </c>
      <c r="AN35" s="62">
        <f ca="1">AVERAGE(OFFSET($AM$3,0,0,'Données projet'!$E$10+1,1))-AVERAGE(OFFSET($H$3,0,0,'Données projet'!$E$10+1,1))</f>
        <v>491.47342911047105</v>
      </c>
      <c r="AO35" s="62">
        <f t="shared" si="36"/>
        <v>58.734453933891757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113</v>
      </c>
      <c r="BE35" s="14">
        <f>BD35*VLOOKUP('Données projet'!$B$11,Paramètres!$A$1:$I$89,3,0)*VLOOKUP('Données projet'!$B$11,Paramètres!$A$1:$I$89,5,0)</f>
        <v>95.191200000000009</v>
      </c>
      <c r="BF35" s="14">
        <f t="shared" si="37"/>
        <v>25.8131020775105</v>
      </c>
      <c r="BG35" s="22">
        <f t="shared" si="7"/>
        <v>210.74915945166413</v>
      </c>
      <c r="BH35" s="62">
        <f t="shared" si="8"/>
        <v>504.08249278499744</v>
      </c>
      <c r="BI35" s="62">
        <f ca="1">AVERAGE(OFFSET($BH$3,0,0,'Données projet'!$E$11+1,1))-AVERAGE(OFFSET($H$3,0,0,'Données projet'!$E$11+1,1))</f>
        <v>278.21934231434597</v>
      </c>
      <c r="BJ35" s="62">
        <f t="shared" si="38"/>
        <v>143.57726487417773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10.780000000000001</v>
      </c>
      <c r="BY35" s="13">
        <f>IF('Données projet'!$A$114&gt;35,BY34+BX35-CG34,IF(A35&lt;'Données projet'!$A$114,$BV$205^A35,IF(A35='Données projet'!$A$114,'Données projet'!$B$114,BY34+BX35-CG34)))</f>
        <v>168.06</v>
      </c>
      <c r="BZ35" s="14">
        <f>BY35*VLOOKUP('Données projet'!$B$12,Paramètres!$A$1:$I$89,3,0)*VLOOKUP('Données projet'!$B$12,Paramètres!$A$1:$I$89,5,0)</f>
        <v>133.70853600000001</v>
      </c>
      <c r="CA35" s="14">
        <f t="shared" si="39"/>
        <v>34.851885243857993</v>
      </c>
      <c r="CB35" s="22">
        <f t="shared" si="10"/>
        <v>293.57606699971933</v>
      </c>
      <c r="CC35" s="62">
        <f t="shared" si="11"/>
        <v>586.90940033305264</v>
      </c>
      <c r="CD35" s="62">
        <f ca="1">AVERAGE(OFFSET($CC$3,0,0,'Données projet'!$E$12+1,1))-AVERAGE(OFFSET($H$3,0,0,'Données projet'!$E$12+1,1))</f>
        <v>237.4598967324826</v>
      </c>
      <c r="CE35" s="62">
        <f t="shared" si="40"/>
        <v>218.74305466112406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12.833333333333334</v>
      </c>
      <c r="N36" s="14">
        <f>IF('Données projet'!$A$36&gt;35,N35+M36-V35,IF(A36&lt;'Données projet'!$A$36,$K$205^A36,IF(A36='Données projet'!$A$36,'Données projet'!$B$36,N35+M36-V35)))</f>
        <v>209.49999999999994</v>
      </c>
      <c r="O36" s="14">
        <f>N36*VLOOKUP('Données projet'!$B$9,Paramètres!$A$1:$I$89,3,0)*VLOOKUP('Données projet'!$B$9,Paramètres!$A$1:$I$89,5,0)</f>
        <v>130.72799999999998</v>
      </c>
      <c r="P36" s="14">
        <f t="shared" si="33"/>
        <v>34.164524045585857</v>
      </c>
      <c r="Q36" s="22">
        <f t="shared" si="53"/>
        <v>287.18781271272866</v>
      </c>
      <c r="R36" s="62">
        <f t="shared" si="0"/>
        <v>580.52114604606197</v>
      </c>
      <c r="S36" s="62">
        <f ca="1">AVERAGE(OFFSET($R$3,0,0,'Données projet'!$E$9+1,1))-AVERAGE(OFFSET($H$3,0,0,'Données projet'!$E$9+1,1))</f>
        <v>205.33000726169792</v>
      </c>
      <c r="T36" s="62">
        <f t="shared" si="34"/>
        <v>307.23455947678775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2.8888888888888888</v>
      </c>
      <c r="AI36" s="14">
        <f>IF('Données projet'!$A$62&gt;35,AI35+AH36-AQ35,IF(A36&lt;'Données projet'!$A$62,$AF$205^A36,IF(A36='Données projet'!$A$62,'Données projet'!$B$62,AI35+AH36-AQ35)))</f>
        <v>95.333333333333272</v>
      </c>
      <c r="AJ36" s="14">
        <f>AI36*VLOOKUP('Données projet'!$B$10,Paramètres!$A$1:$I$89,3,0)*VLOOKUP('Données projet'!$B$10,Paramètres!$A$1:$I$89,5,0)</f>
        <v>47.09466666666664</v>
      </c>
      <c r="AK36" s="14">
        <f t="shared" si="35"/>
        <v>13.860850621094794</v>
      </c>
      <c r="AL36" s="22">
        <f t="shared" si="4"/>
        <v>106.16419260951784</v>
      </c>
      <c r="AM36" s="62">
        <f t="shared" si="5"/>
        <v>399.49752594285115</v>
      </c>
      <c r="AN36" s="62">
        <f ca="1">AVERAGE(OFFSET($AM$3,0,0,'Données projet'!$E$10+1,1))-AVERAGE(OFFSET($H$3,0,0,'Données projet'!$E$10+1,1))</f>
        <v>491.47342911047105</v>
      </c>
      <c r="AO36" s="62">
        <f t="shared" si="36"/>
        <v>58.734453933891757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121</v>
      </c>
      <c r="BE36" s="14">
        <f>BD36*VLOOKUP('Données projet'!$B$11,Paramètres!$A$1:$I$89,3,0)*VLOOKUP('Données projet'!$B$11,Paramètres!$A$1:$I$89,5,0)</f>
        <v>101.93040000000001</v>
      </c>
      <c r="BF36" s="14">
        <f t="shared" si="37"/>
        <v>27.421375718582158</v>
      </c>
      <c r="BG36" s="22">
        <f t="shared" si="7"/>
        <v>225.28767604319728</v>
      </c>
      <c r="BH36" s="62">
        <f t="shared" si="8"/>
        <v>518.62100937653054</v>
      </c>
      <c r="BI36" s="62">
        <f ca="1">AVERAGE(OFFSET($BH$3,0,0,'Données projet'!$E$11+1,1))-AVERAGE(OFFSET($H$3,0,0,'Données projet'!$E$11+1,1))</f>
        <v>278.21934231434597</v>
      </c>
      <c r="BJ36" s="62">
        <f t="shared" si="38"/>
        <v>143.57726487417773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10.780000000000001</v>
      </c>
      <c r="BY36" s="13">
        <f>IF('Données projet'!$A$114&gt;35,BY35+BX36-CG35,IF(A36&lt;'Données projet'!$A$114,$BV$205^A36,IF(A36='Données projet'!$A$114,'Données projet'!$B$114,BY35+BX36-CG35)))</f>
        <v>178.84</v>
      </c>
      <c r="BZ36" s="14">
        <f>BY36*VLOOKUP('Données projet'!$B$12,Paramètres!$A$1:$I$89,3,0)*VLOOKUP('Données projet'!$B$12,Paramètres!$A$1:$I$89,5,0)</f>
        <v>142.28510399999999</v>
      </c>
      <c r="CA36" s="14">
        <f t="shared" si="39"/>
        <v>36.819996442621921</v>
      </c>
      <c r="CB36" s="22">
        <f t="shared" si="10"/>
        <v>311.94138327089985</v>
      </c>
      <c r="CC36" s="62">
        <f t="shared" si="11"/>
        <v>605.27471660423316</v>
      </c>
      <c r="CD36" s="62">
        <f ca="1">AVERAGE(OFFSET($CC$3,0,0,'Données projet'!$E$12+1,1))-AVERAGE(OFFSET($H$3,0,0,'Données projet'!$E$12+1,1))</f>
        <v>237.4598967324826</v>
      </c>
      <c r="CE36" s="62">
        <f t="shared" si="40"/>
        <v>218.74305466112406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12.833333333333334</v>
      </c>
      <c r="N37" s="14">
        <f>IF('Données projet'!$A$36&gt;35,N36+M37-V36,IF(A37&lt;'Données projet'!$A$36,$K$205^A37,IF(A37='Données projet'!$A$36,'Données projet'!$B$36,N36+M37-V36)))</f>
        <v>222.33333333333329</v>
      </c>
      <c r="O37" s="14">
        <f>N37*VLOOKUP('Données projet'!$B$9,Paramètres!$A$1:$I$89,3,0)*VLOOKUP('Données projet'!$B$9,Paramètres!$A$1:$I$89,5,0)</f>
        <v>138.73599999999996</v>
      </c>
      <c r="P37" s="14">
        <f t="shared" si="33"/>
        <v>36.007288175538044</v>
      </c>
      <c r="Q37" s="22">
        <f t="shared" si="53"/>
        <v>304.34456023906199</v>
      </c>
      <c r="R37" s="62">
        <f t="shared" si="0"/>
        <v>597.67789357239531</v>
      </c>
      <c r="S37" s="62">
        <f ca="1">AVERAGE(OFFSET($R$3,0,0,'Données projet'!$E$9+1,1))-AVERAGE(OFFSET($H$3,0,0,'Données projet'!$E$9+1,1))</f>
        <v>205.33000726169792</v>
      </c>
      <c r="T37" s="62">
        <f t="shared" si="34"/>
        <v>307.23455947678775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2.8888888888888888</v>
      </c>
      <c r="AI37" s="14">
        <f>IF('Données projet'!$A$62&gt;35,AI36+AH37-AQ36,IF(A37&lt;'Données projet'!$A$62,$AF$205^A37,IF(A37='Données projet'!$A$62,'Données projet'!$B$62,AI36+AH37-AQ36)))</f>
        <v>98.222222222222157</v>
      </c>
      <c r="AJ37" s="14">
        <f>AI37*VLOOKUP('Données projet'!$B$10,Paramètres!$A$1:$I$89,3,0)*VLOOKUP('Données projet'!$B$10,Paramètres!$A$1:$I$89,5,0)</f>
        <v>48.521777777777743</v>
      </c>
      <c r="AK37" s="14">
        <f t="shared" si="35"/>
        <v>14.231338115349207</v>
      </c>
      <c r="AL37" s="22">
        <f t="shared" si="4"/>
        <v>109.29501018052945</v>
      </c>
      <c r="AM37" s="62">
        <f t="shared" si="5"/>
        <v>402.62834351386277</v>
      </c>
      <c r="AN37" s="62">
        <f ca="1">AVERAGE(OFFSET($AM$3,0,0,'Données projet'!$E$10+1,1))-AVERAGE(OFFSET($H$3,0,0,'Données projet'!$E$10+1,1))</f>
        <v>491.47342911047105</v>
      </c>
      <c r="AO37" s="62">
        <f t="shared" si="36"/>
        <v>58.734453933891757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129</v>
      </c>
      <c r="BE37" s="14">
        <f>BD37*VLOOKUP('Données projet'!$B$11,Paramètres!$A$1:$I$89,3,0)*VLOOKUP('Données projet'!$B$11,Paramètres!$A$1:$I$89,5,0)</f>
        <v>108.66960000000002</v>
      </c>
      <c r="BF37" s="14">
        <f t="shared" si="37"/>
        <v>29.017310316271104</v>
      </c>
      <c r="BG37" s="22">
        <f t="shared" si="7"/>
        <v>239.8047021341722</v>
      </c>
      <c r="BH37" s="62">
        <f t="shared" si="8"/>
        <v>533.13803546750546</v>
      </c>
      <c r="BI37" s="62">
        <f ca="1">AVERAGE(OFFSET($BH$3,0,0,'Données projet'!$E$11+1,1))-AVERAGE(OFFSET($H$3,0,0,'Données projet'!$E$11+1,1))</f>
        <v>278.21934231434597</v>
      </c>
      <c r="BJ37" s="62">
        <f t="shared" si="38"/>
        <v>143.57726487417773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10.780000000000001</v>
      </c>
      <c r="BY37" s="13">
        <f>IF('Données projet'!$A$114&gt;35,BY36+BX37-CG36,IF(A37&lt;'Données projet'!$A$114,$BV$205^A37,IF(A37='Données projet'!$A$114,'Données projet'!$B$114,BY36+BX37-CG36)))</f>
        <v>189.62</v>
      </c>
      <c r="BZ37" s="14">
        <f>BY37*VLOOKUP('Données projet'!$B$12,Paramètres!$A$1:$I$89,3,0)*VLOOKUP('Données projet'!$B$12,Paramètres!$A$1:$I$89,5,0)</f>
        <v>150.86167200000003</v>
      </c>
      <c r="CA37" s="14">
        <f t="shared" si="39"/>
        <v>38.774338346770982</v>
      </c>
      <c r="CB37" s="22">
        <f t="shared" si="10"/>
        <v>330.28271802062613</v>
      </c>
      <c r="CC37" s="62">
        <f t="shared" si="11"/>
        <v>623.61605135395939</v>
      </c>
      <c r="CD37" s="62">
        <f ca="1">AVERAGE(OFFSET($CC$3,0,0,'Données projet'!$E$12+1,1))-AVERAGE(OFFSET($H$3,0,0,'Données projet'!$E$12+1,1))</f>
        <v>237.4598967324826</v>
      </c>
      <c r="CE37" s="62">
        <f t="shared" si="40"/>
        <v>218.74305466112406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12.833333333333334</v>
      </c>
      <c r="N38" s="14">
        <f>IF('Données projet'!$A$36&gt;35,N37+M38-V37,IF(A38&lt;'Données projet'!$A$36,$K$205^A38,IF(A38='Données projet'!$A$36,'Données projet'!$B$36,N37+M38-V37)))</f>
        <v>235.16666666666663</v>
      </c>
      <c r="O38" s="14">
        <f>N38*VLOOKUP('Données projet'!$B$9,Paramètres!$A$1:$I$89,3,0)*VLOOKUP('Données projet'!$B$9,Paramètres!$A$1:$I$89,5,0)</f>
        <v>146.74399999999997</v>
      </c>
      <c r="P38" s="14">
        <f t="shared" si="33"/>
        <v>37.837705514258651</v>
      </c>
      <c r="Q38" s="22">
        <f t="shared" si="53"/>
        <v>321.4798037706671</v>
      </c>
      <c r="R38" s="62">
        <f t="shared" si="0"/>
        <v>614.81313710400036</v>
      </c>
      <c r="S38" s="62">
        <f ca="1">AVERAGE(OFFSET($R$3,0,0,'Données projet'!$E$9+1,1))-AVERAGE(OFFSET($H$3,0,0,'Données projet'!$E$9+1,1))</f>
        <v>205.33000726169792</v>
      </c>
      <c r="T38" s="62">
        <f t="shared" si="34"/>
        <v>307.23455947678775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2.8888888888888888</v>
      </c>
      <c r="AI38" s="14">
        <f>IF('Données projet'!$A$62&gt;35,AI37+AH38-AQ37,IF(A38&lt;'Données projet'!$A$62,$AF$205^A38,IF(A38='Données projet'!$A$62,'Données projet'!$B$62,AI37+AH38-AQ37)))</f>
        <v>101.11111111111104</v>
      </c>
      <c r="AJ38" s="14">
        <f>AI38*VLOOKUP('Données projet'!$B$10,Paramètres!$A$1:$I$89,3,0)*VLOOKUP('Données projet'!$B$10,Paramètres!$A$1:$I$89,5,0)</f>
        <v>49.94888888888886</v>
      </c>
      <c r="AK38" s="14">
        <f t="shared" si="35"/>
        <v>14.600559210534314</v>
      </c>
      <c r="AL38" s="22">
        <f t="shared" si="4"/>
        <v>112.42362210649536</v>
      </c>
      <c r="AM38" s="62">
        <f t="shared" si="5"/>
        <v>405.75695543982869</v>
      </c>
      <c r="AN38" s="62">
        <f ca="1">AVERAGE(OFFSET($AM$3,0,0,'Données projet'!$E$10+1,1))-AVERAGE(OFFSET($H$3,0,0,'Données projet'!$E$10+1,1))</f>
        <v>491.47342911047105</v>
      </c>
      <c r="AO38" s="62">
        <f t="shared" si="36"/>
        <v>58.734453933891757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137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137</v>
      </c>
      <c r="BE38" s="14">
        <f>BD38*VLOOKUP('Données projet'!$B$11,Paramètres!$A$1:$I$89,3,0)*VLOOKUP('Données projet'!$B$11,Paramètres!$A$1:$I$89,5,0)</f>
        <v>115.40880000000001</v>
      </c>
      <c r="BF38" s="14">
        <f t="shared" si="37"/>
        <v>30.60175820334798</v>
      </c>
      <c r="BG38" s="22">
        <f t="shared" si="7"/>
        <v>254.30172220416441</v>
      </c>
      <c r="BH38" s="62">
        <f t="shared" si="8"/>
        <v>547.63505553749769</v>
      </c>
      <c r="BI38" s="62">
        <f ca="1">AVERAGE(OFFSET($BH$3,0,0,'Données projet'!$E$11+1,1))-AVERAGE(OFFSET($H$3,0,0,'Données projet'!$E$11+1,1))</f>
        <v>278.21934231434597</v>
      </c>
      <c r="BJ38" s="62">
        <f t="shared" si="38"/>
        <v>143.57726487417773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42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200.4</v>
      </c>
      <c r="BW38" s="13">
        <f>VLOOKUP(A38,'Données projet'!$A$113:$I$133,9,0)</f>
        <v>10.780000000000001</v>
      </c>
      <c r="BX38" s="13">
        <f t="array" ref="BX38">INDEX(BW:BW,MIN(IF(ISNUMBER(BW38:BW234),ROW(BW38:BW234),"")))</f>
        <v>10.780000000000001</v>
      </c>
      <c r="BY38" s="13">
        <f>IF('Données projet'!$A$114&gt;35,BY37+BX38-CG37,IF(A38&lt;'Données projet'!$A$114,$BV$205^A38,IF(A38='Données projet'!$A$114,'Données projet'!$B$114,BY37+BX38-CG37)))</f>
        <v>200.4</v>
      </c>
      <c r="BZ38" s="14">
        <f>BY38*VLOOKUP('Données projet'!$B$12,Paramètres!$A$1:$I$89,3,0)*VLOOKUP('Données projet'!$B$12,Paramètres!$A$1:$I$89,5,0)</f>
        <v>159.43824000000001</v>
      </c>
      <c r="CA38" s="14">
        <f t="shared" si="39"/>
        <v>40.715782945506</v>
      </c>
      <c r="CB38" s="22">
        <f t="shared" si="10"/>
        <v>348.6015899634229</v>
      </c>
      <c r="CC38" s="62">
        <f t="shared" si="11"/>
        <v>641.93492329675621</v>
      </c>
      <c r="CD38" s="62">
        <f ca="1">AVERAGE(OFFSET($CC$3,0,0,'Données projet'!$E$12+1,1))-AVERAGE(OFFSET($H$3,0,0,'Données projet'!$E$12+1,1))</f>
        <v>237.4598967324826</v>
      </c>
      <c r="CE38" s="62">
        <f t="shared" si="40"/>
        <v>218.74305466112406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56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248</v>
      </c>
      <c r="L39" s="13">
        <f>VLOOKUP(A39,'Données projet'!$A$35:$I$55,9,0)</f>
        <v>12.833333333333334</v>
      </c>
      <c r="M39" s="13">
        <f t="array" ref="M39">INDEX(L:L,MIN(IF(ISNUMBER(L39:L235),ROW(L39:L235),"")))</f>
        <v>12.833333333333334</v>
      </c>
      <c r="N39" s="14">
        <f>IF('Données projet'!$A$36&gt;35,N38+M39-V38,IF(A39&lt;'Données projet'!$A$36,$K$205^A39,IF(A39='Données projet'!$A$36,'Données projet'!$B$36,N38+M39-V38)))</f>
        <v>247.99999999999997</v>
      </c>
      <c r="O39" s="14">
        <f>N39*VLOOKUP('Données projet'!$B$9,Paramètres!$A$1:$I$89,3,0)*VLOOKUP('Données projet'!$B$9,Paramètres!$A$1:$I$89,5,0)</f>
        <v>154.75199999999998</v>
      </c>
      <c r="P39" s="14">
        <f t="shared" si="33"/>
        <v>39.656526650076415</v>
      </c>
      <c r="Q39" s="22">
        <f t="shared" si="53"/>
        <v>338.5948505822164</v>
      </c>
      <c r="R39" s="62">
        <f t="shared" si="0"/>
        <v>631.92818391554965</v>
      </c>
      <c r="S39" s="62">
        <f ca="1">AVERAGE(OFFSET($R$3,0,0,'Données projet'!$E$9+1,1))-AVERAGE(OFFSET($H$3,0,0,'Données projet'!$E$9+1,1))</f>
        <v>205.33000726169792</v>
      </c>
      <c r="T39" s="62">
        <f t="shared" si="34"/>
        <v>307.23455947678775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2.8888888888888888</v>
      </c>
      <c r="AI39" s="14">
        <f>IF('Données projet'!$A$62&gt;35,AI38+AH39-AQ38,IF(A39&lt;'Données projet'!$A$62,$AF$205^A39,IF(A39='Données projet'!$A$62,'Données projet'!$B$62,AI38+AH39-AQ38)))</f>
        <v>103.99999999999993</v>
      </c>
      <c r="AJ39" s="14">
        <f>AI39*VLOOKUP('Données projet'!$B$10,Paramètres!$A$1:$I$89,3,0)*VLOOKUP('Données projet'!$B$10,Paramètres!$A$1:$I$89,5,0)</f>
        <v>51.375999999999969</v>
      </c>
      <c r="AK39" s="14">
        <f t="shared" si="35"/>
        <v>14.968554245188011</v>
      </c>
      <c r="AL39" s="22">
        <f t="shared" si="4"/>
        <v>115.55009864370238</v>
      </c>
      <c r="AM39" s="62">
        <f t="shared" si="5"/>
        <v>408.88343197703568</v>
      </c>
      <c r="AN39" s="62">
        <f ca="1">AVERAGE(OFFSET($AM$3,0,0,'Données projet'!$E$10+1,1))-AVERAGE(OFFSET($H$3,0,0,'Données projet'!$E$10+1,1))</f>
        <v>491.47342911047105</v>
      </c>
      <c r="AO39" s="62">
        <f t="shared" si="36"/>
        <v>58.734453933891757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103.4</v>
      </c>
      <c r="BE39" s="14">
        <f>BD39*VLOOKUP('Données projet'!$B$11,Paramètres!$A$1:$I$89,3,0)*VLOOKUP('Données projet'!$B$11,Paramètres!$A$1:$I$89,5,0)</f>
        <v>87.104160000000007</v>
      </c>
      <c r="BF39" s="14">
        <f t="shared" si="37"/>
        <v>23.865494318543401</v>
      </c>
      <c r="BG39" s="22">
        <f t="shared" si="7"/>
        <v>193.27214793812973</v>
      </c>
      <c r="BH39" s="62">
        <f t="shared" si="8"/>
        <v>486.60548127146308</v>
      </c>
      <c r="BI39" s="62">
        <f ca="1">AVERAGE(OFFSET($BH$3,0,0,'Données projet'!$E$11+1,1))-AVERAGE(OFFSET($H$3,0,0,'Données projet'!$E$11+1,1))</f>
        <v>278.21934231434597</v>
      </c>
      <c r="BJ39" s="62">
        <f t="shared" si="38"/>
        <v>143.57726487417773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9.4399999999999977</v>
      </c>
      <c r="BY39" s="13">
        <f>IF('Données projet'!$A$114&gt;35,BY38+BX39-CG38,IF(A39&lt;'Données projet'!$A$114,$BV$205^A39,IF(A39='Données projet'!$A$114,'Données projet'!$B$114,BY38+BX39-CG38)))</f>
        <v>153.84</v>
      </c>
      <c r="BZ39" s="14">
        <f>BY39*VLOOKUP('Données projet'!$B$12,Paramètres!$A$1:$I$89,3,0)*VLOOKUP('Données projet'!$B$12,Paramètres!$A$1:$I$89,5,0)</f>
        <v>122.395104</v>
      </c>
      <c r="CA39" s="14">
        <f t="shared" si="39"/>
        <v>32.232973833847481</v>
      </c>
      <c r="CB39" s="22">
        <f t="shared" si="10"/>
        <v>269.31056889395103</v>
      </c>
      <c r="CC39" s="62">
        <f t="shared" si="11"/>
        <v>562.64390222728434</v>
      </c>
      <c r="CD39" s="62">
        <f ca="1">AVERAGE(OFFSET($CC$3,0,0,'Données projet'!$E$12+1,1))-AVERAGE(OFFSET($H$3,0,0,'Données projet'!$E$12+1,1))</f>
        <v>237.4598967324826</v>
      </c>
      <c r="CE39" s="62">
        <f t="shared" si="40"/>
        <v>218.74305466112406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11.5</v>
      </c>
      <c r="N40" s="14">
        <f>IF('Données projet'!$A$36&gt;35,N39+M40-V39,IF(A40&lt;'Données projet'!$A$36,$K$205^A40,IF(A40='Données projet'!$A$36,'Données projet'!$B$36,N39+M40-V39)))</f>
        <v>259.5</v>
      </c>
      <c r="O40" s="14">
        <f>N40*VLOOKUP('Données projet'!$B$9,Paramètres!$A$1:$I$89,3,0)*VLOOKUP('Données projet'!$B$9,Paramètres!$A$1:$I$89,5,0)</f>
        <v>161.928</v>
      </c>
      <c r="P40" s="14">
        <f t="shared" si="33"/>
        <v>41.277077571585352</v>
      </c>
      <c r="Q40" s="22">
        <f t="shared" si="53"/>
        <v>353.9155101038445</v>
      </c>
      <c r="R40" s="62">
        <f t="shared" si="0"/>
        <v>647.24884343717781</v>
      </c>
      <c r="S40" s="62">
        <f ca="1">AVERAGE(OFFSET($R$3,0,0,'Données projet'!$E$9+1,1))-AVERAGE(OFFSET($H$3,0,0,'Données projet'!$E$9+1,1))</f>
        <v>205.33000726169792</v>
      </c>
      <c r="T40" s="62">
        <f t="shared" si="34"/>
        <v>307.23455947678775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2.8888888888888888</v>
      </c>
      <c r="AI40" s="14">
        <f>IF('Données projet'!$A$62&gt;35,AI39+AH40-AQ39,IF(A40&lt;'Données projet'!$A$62,$AF$205^A40,IF(A40='Données projet'!$A$62,'Données projet'!$B$62,AI39+AH40-AQ39)))</f>
        <v>106.88888888888881</v>
      </c>
      <c r="AJ40" s="14">
        <f>AI40*VLOOKUP('Données projet'!$B$10,Paramètres!$A$1:$I$89,3,0)*VLOOKUP('Données projet'!$B$10,Paramètres!$A$1:$I$89,5,0)</f>
        <v>52.803111111111079</v>
      </c>
      <c r="AK40" s="14">
        <f t="shared" si="35"/>
        <v>15.335361189299228</v>
      </c>
      <c r="AL40" s="22">
        <f t="shared" si="4"/>
        <v>118.67450592321462</v>
      </c>
      <c r="AM40" s="62">
        <f t="shared" si="5"/>
        <v>412.00783925654792</v>
      </c>
      <c r="AN40" s="62">
        <f ca="1">AVERAGE(OFFSET($AM$3,0,0,'Données projet'!$E$10+1,1))-AVERAGE(OFFSET($H$3,0,0,'Données projet'!$E$10+1,1))</f>
        <v>491.47342911047105</v>
      </c>
      <c r="AO40" s="62">
        <f t="shared" si="36"/>
        <v>58.734453933891757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111.80000000000001</v>
      </c>
      <c r="BE40" s="14">
        <f>BD40*VLOOKUP('Données projet'!$B$11,Paramètres!$A$1:$I$89,3,0)*VLOOKUP('Données projet'!$B$11,Paramètres!$A$1:$I$89,5,0)</f>
        <v>94.180320000000009</v>
      </c>
      <c r="BF40" s="14">
        <f t="shared" si="37"/>
        <v>25.570738079029208</v>
      </c>
      <c r="BG40" s="22">
        <f t="shared" si="7"/>
        <v>208.5664261543092</v>
      </c>
      <c r="BH40" s="62">
        <f t="shared" si="8"/>
        <v>501.89975948764254</v>
      </c>
      <c r="BI40" s="62">
        <f ca="1">AVERAGE(OFFSET($BH$3,0,0,'Données projet'!$E$11+1,1))-AVERAGE(OFFSET($H$3,0,0,'Données projet'!$E$11+1,1))</f>
        <v>278.21934231434597</v>
      </c>
      <c r="BJ40" s="62">
        <f t="shared" si="38"/>
        <v>143.57726487417773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9.4399999999999977</v>
      </c>
      <c r="BY40" s="13">
        <f>IF('Données projet'!$A$114&gt;35,BY39+BX40-CG39,IF(A40&lt;'Données projet'!$A$114,$BV$205^A40,IF(A40='Données projet'!$A$114,'Données projet'!$B$114,BY39+BX40-CG39)))</f>
        <v>163.28</v>
      </c>
      <c r="BZ40" s="14">
        <f>BY40*VLOOKUP('Données projet'!$B$12,Paramètres!$A$1:$I$89,3,0)*VLOOKUP('Données projet'!$B$12,Paramètres!$A$1:$I$89,5,0)</f>
        <v>129.90556800000002</v>
      </c>
      <c r="CA40" s="14">
        <f t="shared" si="39"/>
        <v>33.974537946999725</v>
      </c>
      <c r="CB40" s="22">
        <f t="shared" si="10"/>
        <v>285.42451785769123</v>
      </c>
      <c r="CC40" s="62">
        <f t="shared" si="11"/>
        <v>578.75785119102454</v>
      </c>
      <c r="CD40" s="62">
        <f ca="1">AVERAGE(OFFSET($CC$3,0,0,'Données projet'!$E$12+1,1))-AVERAGE(OFFSET($H$3,0,0,'Données projet'!$E$12+1,1))</f>
        <v>237.4598967324826</v>
      </c>
      <c r="CE40" s="62">
        <f t="shared" si="40"/>
        <v>218.74305466112406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11.5</v>
      </c>
      <c r="N41" s="14">
        <f>IF('Données projet'!$A$36&gt;35,N40+M41-V40,IF(A41&lt;'Données projet'!$A$36,$K$205^A41,IF(A41='Données projet'!$A$36,'Données projet'!$B$36,N40+M41-V40)))</f>
        <v>271</v>
      </c>
      <c r="O41" s="14">
        <f>N41*VLOOKUP('Données projet'!$B$9,Paramètres!$A$1:$I$89,3,0)*VLOOKUP('Données projet'!$B$9,Paramètres!$A$1:$I$89,5,0)</f>
        <v>169.10399999999998</v>
      </c>
      <c r="P41" s="14">
        <f t="shared" si="33"/>
        <v>42.889287713804841</v>
      </c>
      <c r="Q41" s="22">
        <f t="shared" si="53"/>
        <v>369.22164276821007</v>
      </c>
      <c r="R41" s="62">
        <f t="shared" si="0"/>
        <v>662.55497610154339</v>
      </c>
      <c r="S41" s="62">
        <f ca="1">AVERAGE(OFFSET($R$3,0,0,'Données projet'!$E$9+1,1))-AVERAGE(OFFSET($H$3,0,0,'Données projet'!$E$9+1,1))</f>
        <v>205.33000726169792</v>
      </c>
      <c r="T41" s="62">
        <f t="shared" si="34"/>
        <v>307.23455947678775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2.8888888888888888</v>
      </c>
      <c r="AI41" s="14">
        <f>IF('Données projet'!$A$62&gt;35,AI40+AH41-AQ40,IF(A41&lt;'Données projet'!$A$62,$AF$205^A41,IF(A41='Données projet'!$A$62,'Données projet'!$B$62,AI40+AH41-AQ40)))</f>
        <v>109.7777777777777</v>
      </c>
      <c r="AJ41" s="14">
        <f>AI41*VLOOKUP('Données projet'!$B$10,Paramètres!$A$1:$I$89,3,0)*VLOOKUP('Données projet'!$B$10,Paramètres!$A$1:$I$89,5,0)</f>
        <v>54.230222222222181</v>
      </c>
      <c r="AK41" s="14">
        <f t="shared" si="35"/>
        <v>15.701015843588449</v>
      </c>
      <c r="AL41" s="22">
        <f t="shared" si="4"/>
        <v>121.7969062979535</v>
      </c>
      <c r="AM41" s="62">
        <f t="shared" si="5"/>
        <v>415.13023963128683</v>
      </c>
      <c r="AN41" s="62">
        <f ca="1">AVERAGE(OFFSET($AM$3,0,0,'Données projet'!$E$10+1,1))-AVERAGE(OFFSET($H$3,0,0,'Données projet'!$E$10+1,1))</f>
        <v>491.47342911047105</v>
      </c>
      <c r="AO41" s="62">
        <f t="shared" si="36"/>
        <v>58.734453933891757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120.20000000000002</v>
      </c>
      <c r="BE41" s="14">
        <f>BD41*VLOOKUP('Données projet'!$B$11,Paramètres!$A$1:$I$89,3,0)*VLOOKUP('Données projet'!$B$11,Paramètres!$A$1:$I$89,5,0)</f>
        <v>101.25648000000002</v>
      </c>
      <c r="BF41" s="14">
        <f t="shared" si="37"/>
        <v>27.261118700621143</v>
      </c>
      <c r="BG41" s="22">
        <f t="shared" si="7"/>
        <v>223.83481773691517</v>
      </c>
      <c r="BH41" s="62">
        <f t="shared" si="8"/>
        <v>517.16815107024854</v>
      </c>
      <c r="BI41" s="62">
        <f ca="1">AVERAGE(OFFSET($BH$3,0,0,'Données projet'!$E$11+1,1))-AVERAGE(OFFSET($H$3,0,0,'Données projet'!$E$11+1,1))</f>
        <v>278.21934231434597</v>
      </c>
      <c r="BJ41" s="62">
        <f t="shared" si="38"/>
        <v>143.57726487417773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9.4399999999999977</v>
      </c>
      <c r="BY41" s="13">
        <f>IF('Données projet'!$A$114&gt;35,BY40+BX41-CG40,IF(A41&lt;'Données projet'!$A$114,$BV$205^A41,IF(A41='Données projet'!$A$114,'Données projet'!$B$114,BY40+BX41-CG40)))</f>
        <v>172.72</v>
      </c>
      <c r="BZ41" s="14">
        <f>BY41*VLOOKUP('Données projet'!$B$12,Paramètres!$A$1:$I$89,3,0)*VLOOKUP('Données projet'!$B$12,Paramètres!$A$1:$I$89,5,0)</f>
        <v>137.416032</v>
      </c>
      <c r="CA41" s="14">
        <f t="shared" si="39"/>
        <v>35.7044144318684</v>
      </c>
      <c r="CB41" s="22">
        <f t="shared" si="10"/>
        <v>301.51811086883743</v>
      </c>
      <c r="CC41" s="62">
        <f t="shared" si="11"/>
        <v>594.8514442021708</v>
      </c>
      <c r="CD41" s="62">
        <f ca="1">AVERAGE(OFFSET($CC$3,0,0,'Données projet'!$E$12+1,1))-AVERAGE(OFFSET($H$3,0,0,'Données projet'!$E$12+1,1))</f>
        <v>237.4598967324826</v>
      </c>
      <c r="CE41" s="62">
        <f t="shared" si="40"/>
        <v>218.74305466112406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11.5</v>
      </c>
      <c r="N42" s="14">
        <f>IF('Données projet'!$A$36&gt;35,N41+M42-V41,IF(A42&lt;'Données projet'!$A$36,$K$205^A42,IF(A42='Données projet'!$A$36,'Données projet'!$B$36,N41+M42-V41)))</f>
        <v>282.5</v>
      </c>
      <c r="O42" s="14">
        <f>N42*VLOOKUP('Données projet'!$B$9,Paramètres!$A$1:$I$89,3,0)*VLOOKUP('Données projet'!$B$9,Paramètres!$A$1:$I$89,5,0)</f>
        <v>176.28</v>
      </c>
      <c r="P42" s="14">
        <f t="shared" si="33"/>
        <v>44.493551487607988</v>
      </c>
      <c r="Q42" s="22">
        <f t="shared" si="53"/>
        <v>384.51393550758388</v>
      </c>
      <c r="R42" s="62">
        <f t="shared" si="0"/>
        <v>677.8472688409172</v>
      </c>
      <c r="S42" s="62">
        <f ca="1">AVERAGE(OFFSET($R$3,0,0,'Données projet'!$E$9+1,1))-AVERAGE(OFFSET($H$3,0,0,'Données projet'!$E$9+1,1))</f>
        <v>205.33000726169792</v>
      </c>
      <c r="T42" s="62">
        <f t="shared" si="34"/>
        <v>307.23455947678775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2.8888888888888888</v>
      </c>
      <c r="AI42" s="14">
        <f>IF('Données projet'!$A$62&gt;35,AI41+AH42-AQ41,IF(A42&lt;'Données projet'!$A$62,$AF$205^A42,IF(A42='Données projet'!$A$62,'Données projet'!$B$62,AI41+AH42-AQ41)))</f>
        <v>112.66666666666659</v>
      </c>
      <c r="AJ42" s="14">
        <f>AI42*VLOOKUP('Données projet'!$B$10,Paramètres!$A$1:$I$89,3,0)*VLOOKUP('Données projet'!$B$10,Paramètres!$A$1:$I$89,5,0)</f>
        <v>55.657333333333298</v>
      </c>
      <c r="AK42" s="14">
        <f t="shared" si="35"/>
        <v>16.065552017221275</v>
      </c>
      <c r="AL42" s="22">
        <f t="shared" si="4"/>
        <v>124.9173586522159</v>
      </c>
      <c r="AM42" s="62">
        <f t="shared" si="5"/>
        <v>418.25069198554922</v>
      </c>
      <c r="AN42" s="62">
        <f ca="1">AVERAGE(OFFSET($AM$3,0,0,'Données projet'!$E$10+1,1))-AVERAGE(OFFSET($H$3,0,0,'Données projet'!$E$10+1,1))</f>
        <v>491.47342911047105</v>
      </c>
      <c r="AO42" s="62">
        <f t="shared" si="36"/>
        <v>58.734453933891757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128.60000000000002</v>
      </c>
      <c r="BE42" s="14">
        <f>BD42*VLOOKUP('Données projet'!$B$11,Paramètres!$A$1:$I$89,3,0)*VLOOKUP('Données projet'!$B$11,Paramètres!$A$1:$I$89,5,0)</f>
        <v>108.33264000000003</v>
      </c>
      <c r="BF42" s="14">
        <f t="shared" si="37"/>
        <v>28.937793020723745</v>
      </c>
      <c r="BG42" s="22">
        <f t="shared" si="7"/>
        <v>239.07933751109388</v>
      </c>
      <c r="BH42" s="62">
        <f t="shared" si="8"/>
        <v>532.41267084442723</v>
      </c>
      <c r="BI42" s="62">
        <f ca="1">AVERAGE(OFFSET($BH$3,0,0,'Données projet'!$E$11+1,1))-AVERAGE(OFFSET($H$3,0,0,'Données projet'!$E$11+1,1))</f>
        <v>278.21934231434597</v>
      </c>
      <c r="BJ42" s="62">
        <f t="shared" si="38"/>
        <v>143.57726487417773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9.4399999999999977</v>
      </c>
      <c r="BY42" s="13">
        <f>IF('Données projet'!$A$114&gt;35,BY41+BX42-CG41,IF(A42&lt;'Données projet'!$A$114,$BV$205^A42,IF(A42='Données projet'!$A$114,'Données projet'!$B$114,BY41+BX42-CG41)))</f>
        <v>182.16</v>
      </c>
      <c r="BZ42" s="14">
        <f>BY42*VLOOKUP('Données projet'!$B$12,Paramètres!$A$1:$I$89,3,0)*VLOOKUP('Données projet'!$B$12,Paramètres!$A$1:$I$89,5,0)</f>
        <v>144.92649600000001</v>
      </c>
      <c r="CA42" s="14">
        <f t="shared" si="39"/>
        <v>37.423314893488758</v>
      </c>
      <c r="CB42" s="22">
        <f t="shared" si="10"/>
        <v>317.5925873061596</v>
      </c>
      <c r="CC42" s="62">
        <f t="shared" si="11"/>
        <v>610.92592063949292</v>
      </c>
      <c r="CD42" s="62">
        <f ca="1">AVERAGE(OFFSET($CC$3,0,0,'Données projet'!$E$12+1,1))-AVERAGE(OFFSET($H$3,0,0,'Données projet'!$E$12+1,1))</f>
        <v>237.4598967324826</v>
      </c>
      <c r="CE42" s="62">
        <f t="shared" si="40"/>
        <v>218.74305466112406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11.5</v>
      </c>
      <c r="N43" s="14">
        <f>IF('Données projet'!$A$36&gt;35,N42+M43-V42,IF(A43&lt;'Données projet'!$A$36,$K$205^A43,IF(A43='Données projet'!$A$36,'Données projet'!$B$36,N42+M43-V42)))</f>
        <v>294</v>
      </c>
      <c r="O43" s="14">
        <f>N43*VLOOKUP('Données projet'!$B$9,Paramètres!$A$1:$I$89,3,0)*VLOOKUP('Données projet'!$B$9,Paramètres!$A$1:$I$89,5,0)</f>
        <v>183.45600000000002</v>
      </c>
      <c r="P43" s="14">
        <f t="shared" si="33"/>
        <v>46.090229375321144</v>
      </c>
      <c r="Q43" s="22">
        <f t="shared" si="53"/>
        <v>399.79301616201769</v>
      </c>
      <c r="R43" s="62">
        <f t="shared" si="0"/>
        <v>693.12634949535095</v>
      </c>
      <c r="S43" s="62">
        <f ca="1">AVERAGE(OFFSET($R$3,0,0,'Données projet'!$E$9+1,1))-AVERAGE(OFFSET($H$3,0,0,'Données projet'!$E$9+1,1))</f>
        <v>205.33000726169792</v>
      </c>
      <c r="T43" s="62">
        <f t="shared" si="34"/>
        <v>307.23455947678775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2.8888888888888888</v>
      </c>
      <c r="AI43" s="14">
        <f>IF('Données projet'!$A$62&gt;35,AI42+AH43-AQ42,IF(A43&lt;'Données projet'!$A$62,$AF$205^A43,IF(A43='Données projet'!$A$62,'Données projet'!$B$62,AI42+AH43-AQ42)))</f>
        <v>115.55555555555547</v>
      </c>
      <c r="AJ43" s="14">
        <f>AI43*VLOOKUP('Données projet'!$B$10,Paramètres!$A$1:$I$89,3,0)*VLOOKUP('Données projet'!$B$10,Paramètres!$A$1:$I$89,5,0)</f>
        <v>57.084444444444408</v>
      </c>
      <c r="AK43" s="14">
        <f t="shared" si="35"/>
        <v>16.429001686782009</v>
      </c>
      <c r="AL43" s="22">
        <f t="shared" si="4"/>
        <v>128.03591867855266</v>
      </c>
      <c r="AM43" s="62">
        <f t="shared" si="5"/>
        <v>421.36925201188598</v>
      </c>
      <c r="AN43" s="62">
        <f ca="1">AVERAGE(OFFSET($AM$3,0,0,'Données projet'!$E$10+1,1))-AVERAGE(OFFSET($H$3,0,0,'Données projet'!$E$10+1,1))</f>
        <v>491.47342911047105</v>
      </c>
      <c r="AO43" s="62">
        <f t="shared" si="36"/>
        <v>58.734453933891757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137.00000000000003</v>
      </c>
      <c r="BE43" s="14">
        <f>BD43*VLOOKUP('Données projet'!$B$11,Paramètres!$A$1:$I$89,3,0)*VLOOKUP('Données projet'!$B$11,Paramètres!$A$1:$I$89,5,0)</f>
        <v>115.40880000000003</v>
      </c>
      <c r="BF43" s="14">
        <f t="shared" si="37"/>
        <v>30.60175820334798</v>
      </c>
      <c r="BG43" s="22">
        <f t="shared" si="7"/>
        <v>254.30172220416443</v>
      </c>
      <c r="BH43" s="62">
        <f t="shared" si="8"/>
        <v>547.63505553749769</v>
      </c>
      <c r="BI43" s="62">
        <f ca="1">AVERAGE(OFFSET($BH$3,0,0,'Données projet'!$E$11+1,1))-AVERAGE(OFFSET($H$3,0,0,'Données projet'!$E$11+1,1))</f>
        <v>278.21934231434597</v>
      </c>
      <c r="BJ43" s="62">
        <f t="shared" si="38"/>
        <v>143.57726487417773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191.6</v>
      </c>
      <c r="BW43" s="13">
        <f>VLOOKUP(A43,'Données projet'!$A$113:$I$133,9,0)</f>
        <v>9.4399999999999977</v>
      </c>
      <c r="BX43" s="13">
        <f t="array" ref="BX43">INDEX(BW:BW,MIN(IF(ISNUMBER(BW43:BW239),ROW(BW43:BW239),"")))</f>
        <v>9.4399999999999977</v>
      </c>
      <c r="BY43" s="13">
        <f>IF('Données projet'!$A$114&gt;35,BY42+BX43-CG42,IF(A43&lt;'Données projet'!$A$114,$BV$205^A43,IF(A43='Données projet'!$A$114,'Données projet'!$B$114,BY42+BX43-CG42)))</f>
        <v>191.6</v>
      </c>
      <c r="BZ43" s="14">
        <f>BY43*VLOOKUP('Données projet'!$B$12,Paramètres!$A$1:$I$89,3,0)*VLOOKUP('Données projet'!$B$12,Paramètres!$A$1:$I$89,5,0)</f>
        <v>152.43696</v>
      </c>
      <c r="CA43" s="14">
        <f t="shared" si="39"/>
        <v>39.131873016703622</v>
      </c>
      <c r="CB43" s="22">
        <f t="shared" si="10"/>
        <v>333.64905083742542</v>
      </c>
      <c r="CC43" s="62">
        <f t="shared" si="11"/>
        <v>626.98238417075868</v>
      </c>
      <c r="CD43" s="62">
        <f ca="1">AVERAGE(OFFSET($CC$3,0,0,'Données projet'!$E$12+1,1))-AVERAGE(OFFSET($H$3,0,0,'Données projet'!$E$12+1,1))</f>
        <v>237.4598967324826</v>
      </c>
      <c r="CE43" s="62">
        <f t="shared" si="40"/>
        <v>218.74305466112406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305.5</v>
      </c>
      <c r="O44" s="14">
        <f>N44*VLOOKUP('Données projet'!$B$9,Paramètres!$A$1:$I$89,3,0)*VLOOKUP('Données projet'!$B$9,Paramètres!$A$1:$I$89,5,0)</f>
        <v>190.63199999999998</v>
      </c>
      <c r="P44" s="14">
        <f t="shared" si="33"/>
        <v>47.679652061560311</v>
      </c>
      <c r="Q44" s="22">
        <f t="shared" si="53"/>
        <v>415.05946067388413</v>
      </c>
      <c r="R44" s="62">
        <f t="shared" si="0"/>
        <v>708.39279400721739</v>
      </c>
      <c r="S44" s="62">
        <f ca="1">AVERAGE(OFFSET($R$3,0,0,'Données projet'!$E$9+1,1))-AVERAGE(OFFSET($H$3,0,0,'Données projet'!$E$9+1,1))</f>
        <v>205.33000726169792</v>
      </c>
      <c r="T44" s="62">
        <f t="shared" si="34"/>
        <v>307.23455947678775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2.8888888888888888</v>
      </c>
      <c r="AI44" s="14">
        <f>IF('Données projet'!$A$62&gt;35,AI43+AH44-AQ43,IF(A44&lt;'Données projet'!$A$62,$AF$205^A44,IF(A44='Données projet'!$A$62,'Données projet'!$B$62,AI43+AH44-AQ43)))</f>
        <v>118.44444444444436</v>
      </c>
      <c r="AJ44" s="14">
        <f>AI44*VLOOKUP('Données projet'!$B$10,Paramètres!$A$1:$I$89,3,0)*VLOOKUP('Données projet'!$B$10,Paramètres!$A$1:$I$89,5,0)</f>
        <v>58.51155555555551</v>
      </c>
      <c r="AK44" s="14">
        <f t="shared" si="35"/>
        <v>16.791395138902509</v>
      </c>
      <c r="AL44" s="22">
        <f t="shared" si="4"/>
        <v>131.15263912618104</v>
      </c>
      <c r="AM44" s="62">
        <f t="shared" si="5"/>
        <v>424.48597245951436</v>
      </c>
      <c r="AN44" s="62">
        <f ca="1">AVERAGE(OFFSET($AM$3,0,0,'Données projet'!$E$10+1,1))-AVERAGE(OFFSET($H$3,0,0,'Données projet'!$E$10+1,1))</f>
        <v>491.47342911047105</v>
      </c>
      <c r="AO44" s="62">
        <f t="shared" si="36"/>
        <v>58.734453933891757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145.40000000000003</v>
      </c>
      <c r="BE44" s="14">
        <f>BD44*VLOOKUP('Données projet'!$B$11,Paramètres!$A$1:$I$89,3,0)*VLOOKUP('Données projet'!$B$11,Paramètres!$A$1:$I$89,5,0)</f>
        <v>122.48496000000003</v>
      </c>
      <c r="BF44" s="14">
        <f t="shared" si="37"/>
        <v>32.25388222264565</v>
      </c>
      <c r="BG44" s="22">
        <f t="shared" si="7"/>
        <v>269.50348353777451</v>
      </c>
      <c r="BH44" s="62">
        <f t="shared" si="8"/>
        <v>562.83681687110789</v>
      </c>
      <c r="BI44" s="62">
        <f ca="1">AVERAGE(OFFSET($BH$3,0,0,'Données projet'!$E$11+1,1))-AVERAGE(OFFSET($H$3,0,0,'Données projet'!$E$11+1,1))</f>
        <v>278.21934231434597</v>
      </c>
      <c r="BJ44" s="62">
        <f t="shared" si="38"/>
        <v>143.57726487417773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8.2000000000000064</v>
      </c>
      <c r="BY44" s="13">
        <f>IF('Données projet'!$A$114&gt;35,BY43+BX44-CG43,IF(A44&lt;'Données projet'!$A$114,$BV$205^A44,IF(A44='Données projet'!$A$114,'Données projet'!$B$114,BY43+BX44-CG43)))</f>
        <v>199.8</v>
      </c>
      <c r="BZ44" s="14">
        <f>BY44*VLOOKUP('Données projet'!$B$12,Paramètres!$A$1:$I$89,3,0)*VLOOKUP('Données projet'!$B$12,Paramètres!$A$1:$I$89,5,0)</f>
        <v>158.96088000000003</v>
      </c>
      <c r="CA44" s="14">
        <f t="shared" si="39"/>
        <v>40.608050185747139</v>
      </c>
      <c r="CB44" s="22">
        <f t="shared" si="10"/>
        <v>347.58255340684292</v>
      </c>
      <c r="CC44" s="62">
        <f t="shared" si="11"/>
        <v>640.91588674017623</v>
      </c>
      <c r="CD44" s="62">
        <f ca="1">AVERAGE(OFFSET($CC$3,0,0,'Données projet'!$E$12+1,1))-AVERAGE(OFFSET($H$3,0,0,'Données projet'!$E$12+1,1))</f>
        <v>237.4598967324826</v>
      </c>
      <c r="CE44" s="62">
        <f t="shared" si="40"/>
        <v>218.74305466112406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317</v>
      </c>
      <c r="L45" s="13">
        <f>VLOOKUP(A45,'Données projet'!$A$35:$I$55,9,0)</f>
        <v>11.5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317</v>
      </c>
      <c r="O45" s="14">
        <f>N45*VLOOKUP('Données projet'!$B$9,Paramètres!$A$1:$I$89,3,0)*VLOOKUP('Données projet'!$B$9,Paramètres!$A$1:$I$89,5,0)</f>
        <v>197.80799999999999</v>
      </c>
      <c r="P45" s="14">
        <f t="shared" si="33"/>
        <v>49.262123924586838</v>
      </c>
      <c r="Q45" s="22">
        <f t="shared" si="53"/>
        <v>430.31379916865535</v>
      </c>
      <c r="R45" s="62">
        <f t="shared" si="0"/>
        <v>723.64713250198861</v>
      </c>
      <c r="S45" s="62">
        <f ca="1">AVERAGE(OFFSET($R$3,0,0,'Données projet'!$E$9+1,1))-AVERAGE(OFFSET($H$3,0,0,'Données projet'!$E$9+1,1))</f>
        <v>205.33000726169792</v>
      </c>
      <c r="T45" s="62">
        <f t="shared" si="34"/>
        <v>307.23455947678775</v>
      </c>
      <c r="U45" s="16">
        <f>IF(ISNA(VLOOKUP(A45,'Données projet'!$A$35:$I$55,3,0)),0,VLOOKUP(A45,'Données projet'!$A$35:$I$55,3,0))</f>
        <v>3</v>
      </c>
      <c r="V45" s="16">
        <f>IF(ISNA(VLOOKUP(A45,'Données projet'!$A$35:$I$55,4,0)),0,VLOOKUP(A45,'Données projet'!$A$35:$I$55,4,0))</f>
        <v>129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2.8888888888888888</v>
      </c>
      <c r="AI45" s="14">
        <f>IF('Données projet'!$A$62&gt;35,AI44+AH45-AQ44,IF(A45&lt;'Données projet'!$A$62,$AF$205^A45,IF(A45='Données projet'!$A$62,'Données projet'!$B$62,AI44+AH45-AQ44)))</f>
        <v>121.33333333333324</v>
      </c>
      <c r="AJ45" s="14">
        <f>AI45*VLOOKUP('Données projet'!$B$10,Paramètres!$A$1:$I$89,3,0)*VLOOKUP('Données projet'!$B$10,Paramètres!$A$1:$I$89,5,0)</f>
        <v>59.938666666666627</v>
      </c>
      <c r="AK45" s="14">
        <f t="shared" si="35"/>
        <v>17.152761098584151</v>
      </c>
      <c r="AL45" s="22">
        <f t="shared" si="4"/>
        <v>134.26757002447843</v>
      </c>
      <c r="AM45" s="62">
        <f t="shared" si="5"/>
        <v>427.60090335781172</v>
      </c>
      <c r="AN45" s="62">
        <f ca="1">AVERAGE(OFFSET($AM$3,0,0,'Données projet'!$E$10+1,1))-AVERAGE(OFFSET($H$3,0,0,'Données projet'!$E$10+1,1))</f>
        <v>491.47342911047105</v>
      </c>
      <c r="AO45" s="62">
        <f t="shared" si="36"/>
        <v>58.734453933891757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153.80000000000004</v>
      </c>
      <c r="BE45" s="14">
        <f>BD45*VLOOKUP('Données projet'!$B$11,Paramètres!$A$1:$I$89,3,0)*VLOOKUP('Données projet'!$B$11,Paramètres!$A$1:$I$89,5,0)</f>
        <v>129.56112000000005</v>
      </c>
      <c r="BF45" s="14">
        <f t="shared" si="37"/>
        <v>33.894927099295955</v>
      </c>
      <c r="BG45" s="22">
        <f t="shared" si="7"/>
        <v>284.68594869794055</v>
      </c>
      <c r="BH45" s="62">
        <f t="shared" si="8"/>
        <v>578.01928203127386</v>
      </c>
      <c r="BI45" s="62">
        <f ca="1">AVERAGE(OFFSET($BH$3,0,0,'Données projet'!$E$11+1,1))-AVERAGE(OFFSET($H$3,0,0,'Données projet'!$E$11+1,1))</f>
        <v>278.21934231434597</v>
      </c>
      <c r="BJ45" s="62">
        <f t="shared" si="38"/>
        <v>143.57726487417773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8.2000000000000064</v>
      </c>
      <c r="BY45" s="13">
        <f>IF('Données projet'!$A$114&gt;35,BY44+BX45-CG44,IF(A45&lt;'Données projet'!$A$114,$BV$205^A45,IF(A45='Données projet'!$A$114,'Données projet'!$B$114,BY44+BX45-CG44)))</f>
        <v>208.00000000000003</v>
      </c>
      <c r="BZ45" s="14">
        <f>BY45*VLOOKUP('Données projet'!$B$12,Paramètres!$A$1:$I$89,3,0)*VLOOKUP('Données projet'!$B$12,Paramètres!$A$1:$I$89,5,0)</f>
        <v>165.48480000000004</v>
      </c>
      <c r="CA45" s="14">
        <f t="shared" si="39"/>
        <v>42.077190125964044</v>
      </c>
      <c r="CB45" s="22">
        <f t="shared" si="10"/>
        <v>361.50379946938739</v>
      </c>
      <c r="CC45" s="62">
        <f t="shared" si="11"/>
        <v>654.8371328027207</v>
      </c>
      <c r="CD45" s="62">
        <f ca="1">AVERAGE(OFFSET($CC$3,0,0,'Données projet'!$E$12+1,1))-AVERAGE(OFFSET($H$3,0,0,'Données projet'!$E$12+1,1))</f>
        <v>237.4598967324826</v>
      </c>
      <c r="CE45" s="62">
        <f t="shared" si="40"/>
        <v>218.74305466112406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10.666666666666666</v>
      </c>
      <c r="N46" s="14">
        <f>IF('Données projet'!$A$36&gt;35,N45+M46-V45,IF(A46&lt;'Données projet'!$A$36,$K$205^A46,IF(A46='Données projet'!$A$36,'Données projet'!$B$36,N45+M46-V45)))</f>
        <v>198.66666666666669</v>
      </c>
      <c r="O46" s="14">
        <f>N46*VLOOKUP('Données projet'!$B$9,Paramètres!$A$1:$I$89,3,0)*VLOOKUP('Données projet'!$B$9,Paramètres!$A$1:$I$89,5,0)</f>
        <v>123.968</v>
      </c>
      <c r="P46" s="14">
        <f t="shared" si="33"/>
        <v>32.598710622532096</v>
      </c>
      <c r="Q46" s="22">
        <f t="shared" si="53"/>
        <v>272.68702100091008</v>
      </c>
      <c r="R46" s="62">
        <f t="shared" si="0"/>
        <v>566.02035433424339</v>
      </c>
      <c r="S46" s="62">
        <f ca="1">AVERAGE(OFFSET($R$3,0,0,'Données projet'!$E$9+1,1))-AVERAGE(OFFSET($H$3,0,0,'Données projet'!$E$9+1,1))</f>
        <v>205.33000726169792</v>
      </c>
      <c r="T46" s="62">
        <f t="shared" si="34"/>
        <v>307.23455947678775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2.8888888888888888</v>
      </c>
      <c r="AI46" s="14">
        <f>IF('Données projet'!$A$62&gt;35,AI45+AH46-AQ45,IF(A46&lt;'Données projet'!$A$62,$AF$205^A46,IF(A46='Données projet'!$A$62,'Données projet'!$B$62,AI45+AH46-AQ45)))</f>
        <v>124.22222222222213</v>
      </c>
      <c r="AJ46" s="14">
        <f>AI46*VLOOKUP('Données projet'!$B$10,Paramètres!$A$1:$I$89,3,0)*VLOOKUP('Données projet'!$B$10,Paramètres!$A$1:$I$89,5,0)</f>
        <v>61.365777777777737</v>
      </c>
      <c r="AK46" s="14">
        <f t="shared" si="35"/>
        <v>17.513126844954343</v>
      </c>
      <c r="AL46" s="22">
        <f t="shared" si="4"/>
        <v>137.3807588845917</v>
      </c>
      <c r="AM46" s="62">
        <f t="shared" si="5"/>
        <v>430.71409221792499</v>
      </c>
      <c r="AN46" s="62">
        <f ca="1">AVERAGE(OFFSET($AM$3,0,0,'Données projet'!$E$10+1,1))-AVERAGE(OFFSET($H$3,0,0,'Données projet'!$E$10+1,1))</f>
        <v>491.47342911047105</v>
      </c>
      <c r="AO46" s="62">
        <f t="shared" si="36"/>
        <v>58.734453933891757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162.20000000000005</v>
      </c>
      <c r="BE46" s="14">
        <f>BD46*VLOOKUP('Données projet'!$B$11,Paramètres!$A$1:$I$89,3,0)*VLOOKUP('Données projet'!$B$11,Paramètres!$A$1:$I$89,5,0)</f>
        <v>136.63728000000006</v>
      </c>
      <c r="BF46" s="14">
        <f t="shared" si="37"/>
        <v>35.525566915250494</v>
      </c>
      <c r="BG46" s="22">
        <f t="shared" si="7"/>
        <v>299.85029171072807</v>
      </c>
      <c r="BH46" s="62">
        <f t="shared" si="8"/>
        <v>593.18362504406139</v>
      </c>
      <c r="BI46" s="62">
        <f ca="1">AVERAGE(OFFSET($BH$3,0,0,'Données projet'!$E$11+1,1))-AVERAGE(OFFSET($H$3,0,0,'Données projet'!$E$11+1,1))</f>
        <v>278.21934231434597</v>
      </c>
      <c r="BJ46" s="62">
        <f t="shared" si="38"/>
        <v>143.57726487417773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8.2000000000000064</v>
      </c>
      <c r="BY46" s="13">
        <f>IF('Données projet'!$A$114&gt;35,BY45+BX46-CG45,IF(A46&lt;'Données projet'!$A$114,$BV$205^A46,IF(A46='Données projet'!$A$114,'Données projet'!$B$114,BY45+BX46-CG45)))</f>
        <v>216.20000000000005</v>
      </c>
      <c r="BZ46" s="14">
        <f>BY46*VLOOKUP('Données projet'!$B$12,Paramètres!$A$1:$I$89,3,0)*VLOOKUP('Données projet'!$B$12,Paramètres!$A$1:$I$89,5,0)</f>
        <v>172.00872000000004</v>
      </c>
      <c r="CA46" s="14">
        <f t="shared" si="39"/>
        <v>43.539602012936207</v>
      </c>
      <c r="CB46" s="22">
        <f t="shared" si="10"/>
        <v>375.41332750586389</v>
      </c>
      <c r="CC46" s="62">
        <f t="shared" si="11"/>
        <v>668.74666083919715</v>
      </c>
      <c r="CD46" s="62">
        <f ca="1">AVERAGE(OFFSET($CC$3,0,0,'Données projet'!$E$12+1,1))-AVERAGE(OFFSET($H$3,0,0,'Données projet'!$E$12+1,1))</f>
        <v>237.4598967324826</v>
      </c>
      <c r="CE46" s="62">
        <f t="shared" si="40"/>
        <v>218.74305466112406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10.666666666666666</v>
      </c>
      <c r="N47" s="14">
        <f>IF('Données projet'!$A$36&gt;35,N46+M47-V46,IF(A47&lt;'Données projet'!$A$36,$K$205^A47,IF(A47='Données projet'!$A$36,'Données projet'!$B$36,N46+M47-V46)))</f>
        <v>209.33333333333334</v>
      </c>
      <c r="O47" s="14">
        <f>N47*VLOOKUP('Données projet'!$B$9,Paramètres!$A$1:$I$89,3,0)*VLOOKUP('Données projet'!$B$9,Paramètres!$A$1:$I$89,5,0)</f>
        <v>130.62400000000002</v>
      </c>
      <c r="P47" s="14">
        <f t="shared" si="33"/>
        <v>34.140507202645395</v>
      </c>
      <c r="Q47" s="22">
        <f t="shared" si="53"/>
        <v>286.96485004460743</v>
      </c>
      <c r="R47" s="62">
        <f t="shared" si="0"/>
        <v>580.29818337794075</v>
      </c>
      <c r="S47" s="62">
        <f ca="1">AVERAGE(OFFSET($R$3,0,0,'Données projet'!$E$9+1,1))-AVERAGE(OFFSET($H$3,0,0,'Données projet'!$E$9+1,1))</f>
        <v>205.33000726169792</v>
      </c>
      <c r="T47" s="62">
        <f t="shared" si="34"/>
        <v>307.23455947678775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2.8888888888888888</v>
      </c>
      <c r="AI47" s="14">
        <f>IF('Données projet'!$A$62&gt;35,AI46+AH47-AQ46,IF(A47&lt;'Données projet'!$A$62,$AF$205^A47,IF(A47='Données projet'!$A$62,'Données projet'!$B$62,AI46+AH47-AQ46)))</f>
        <v>127.11111111111101</v>
      </c>
      <c r="AJ47" s="14">
        <f>AI47*VLOOKUP('Données projet'!$B$10,Paramètres!$A$1:$I$89,3,0)*VLOOKUP('Données projet'!$B$10,Paramètres!$A$1:$I$89,5,0)</f>
        <v>62.792888888888839</v>
      </c>
      <c r="AK47" s="14">
        <f t="shared" si="35"/>
        <v>17.872518315951758</v>
      </c>
      <c r="AL47" s="22">
        <f t="shared" si="4"/>
        <v>140.49225088176402</v>
      </c>
      <c r="AM47" s="62">
        <f t="shared" si="5"/>
        <v>433.82558421509736</v>
      </c>
      <c r="AN47" s="62">
        <f ca="1">AVERAGE(OFFSET($AM$3,0,0,'Données projet'!$E$10+1,1))-AVERAGE(OFFSET($H$3,0,0,'Données projet'!$E$10+1,1))</f>
        <v>491.47342911047105</v>
      </c>
      <c r="AO47" s="62">
        <f t="shared" si="36"/>
        <v>58.734453933891757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170.60000000000005</v>
      </c>
      <c r="BE47" s="14">
        <f>BD47*VLOOKUP('Données projet'!$B$11,Paramètres!$A$1:$I$89,3,0)*VLOOKUP('Données projet'!$B$11,Paramètres!$A$1:$I$89,5,0)</f>
        <v>143.71344000000008</v>
      </c>
      <c r="BF47" s="14">
        <f t="shared" si="37"/>
        <v>37.146401990372148</v>
      </c>
      <c r="BG47" s="22">
        <f t="shared" si="7"/>
        <v>314.99755813323162</v>
      </c>
      <c r="BH47" s="62">
        <f t="shared" si="8"/>
        <v>608.33089146656494</v>
      </c>
      <c r="BI47" s="62">
        <f ca="1">AVERAGE(OFFSET($BH$3,0,0,'Données projet'!$E$11+1,1))-AVERAGE(OFFSET($H$3,0,0,'Données projet'!$E$11+1,1))</f>
        <v>278.21934231434597</v>
      </c>
      <c r="BJ47" s="62">
        <f t="shared" si="38"/>
        <v>143.57726487417773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8.2000000000000064</v>
      </c>
      <c r="BY47" s="13">
        <f>IF('Données projet'!$A$114&gt;35,BY46+BX47-CG46,IF(A47&lt;'Données projet'!$A$114,$BV$205^A47,IF(A47='Données projet'!$A$114,'Données projet'!$B$114,BY46+BX47-CG46)))</f>
        <v>224.40000000000006</v>
      </c>
      <c r="BZ47" s="14">
        <f>BY47*VLOOKUP('Données projet'!$B$12,Paramètres!$A$1:$I$89,3,0)*VLOOKUP('Données projet'!$B$12,Paramètres!$A$1:$I$89,5,0)</f>
        <v>178.53264000000004</v>
      </c>
      <c r="CA47" s="14">
        <f t="shared" si="39"/>
        <v>44.995570241117683</v>
      </c>
      <c r="CB47" s="22">
        <f t="shared" si="10"/>
        <v>389.3116328366134</v>
      </c>
      <c r="CC47" s="62">
        <f t="shared" si="11"/>
        <v>682.64496616994666</v>
      </c>
      <c r="CD47" s="62">
        <f ca="1">AVERAGE(OFFSET($CC$3,0,0,'Données projet'!$E$12+1,1))-AVERAGE(OFFSET($H$3,0,0,'Données projet'!$E$12+1,1))</f>
        <v>237.4598967324826</v>
      </c>
      <c r="CE47" s="62">
        <f t="shared" si="40"/>
        <v>218.74305466112406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10.666666666666666</v>
      </c>
      <c r="N48" s="14">
        <f>IF('Données projet'!$A$36&gt;35,N47+M48-V47,IF(A48&lt;'Données projet'!$A$36,$K$205^A48,IF(A48='Données projet'!$A$36,'Données projet'!$B$36,N47+M48-V47)))</f>
        <v>220</v>
      </c>
      <c r="O48" s="14">
        <f>N48*VLOOKUP('Données projet'!$B$9,Paramètres!$A$1:$I$89,3,0)*VLOOKUP('Données projet'!$B$9,Paramètres!$A$1:$I$89,5,0)</f>
        <v>137.28</v>
      </c>
      <c r="P48" s="14">
        <f t="shared" si="33"/>
        <v>35.673181961873446</v>
      </c>
      <c r="Q48" s="22">
        <f t="shared" si="53"/>
        <v>301.22679191692959</v>
      </c>
      <c r="R48" s="62">
        <f t="shared" si="0"/>
        <v>594.5601252502629</v>
      </c>
      <c r="S48" s="62">
        <f ca="1">AVERAGE(OFFSET($R$3,0,0,'Données projet'!$E$9+1,1))-AVERAGE(OFFSET($H$3,0,0,'Données projet'!$E$9+1,1))</f>
        <v>205.33000726169792</v>
      </c>
      <c r="T48" s="62">
        <f t="shared" si="34"/>
        <v>307.23455947678775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130</v>
      </c>
      <c r="AG48" s="13">
        <f>VLOOKUP(A48,'Données projet'!$A$61:$I$81,9,0)</f>
        <v>2.8888888888888888</v>
      </c>
      <c r="AH48" s="13">
        <f t="array" ref="AH48">INDEX(AG:AG,MIN(IF(ISNUMBER(AG48:AG244),ROW(AG48:AG244),"")))</f>
        <v>2.8888888888888888</v>
      </c>
      <c r="AI48" s="14">
        <f>IF('Données projet'!$A$62&gt;35,AI47+AH48-AQ47,IF(A48&lt;'Données projet'!$A$62,$AF$205^A48,IF(A48='Données projet'!$A$62,'Données projet'!$B$62,AI47+AH48-AQ47)))</f>
        <v>129.99999999999991</v>
      </c>
      <c r="AJ48" s="14">
        <f>AI48*VLOOKUP('Données projet'!$B$10,Paramètres!$A$1:$I$89,3,0)*VLOOKUP('Données projet'!$B$10,Paramètres!$A$1:$I$89,5,0)</f>
        <v>64.21999999999997</v>
      </c>
      <c r="AK48" s="14">
        <f t="shared" si="35"/>
        <v>18.230960203226296</v>
      </c>
      <c r="AL48" s="22">
        <f t="shared" si="4"/>
        <v>143.60208902061908</v>
      </c>
      <c r="AM48" s="62">
        <f t="shared" si="5"/>
        <v>436.93542235395239</v>
      </c>
      <c r="AN48" s="62">
        <f ca="1">AVERAGE(OFFSET($AM$3,0,0,'Données projet'!$E$10+1,1))-AVERAGE(OFFSET($H$3,0,0,'Données projet'!$E$10+1,1))</f>
        <v>491.47342911047105</v>
      </c>
      <c r="AO48" s="62">
        <f t="shared" si="36"/>
        <v>58.734453933891757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179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179.00000000000006</v>
      </c>
      <c r="BE48" s="14">
        <f>BD48*VLOOKUP('Données projet'!$B$11,Paramètres!$A$1:$I$89,3,0)*VLOOKUP('Données projet'!$B$11,Paramètres!$A$1:$I$89,5,0)</f>
        <v>150.78960000000006</v>
      </c>
      <c r="BF48" s="14">
        <f t="shared" si="37"/>
        <v>38.757970187689722</v>
      </c>
      <c r="BG48" s="22">
        <f t="shared" si="7"/>
        <v>330.12868474355969</v>
      </c>
      <c r="BH48" s="62">
        <f t="shared" si="8"/>
        <v>623.46201807689295</v>
      </c>
      <c r="BI48" s="62">
        <f ca="1">AVERAGE(OFFSET($BH$3,0,0,'Données projet'!$E$11+1,1))-AVERAGE(OFFSET($H$3,0,0,'Données projet'!$E$11+1,1))</f>
        <v>278.21934231434597</v>
      </c>
      <c r="BJ48" s="62">
        <f t="shared" si="38"/>
        <v>143.57726487417773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42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232.60000000000002</v>
      </c>
      <c r="BW48" s="13">
        <f>VLOOKUP(A48,'Données projet'!$A$113:$I$133,9,0)</f>
        <v>8.2000000000000064</v>
      </c>
      <c r="BX48" s="13">
        <f t="array" ref="BX48">INDEX(BW:BW,MIN(IF(ISNUMBER(BW48:BW244),ROW(BW48:BW244),"")))</f>
        <v>8.2000000000000064</v>
      </c>
      <c r="BY48" s="13">
        <f>IF('Données projet'!$A$114&gt;35,BY47+BX48-CG47,IF(A48&lt;'Données projet'!$A$114,$BV$205^A48,IF(A48='Données projet'!$A$114,'Données projet'!$B$114,BY47+BX48-CG47)))</f>
        <v>232.60000000000008</v>
      </c>
      <c r="BZ48" s="14">
        <f>BY48*VLOOKUP('Données projet'!$B$12,Paramètres!$A$1:$I$89,3,0)*VLOOKUP('Données projet'!$B$12,Paramètres!$A$1:$I$89,5,0)</f>
        <v>185.05656000000008</v>
      </c>
      <c r="CA48" s="14">
        <f t="shared" si="39"/>
        <v>46.44535724247271</v>
      </c>
      <c r="CB48" s="22">
        <f t="shared" si="10"/>
        <v>403.19917253064006</v>
      </c>
      <c r="CC48" s="62">
        <f t="shared" si="11"/>
        <v>696.53250586397337</v>
      </c>
      <c r="CD48" s="62">
        <f ca="1">AVERAGE(OFFSET($CC$3,0,0,'Données projet'!$E$12+1,1))-AVERAGE(OFFSET($H$3,0,0,'Données projet'!$E$12+1,1))</f>
        <v>237.4598967324826</v>
      </c>
      <c r="CE48" s="62">
        <f t="shared" si="40"/>
        <v>218.74305466112406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49.8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10.666666666666666</v>
      </c>
      <c r="N49" s="14">
        <f>IF('Données projet'!$A$36&gt;35,N48+M49-V48,IF(A49&lt;'Données projet'!$A$36,$K$205^A49,IF(A49='Données projet'!$A$36,'Données projet'!$B$36,N48+M49-V48)))</f>
        <v>230.66666666666666</v>
      </c>
      <c r="O49" s="14">
        <f>N49*VLOOKUP('Données projet'!$B$9,Paramètres!$A$1:$I$89,3,0)*VLOOKUP('Données projet'!$B$9,Paramètres!$A$1:$I$89,5,0)</f>
        <v>143.93599999999998</v>
      </c>
      <c r="P49" s="14">
        <f t="shared" si="33"/>
        <v>37.197227655019397</v>
      </c>
      <c r="Q49" s="22">
        <f t="shared" si="53"/>
        <v>315.47370483249205</v>
      </c>
      <c r="R49" s="62">
        <f t="shared" si="0"/>
        <v>608.80703816582536</v>
      </c>
      <c r="S49" s="62">
        <f ca="1">AVERAGE(OFFSET($R$3,0,0,'Données projet'!$E$9+1,1))-AVERAGE(OFFSET($H$3,0,0,'Données projet'!$E$9+1,1))</f>
        <v>205.33000726169792</v>
      </c>
      <c r="T49" s="62">
        <f t="shared" si="34"/>
        <v>307.23455947678775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28.133333333333333</v>
      </c>
      <c r="AI49" s="14">
        <f>IF('Données projet'!$A$62&gt;35,AI48+AH49-AQ48,IF(A49&lt;'Données projet'!$A$62,$AF$205^A49,IF(A49='Données projet'!$A$62,'Données projet'!$B$62,AI48+AH49-AQ48)))</f>
        <v>158.13333333333324</v>
      </c>
      <c r="AJ49" s="14">
        <f>AI49*VLOOKUP('Données projet'!$B$10,Paramètres!$A$1:$I$89,3,0)*VLOOKUP('Données projet'!$B$10,Paramètres!$A$1:$I$89,5,0)</f>
        <v>78.117866666666629</v>
      </c>
      <c r="AK49" s="14">
        <f t="shared" si="35"/>
        <v>21.676357039624847</v>
      </c>
      <c r="AL49" s="22">
        <f t="shared" si="4"/>
        <v>173.80827295512429</v>
      </c>
      <c r="AM49" s="62">
        <f t="shared" si="5"/>
        <v>467.14160628845764</v>
      </c>
      <c r="AN49" s="62">
        <f ca="1">AVERAGE(OFFSET($AM$3,0,0,'Données projet'!$E$10+1,1))-AVERAGE(OFFSET($H$3,0,0,'Données projet'!$E$10+1,1))</f>
        <v>491.47342911047105</v>
      </c>
      <c r="AO49" s="62">
        <f t="shared" si="36"/>
        <v>58.734453933891757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145.20000000000005</v>
      </c>
      <c r="BE49" s="14">
        <f>BD49*VLOOKUP('Données projet'!$B$11,Paramètres!$A$1:$I$89,3,0)*VLOOKUP('Données projet'!$B$11,Paramètres!$A$1:$I$89,5,0)</f>
        <v>122.31648000000006</v>
      </c>
      <c r="BF49" s="14">
        <f t="shared" si="37"/>
        <v>32.214677527967339</v>
      </c>
      <c r="BG49" s="22">
        <f t="shared" si="7"/>
        <v>269.14176602787654</v>
      </c>
      <c r="BH49" s="62">
        <f t="shared" si="8"/>
        <v>562.47509936120991</v>
      </c>
      <c r="BI49" s="62">
        <f ca="1">AVERAGE(OFFSET($BH$3,0,0,'Données projet'!$E$11+1,1))-AVERAGE(OFFSET($H$3,0,0,'Données projet'!$E$11+1,1))</f>
        <v>278.21934231434597</v>
      </c>
      <c r="BJ49" s="62">
        <f t="shared" si="38"/>
        <v>143.57726487417773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7.1199999999999992</v>
      </c>
      <c r="BY49" s="13">
        <f>IF('Données projet'!$A$114&gt;35,BY48+BX49-CG48,IF(A49&lt;'Données projet'!$A$114,$BV$205^A49,IF(A49='Données projet'!$A$114,'Données projet'!$B$114,BY48+BX49-CG48)))</f>
        <v>189.92000000000007</v>
      </c>
      <c r="BZ49" s="14">
        <f>BY49*VLOOKUP('Données projet'!$B$12,Paramètres!$A$1:$I$89,3,0)*VLOOKUP('Données projet'!$B$12,Paramètres!$A$1:$I$89,5,0)</f>
        <v>151.10035200000007</v>
      </c>
      <c r="CA49" s="14">
        <f t="shared" si="39"/>
        <v>38.828538092320272</v>
      </c>
      <c r="CB49" s="22">
        <f t="shared" si="10"/>
        <v>330.79281691079126</v>
      </c>
      <c r="CC49" s="62">
        <f t="shared" si="11"/>
        <v>624.12615024412457</v>
      </c>
      <c r="CD49" s="62">
        <f ca="1">AVERAGE(OFFSET($CC$3,0,0,'Données projet'!$E$12+1,1))-AVERAGE(OFFSET($H$3,0,0,'Données projet'!$E$12+1,1))</f>
        <v>237.4598967324826</v>
      </c>
      <c r="CE49" s="62">
        <f t="shared" si="40"/>
        <v>218.74305466112406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10.666666666666666</v>
      </c>
      <c r="N50" s="14">
        <f>IF('Données projet'!$A$36&gt;35,N49+M50-V49,IF(A50&lt;'Données projet'!$A$36,$K$205^A50,IF(A50='Données projet'!$A$36,'Données projet'!$B$36,N49+M50-V49)))</f>
        <v>241.33333333333331</v>
      </c>
      <c r="O50" s="14">
        <f>N50*VLOOKUP('Données projet'!$B$9,Paramètres!$A$1:$I$89,3,0)*VLOOKUP('Données projet'!$B$9,Paramètres!$A$1:$I$89,5,0)</f>
        <v>150.59199999999998</v>
      </c>
      <c r="P50" s="14">
        <f t="shared" si="33"/>
        <v>38.713088888505631</v>
      </c>
      <c r="Q50" s="22">
        <f t="shared" si="53"/>
        <v>329.70636314748066</v>
      </c>
      <c r="R50" s="62">
        <f t="shared" si="0"/>
        <v>623.03969648081397</v>
      </c>
      <c r="S50" s="62">
        <f ca="1">AVERAGE(OFFSET($R$3,0,0,'Données projet'!$E$9+1,1))-AVERAGE(OFFSET($H$3,0,0,'Données projet'!$E$9+1,1))</f>
        <v>205.33000726169792</v>
      </c>
      <c r="T50" s="62">
        <f t="shared" si="34"/>
        <v>307.23455947678775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28.133333333333333</v>
      </c>
      <c r="AI50" s="14">
        <f>IF('Données projet'!$A$62&gt;35,AI49+AH50-AQ49,IF(A50&lt;'Données projet'!$A$62,$AF$205^A50,IF(A50='Données projet'!$A$62,'Données projet'!$B$62,AI49+AH50-AQ49)))</f>
        <v>186.26666666666657</v>
      </c>
      <c r="AJ50" s="14">
        <f>AI50*VLOOKUP('Données projet'!$B$10,Paramètres!$A$1:$I$89,3,0)*VLOOKUP('Données projet'!$B$10,Paramètres!$A$1:$I$89,5,0)</f>
        <v>92.015733333333287</v>
      </c>
      <c r="AK50" s="14">
        <f t="shared" si="35"/>
        <v>25.050742859647965</v>
      </c>
      <c r="AL50" s="22">
        <f t="shared" si="4"/>
        <v>203.89077936944236</v>
      </c>
      <c r="AM50" s="62">
        <f t="shared" si="5"/>
        <v>497.22411270277564</v>
      </c>
      <c r="AN50" s="62">
        <f ca="1">AVERAGE(OFFSET($AM$3,0,0,'Données projet'!$E$10+1,1))-AVERAGE(OFFSET($H$3,0,0,'Données projet'!$E$10+1,1))</f>
        <v>491.47342911047105</v>
      </c>
      <c r="AO50" s="62">
        <f t="shared" si="36"/>
        <v>58.734453933891757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153.40000000000003</v>
      </c>
      <c r="BE50" s="14">
        <f>BD50*VLOOKUP('Données projet'!$B$11,Paramètres!$A$1:$I$89,3,0)*VLOOKUP('Données projet'!$B$11,Paramètres!$A$1:$I$89,5,0)</f>
        <v>129.22416000000004</v>
      </c>
      <c r="BF50" s="14">
        <f t="shared" si="37"/>
        <v>33.817023080295762</v>
      </c>
      <c r="BG50" s="22">
        <f t="shared" si="7"/>
        <v>283.96339386484851</v>
      </c>
      <c r="BH50" s="62">
        <f t="shared" si="8"/>
        <v>577.29672719818177</v>
      </c>
      <c r="BI50" s="62">
        <f ca="1">AVERAGE(OFFSET($BH$3,0,0,'Données projet'!$E$11+1,1))-AVERAGE(OFFSET($H$3,0,0,'Données projet'!$E$11+1,1))</f>
        <v>278.21934231434597</v>
      </c>
      <c r="BJ50" s="62">
        <f t="shared" si="38"/>
        <v>143.57726487417773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7.1199999999999992</v>
      </c>
      <c r="BY50" s="13">
        <f>IF('Données projet'!$A$114&gt;35,BY49+BX50-CG49,IF(A50&lt;'Données projet'!$A$114,$BV$205^A50,IF(A50='Données projet'!$A$114,'Données projet'!$B$114,BY49+BX50-CG49)))</f>
        <v>197.04000000000008</v>
      </c>
      <c r="BZ50" s="14">
        <f>BY50*VLOOKUP('Données projet'!$B$12,Paramètres!$A$1:$I$89,3,0)*VLOOKUP('Données projet'!$B$12,Paramètres!$A$1:$I$89,5,0)</f>
        <v>156.76502400000007</v>
      </c>
      <c r="CA50" s="14">
        <f t="shared" si="39"/>
        <v>40.111992405007946</v>
      </c>
      <c r="CB50" s="22">
        <f t="shared" si="10"/>
        <v>342.8941369053889</v>
      </c>
      <c r="CC50" s="62">
        <f t="shared" si="11"/>
        <v>636.22747023872216</v>
      </c>
      <c r="CD50" s="62">
        <f ca="1">AVERAGE(OFFSET($CC$3,0,0,'Données projet'!$E$12+1,1))-AVERAGE(OFFSET($H$3,0,0,'Données projet'!$E$12+1,1))</f>
        <v>237.4598967324826</v>
      </c>
      <c r="CE50" s="62">
        <f t="shared" si="40"/>
        <v>218.74305466112406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252</v>
      </c>
      <c r="L51" s="13">
        <f>VLOOKUP(A51,'Données projet'!$A$35:$I$55,9,0)</f>
        <v>10.666666666666666</v>
      </c>
      <c r="M51" s="13">
        <f t="array" ref="M51">INDEX(L:L,MIN(IF(ISNUMBER(L51:L247),ROW(L51:L247),"")))</f>
        <v>10.666666666666666</v>
      </c>
      <c r="N51" s="14">
        <f>IF('Données projet'!$A$36&gt;35,N50+M51-V50,IF(A51&lt;'Données projet'!$A$36,$K$205^A51,IF(A51='Données projet'!$A$36,'Données projet'!$B$36,N50+M51-V50)))</f>
        <v>251.99999999999997</v>
      </c>
      <c r="O51" s="14">
        <f>N51*VLOOKUP('Données projet'!$B$9,Paramètres!$A$1:$I$89,3,0)*VLOOKUP('Données projet'!$B$9,Paramètres!$A$1:$I$89,5,0)</f>
        <v>157.24799999999999</v>
      </c>
      <c r="P51" s="14">
        <f t="shared" si="33"/>
        <v>40.22116874434861</v>
      </c>
      <c r="Q51" s="22">
        <f t="shared" si="53"/>
        <v>343.92546889640715</v>
      </c>
      <c r="R51" s="62">
        <f t="shared" si="0"/>
        <v>637.25880222974047</v>
      </c>
      <c r="S51" s="62">
        <f ca="1">AVERAGE(OFFSET($R$3,0,0,'Données projet'!$E$9+1,1))-AVERAGE(OFFSET($H$3,0,0,'Données projet'!$E$9+1,1))</f>
        <v>205.33000726169792</v>
      </c>
      <c r="T51" s="62">
        <f t="shared" si="34"/>
        <v>307.23455947678775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28.133333333333333</v>
      </c>
      <c r="AI51" s="14">
        <f>IF('Données projet'!$A$62&gt;35,AI50+AH51-AQ50,IF(A51&lt;'Données projet'!$A$62,$AF$205^A51,IF(A51='Données projet'!$A$62,'Données projet'!$B$62,AI50+AH51-AQ50)))</f>
        <v>214.39999999999989</v>
      </c>
      <c r="AJ51" s="14">
        <f>AI51*VLOOKUP('Données projet'!$B$10,Paramètres!$A$1:$I$89,3,0)*VLOOKUP('Données projet'!$B$10,Paramètres!$A$1:$I$89,5,0)</f>
        <v>105.91359999999996</v>
      </c>
      <c r="AK51" s="14">
        <f t="shared" si="35"/>
        <v>28.366085882290299</v>
      </c>
      <c r="AL51" s="22">
        <f t="shared" si="4"/>
        <v>233.87045291165552</v>
      </c>
      <c r="AM51" s="62">
        <f t="shared" si="5"/>
        <v>527.20378624498881</v>
      </c>
      <c r="AN51" s="62">
        <f ca="1">AVERAGE(OFFSET($AM$3,0,0,'Données projet'!$E$10+1,1))-AVERAGE(OFFSET($H$3,0,0,'Données projet'!$E$10+1,1))</f>
        <v>491.47342911047105</v>
      </c>
      <c r="AO51" s="62">
        <f t="shared" si="36"/>
        <v>58.734453933891757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161.60000000000002</v>
      </c>
      <c r="BE51" s="14">
        <f>BD51*VLOOKUP('Données projet'!$B$11,Paramètres!$A$1:$I$89,3,0)*VLOOKUP('Données projet'!$B$11,Paramètres!$A$1:$I$89,5,0)</f>
        <v>136.13184000000004</v>
      </c>
      <c r="BF51" s="14">
        <f t="shared" si="37"/>
        <v>35.40942452951419</v>
      </c>
      <c r="BG51" s="22">
        <f t="shared" si="7"/>
        <v>298.7677023889039</v>
      </c>
      <c r="BH51" s="62">
        <f t="shared" si="8"/>
        <v>592.10103572223716</v>
      </c>
      <c r="BI51" s="62">
        <f ca="1">AVERAGE(OFFSET($BH$3,0,0,'Données projet'!$E$11+1,1))-AVERAGE(OFFSET($H$3,0,0,'Données projet'!$E$11+1,1))</f>
        <v>278.21934231434597</v>
      </c>
      <c r="BJ51" s="62">
        <f t="shared" si="38"/>
        <v>143.57726487417773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7.1199999999999992</v>
      </c>
      <c r="BY51" s="13">
        <f>IF('Données projet'!$A$114&gt;35,BY50+BX51-CG50,IF(A51&lt;'Données projet'!$A$114,$BV$205^A51,IF(A51='Données projet'!$A$114,'Données projet'!$B$114,BY50+BX51-CG50)))</f>
        <v>204.16000000000008</v>
      </c>
      <c r="BZ51" s="14">
        <f>BY51*VLOOKUP('Données projet'!$B$12,Paramètres!$A$1:$I$89,3,0)*VLOOKUP('Données projet'!$B$12,Paramètres!$A$1:$I$89,5,0)</f>
        <v>162.42969600000006</v>
      </c>
      <c r="CA51" s="14">
        <f t="shared" si="39"/>
        <v>41.390058491575033</v>
      </c>
      <c r="CB51" s="22">
        <f t="shared" si="10"/>
        <v>354.98607240615996</v>
      </c>
      <c r="CC51" s="62">
        <f t="shared" si="11"/>
        <v>648.31940573949328</v>
      </c>
      <c r="CD51" s="62">
        <f ca="1">AVERAGE(OFFSET($CC$3,0,0,'Données projet'!$E$12+1,1))-AVERAGE(OFFSET($H$3,0,0,'Données projet'!$E$12+1,1))</f>
        <v>237.4598967324826</v>
      </c>
      <c r="CE51" s="62">
        <f t="shared" si="40"/>
        <v>218.74305466112406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9.75</v>
      </c>
      <c r="N52" s="14">
        <f>IF('Données projet'!$A$36&gt;35,N51+M52-V51,IF(A52&lt;'Données projet'!$A$36,$K$205^A52,IF(A52='Données projet'!$A$36,'Données projet'!$B$36,N51+M52-V51)))</f>
        <v>261.75</v>
      </c>
      <c r="O52" s="14">
        <f>N52*VLOOKUP('Données projet'!$B$9,Paramètres!$A$1:$I$89,3,0)*VLOOKUP('Données projet'!$B$9,Paramètres!$A$1:$I$89,5,0)</f>
        <v>163.33199999999999</v>
      </c>
      <c r="P52" s="14">
        <f t="shared" si="33"/>
        <v>41.593153409603509</v>
      </c>
      <c r="Q52" s="22">
        <f t="shared" si="53"/>
        <v>356.91130885505936</v>
      </c>
      <c r="R52" s="62">
        <f t="shared" si="0"/>
        <v>650.24464218839262</v>
      </c>
      <c r="S52" s="62">
        <f ca="1">AVERAGE(OFFSET($R$3,0,0,'Données projet'!$E$9+1,1))-AVERAGE(OFFSET($H$3,0,0,'Données projet'!$E$9+1,1))</f>
        <v>205.33000726169792</v>
      </c>
      <c r="T52" s="62">
        <f t="shared" si="34"/>
        <v>307.23455947678775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28.133333333333333</v>
      </c>
      <c r="AI52" s="14">
        <f>IF('Données projet'!$A$62&gt;35,AI51+AH52-AQ51,IF(A52&lt;'Données projet'!$A$62,$AF$205^A52,IF(A52='Données projet'!$A$62,'Données projet'!$B$62,AI51+AH52-AQ51)))</f>
        <v>242.53333333333322</v>
      </c>
      <c r="AJ52" s="14">
        <f>AI52*VLOOKUP('Données projet'!$B$10,Paramètres!$A$1:$I$89,3,0)*VLOOKUP('Données projet'!$B$10,Paramètres!$A$1:$I$89,5,0)</f>
        <v>119.81146666666662</v>
      </c>
      <c r="AK52" s="14">
        <f t="shared" si="35"/>
        <v>31.631022967070269</v>
      </c>
      <c r="AL52" s="22">
        <f t="shared" si="4"/>
        <v>263.76233611209176</v>
      </c>
      <c r="AM52" s="62">
        <f t="shared" si="5"/>
        <v>557.09566944542507</v>
      </c>
      <c r="AN52" s="62">
        <f ca="1">AVERAGE(OFFSET($AM$3,0,0,'Données projet'!$E$10+1,1))-AVERAGE(OFFSET($H$3,0,0,'Données projet'!$E$10+1,1))</f>
        <v>491.47342911047105</v>
      </c>
      <c r="AO52" s="62">
        <f t="shared" si="36"/>
        <v>58.734453933891757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169.8</v>
      </c>
      <c r="BE52" s="14">
        <f>BD52*VLOOKUP('Données projet'!$B$11,Paramètres!$A$1:$I$89,3,0)*VLOOKUP('Données projet'!$B$11,Paramètres!$A$1:$I$89,5,0)</f>
        <v>143.03952000000001</v>
      </c>
      <c r="BF52" s="14">
        <f t="shared" si="37"/>
        <v>36.992444033168439</v>
      </c>
      <c r="BG52" s="22">
        <f t="shared" si="7"/>
        <v>313.55567069110168</v>
      </c>
      <c r="BH52" s="62">
        <f t="shared" si="8"/>
        <v>606.88900402443505</v>
      </c>
      <c r="BI52" s="62">
        <f ca="1">AVERAGE(OFFSET($BH$3,0,0,'Données projet'!$E$11+1,1))-AVERAGE(OFFSET($H$3,0,0,'Données projet'!$E$11+1,1))</f>
        <v>278.21934231434597</v>
      </c>
      <c r="BJ52" s="62">
        <f t="shared" si="38"/>
        <v>143.57726487417773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7.1199999999999992</v>
      </c>
      <c r="BY52" s="13">
        <f>IF('Données projet'!$A$114&gt;35,BY51+BX52-CG51,IF(A52&lt;'Données projet'!$A$114,$BV$205^A52,IF(A52='Données projet'!$A$114,'Données projet'!$B$114,BY51+BX52-CG51)))</f>
        <v>211.28000000000009</v>
      </c>
      <c r="BZ52" s="14">
        <f>BY52*VLOOKUP('Données projet'!$B$12,Paramètres!$A$1:$I$89,3,0)*VLOOKUP('Données projet'!$B$12,Paramètres!$A$1:$I$89,5,0)</f>
        <v>168.09436800000009</v>
      </c>
      <c r="CA52" s="14">
        <f t="shared" si="39"/>
        <v>42.662945798359054</v>
      </c>
      <c r="CB52" s="22">
        <f t="shared" si="10"/>
        <v>367.06898819880888</v>
      </c>
      <c r="CC52" s="62">
        <f t="shared" si="11"/>
        <v>660.4023215321422</v>
      </c>
      <c r="CD52" s="62">
        <f ca="1">AVERAGE(OFFSET($CC$3,0,0,'Données projet'!$E$12+1,1))-AVERAGE(OFFSET($H$3,0,0,'Données projet'!$E$12+1,1))</f>
        <v>237.4598967324826</v>
      </c>
      <c r="CE52" s="62">
        <f t="shared" si="40"/>
        <v>218.74305466112406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9.75</v>
      </c>
      <c r="N53" s="14">
        <f>IF('Données projet'!$A$36&gt;35,N52+M53-V52,IF(A53&lt;'Données projet'!$A$36,$K$205^A53,IF(A53='Données projet'!$A$36,'Données projet'!$B$36,N52+M53-V52)))</f>
        <v>271.5</v>
      </c>
      <c r="O53" s="14">
        <f>N53*VLOOKUP('Données projet'!$B$9,Paramètres!$A$1:$I$89,3,0)*VLOOKUP('Données projet'!$B$9,Paramètres!$A$1:$I$89,5,0)</f>
        <v>169.416</v>
      </c>
      <c r="P53" s="14">
        <f t="shared" si="33"/>
        <v>42.959200828261054</v>
      </c>
      <c r="Q53" s="22">
        <f t="shared" si="53"/>
        <v>369.88680810922136</v>
      </c>
      <c r="R53" s="62">
        <f t="shared" si="0"/>
        <v>663.22014144255468</v>
      </c>
      <c r="S53" s="62">
        <f ca="1">AVERAGE(OFFSET($R$3,0,0,'Données projet'!$E$9+1,1))-AVERAGE(OFFSET($H$3,0,0,'Données projet'!$E$9+1,1))</f>
        <v>205.33000726169792</v>
      </c>
      <c r="T53" s="62">
        <f t="shared" si="34"/>
        <v>307.23455947678775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28.133333333333333</v>
      </c>
      <c r="AI53" s="14">
        <f>IF('Données projet'!$A$62&gt;35,AI52+AH53-AQ52,IF(A53&lt;'Données projet'!$A$62,$AF$205^A53,IF(A53='Données projet'!$A$62,'Données projet'!$B$62,AI52+AH53-AQ52)))</f>
        <v>270.66666666666657</v>
      </c>
      <c r="AJ53" s="14">
        <f>AI53*VLOOKUP('Données projet'!$B$10,Paramètres!$A$1:$I$89,3,0)*VLOOKUP('Données projet'!$B$10,Paramètres!$A$1:$I$89,5,0)</f>
        <v>133.70933333333329</v>
      </c>
      <c r="AK53" s="14">
        <f t="shared" si="35"/>
        <v>34.852068881885273</v>
      </c>
      <c r="AL53" s="22">
        <f t="shared" si="4"/>
        <v>293.57777552483896</v>
      </c>
      <c r="AM53" s="62">
        <f t="shared" si="5"/>
        <v>586.91110885817227</v>
      </c>
      <c r="AN53" s="62">
        <f ca="1">AVERAGE(OFFSET($AM$3,0,0,'Données projet'!$E$10+1,1))-AVERAGE(OFFSET($H$3,0,0,'Données projet'!$E$10+1,1))</f>
        <v>491.47342911047105</v>
      </c>
      <c r="AO53" s="62">
        <f t="shared" si="36"/>
        <v>58.734453933891757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178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178</v>
      </c>
      <c r="BE53" s="14">
        <f>BD53*VLOOKUP('Données projet'!$B$11,Paramètres!$A$1:$I$89,3,0)*VLOOKUP('Données projet'!$B$11,Paramètres!$A$1:$I$89,5,0)</f>
        <v>149.94720000000001</v>
      </c>
      <c r="BF53" s="14">
        <f t="shared" si="37"/>
        <v>38.566586385539779</v>
      </c>
      <c r="BG53" s="22">
        <f t="shared" si="7"/>
        <v>328.32817795481515</v>
      </c>
      <c r="BH53" s="62">
        <f t="shared" si="8"/>
        <v>621.6615112881484</v>
      </c>
      <c r="BI53" s="62">
        <f ca="1">AVERAGE(OFFSET($BH$3,0,0,'Données projet'!$E$11+1,1))-AVERAGE(OFFSET($H$3,0,0,'Données projet'!$E$11+1,1))</f>
        <v>278.21934231434597</v>
      </c>
      <c r="BJ53" s="62">
        <f t="shared" si="38"/>
        <v>143.57726487417773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218.4</v>
      </c>
      <c r="BW53" s="13">
        <f>VLOOKUP(A53,'Données projet'!$A$113:$I$133,9,0)</f>
        <v>7.1199999999999992</v>
      </c>
      <c r="BX53" s="13">
        <f t="array" ref="BX53">INDEX(BW:BW,MIN(IF(ISNUMBER(BW53:BW249),ROW(BW53:BW249),"")))</f>
        <v>7.1199999999999992</v>
      </c>
      <c r="BY53" s="13">
        <f>IF('Données projet'!$A$114&gt;35,BY52+BX53-CG52,IF(A53&lt;'Données projet'!$A$114,$BV$205^A53,IF(A53='Données projet'!$A$114,'Données projet'!$B$114,BY52+BX53-CG52)))</f>
        <v>218.40000000000009</v>
      </c>
      <c r="BZ53" s="14">
        <f>BY53*VLOOKUP('Données projet'!$B$12,Paramètres!$A$1:$I$89,3,0)*VLOOKUP('Données projet'!$B$12,Paramètres!$A$1:$I$89,5,0)</f>
        <v>173.75904000000008</v>
      </c>
      <c r="CA53" s="14">
        <f t="shared" si="39"/>
        <v>43.93084885437942</v>
      </c>
      <c r="CB53" s="22">
        <f t="shared" si="10"/>
        <v>379.14322308804429</v>
      </c>
      <c r="CC53" s="62">
        <f t="shared" si="11"/>
        <v>672.47655642137761</v>
      </c>
      <c r="CD53" s="62">
        <f ca="1">AVERAGE(OFFSET($CC$3,0,0,'Données projet'!$E$12+1,1))-AVERAGE(OFFSET($H$3,0,0,'Données projet'!$E$12+1,1))</f>
        <v>237.4598967324826</v>
      </c>
      <c r="CE53" s="62">
        <f t="shared" si="40"/>
        <v>218.74305466112406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9.75</v>
      </c>
      <c r="N54" s="14">
        <f>IF('Données projet'!$A$36&gt;35,N53+M54-V53,IF(A54&lt;'Données projet'!$A$36,$K$205^A54,IF(A54='Données projet'!$A$36,'Données projet'!$B$36,N53+M54-V53)))</f>
        <v>281.25</v>
      </c>
      <c r="O54" s="14">
        <f>N54*VLOOKUP('Données projet'!$B$9,Paramètres!$A$1:$I$89,3,0)*VLOOKUP('Données projet'!$B$9,Paramètres!$A$1:$I$89,5,0)</f>
        <v>175.5</v>
      </c>
      <c r="P54" s="14">
        <f t="shared" si="33"/>
        <v>44.319548641773906</v>
      </c>
      <c r="Q54" s="22">
        <f t="shared" si="53"/>
        <v>382.85238055108954</v>
      </c>
      <c r="R54" s="62">
        <f t="shared" si="0"/>
        <v>676.18571388442285</v>
      </c>
      <c r="S54" s="62">
        <f ca="1">AVERAGE(OFFSET($R$3,0,0,'Données projet'!$E$9+1,1))-AVERAGE(OFFSET($H$3,0,0,'Données projet'!$E$9+1,1))</f>
        <v>205.33000726169792</v>
      </c>
      <c r="T54" s="62">
        <f t="shared" si="34"/>
        <v>307.23455947678775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28.133333333333333</v>
      </c>
      <c r="AI54" s="14">
        <f>IF('Données projet'!$A$62&gt;35,AI53+AH54-AQ53,IF(A54&lt;'Données projet'!$A$62,$AF$205^A54,IF(A54='Données projet'!$A$62,'Données projet'!$B$62,AI53+AH54-AQ53)))</f>
        <v>298.7999999999999</v>
      </c>
      <c r="AJ54" s="14">
        <f>AI54*VLOOKUP('Données projet'!$B$10,Paramètres!$A$1:$I$89,3,0)*VLOOKUP('Données projet'!$B$10,Paramètres!$A$1:$I$89,5,0)</f>
        <v>147.60719999999998</v>
      </c>
      <c r="AK54" s="14">
        <f t="shared" si="35"/>
        <v>38.034305370426985</v>
      </c>
      <c r="AL54" s="22">
        <f t="shared" si="4"/>
        <v>323.3256218534936</v>
      </c>
      <c r="AM54" s="62">
        <f t="shared" si="5"/>
        <v>616.65895518682692</v>
      </c>
      <c r="AN54" s="62">
        <f ca="1">AVERAGE(OFFSET($AM$3,0,0,'Données projet'!$E$10+1,1))-AVERAGE(OFFSET($H$3,0,0,'Données projet'!$E$10+1,1))</f>
        <v>491.47342911047105</v>
      </c>
      <c r="AO54" s="62">
        <f t="shared" si="36"/>
        <v>58.734453933891757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186</v>
      </c>
      <c r="BE54" s="14">
        <f>BD54*VLOOKUP('Données projet'!$B$11,Paramètres!$A$1:$I$89,3,0)*VLOOKUP('Données projet'!$B$11,Paramètres!$A$1:$I$89,5,0)</f>
        <v>156.68640000000002</v>
      </c>
      <c r="BF54" s="14">
        <f t="shared" si="37"/>
        <v>40.094215809840712</v>
      </c>
      <c r="BG54" s="22">
        <f t="shared" si="7"/>
        <v>342.7262392021392</v>
      </c>
      <c r="BH54" s="62">
        <f t="shared" si="8"/>
        <v>636.05957253547251</v>
      </c>
      <c r="BI54" s="62">
        <f ca="1">AVERAGE(OFFSET($BH$3,0,0,'Données projet'!$E$11+1,1))-AVERAGE(OFFSET($H$3,0,0,'Données projet'!$E$11+1,1))</f>
        <v>278.21934231434597</v>
      </c>
      <c r="BJ54" s="62">
        <f t="shared" si="38"/>
        <v>143.57726487417773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6.1199999999999992</v>
      </c>
      <c r="BY54" s="13">
        <f>IF('Données projet'!$A$114&gt;35,BY53+BX54-CG53,IF(A54&lt;'Données projet'!$A$114,$BV$205^A54,IF(A54='Données projet'!$A$114,'Données projet'!$B$114,BY53+BX54-CG53)))</f>
        <v>224.5200000000001</v>
      </c>
      <c r="BZ54" s="14">
        <f>BY54*VLOOKUP('Données projet'!$B$12,Paramètres!$A$1:$I$89,3,0)*VLOOKUP('Données projet'!$B$12,Paramètres!$A$1:$I$89,5,0)</f>
        <v>178.62811200000007</v>
      </c>
      <c r="CA54" s="14">
        <f t="shared" si="39"/>
        <v>45.016830588027069</v>
      </c>
      <c r="CB54" s="22">
        <f t="shared" si="10"/>
        <v>389.51494167414722</v>
      </c>
      <c r="CC54" s="62">
        <f t="shared" si="11"/>
        <v>682.84827500748054</v>
      </c>
      <c r="CD54" s="62">
        <f ca="1">AVERAGE(OFFSET($CC$3,0,0,'Données projet'!$E$12+1,1))-AVERAGE(OFFSET($H$3,0,0,'Données projet'!$E$12+1,1))</f>
        <v>237.4598967324826</v>
      </c>
      <c r="CE54" s="62">
        <f t="shared" si="40"/>
        <v>218.74305466112406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9.75</v>
      </c>
      <c r="N55" s="14">
        <f>IF('Données projet'!$A$36&gt;35,N54+M55-V54,IF(A55&lt;'Données projet'!$A$36,$K$205^A55,IF(A55='Données projet'!$A$36,'Données projet'!$B$36,N54+M55-V54)))</f>
        <v>291</v>
      </c>
      <c r="O55" s="14">
        <f>N55*VLOOKUP('Données projet'!$B$9,Paramètres!$A$1:$I$89,3,0)*VLOOKUP('Données projet'!$B$9,Paramètres!$A$1:$I$89,5,0)</f>
        <v>181.584</v>
      </c>
      <c r="P55" s="14">
        <f t="shared" si="33"/>
        <v>45.674417080701005</v>
      </c>
      <c r="Q55" s="22">
        <f t="shared" si="53"/>
        <v>395.80840974888753</v>
      </c>
      <c r="R55" s="62">
        <f t="shared" si="0"/>
        <v>689.14174308222084</v>
      </c>
      <c r="S55" s="62">
        <f ca="1">AVERAGE(OFFSET($R$3,0,0,'Données projet'!$E$9+1,1))-AVERAGE(OFFSET($H$3,0,0,'Données projet'!$E$9+1,1))</f>
        <v>205.33000726169792</v>
      </c>
      <c r="T55" s="62">
        <f t="shared" si="34"/>
        <v>307.23455947678775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28.133333333333333</v>
      </c>
      <c r="AI55" s="14">
        <f>IF('Données projet'!$A$62&gt;35,AI54+AH55-AQ54,IF(A55&lt;'Données projet'!$A$62,$AF$205^A55,IF(A55='Données projet'!$A$62,'Données projet'!$B$62,AI54+AH55-AQ54)))</f>
        <v>326.93333333333322</v>
      </c>
      <c r="AJ55" s="14">
        <f>AI55*VLOOKUP('Données projet'!$B$10,Paramètres!$A$1:$I$89,3,0)*VLOOKUP('Données projet'!$B$10,Paramètres!$A$1:$I$89,5,0)</f>
        <v>161.50506666666661</v>
      </c>
      <c r="AK55" s="14">
        <f t="shared" si="35"/>
        <v>41.181802191810611</v>
      </c>
      <c r="AL55" s="22">
        <f t="shared" si="4"/>
        <v>353.0129632618478</v>
      </c>
      <c r="AM55" s="62">
        <f t="shared" si="5"/>
        <v>646.34629659518112</v>
      </c>
      <c r="AN55" s="62">
        <f ca="1">AVERAGE(OFFSET($AM$3,0,0,'Données projet'!$E$10+1,1))-AVERAGE(OFFSET($H$3,0,0,'Données projet'!$E$10+1,1))</f>
        <v>491.47342911047105</v>
      </c>
      <c r="AO55" s="62">
        <f t="shared" si="36"/>
        <v>58.734453933891757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194</v>
      </c>
      <c r="BE55" s="14">
        <f>BD55*VLOOKUP('Données projet'!$B$11,Paramètres!$A$1:$I$89,3,0)*VLOOKUP('Données projet'!$B$11,Paramètres!$A$1:$I$89,5,0)</f>
        <v>163.4256</v>
      </c>
      <c r="BF55" s="14">
        <f t="shared" si="37"/>
        <v>41.614213859377173</v>
      </c>
      <c r="BG55" s="22">
        <f t="shared" si="7"/>
        <v>357.11100913841528</v>
      </c>
      <c r="BH55" s="62">
        <f t="shared" si="8"/>
        <v>650.44434247174854</v>
      </c>
      <c r="BI55" s="62">
        <f ca="1">AVERAGE(OFFSET($BH$3,0,0,'Données projet'!$E$11+1,1))-AVERAGE(OFFSET($H$3,0,0,'Données projet'!$E$11+1,1))</f>
        <v>278.21934231434597</v>
      </c>
      <c r="BJ55" s="62">
        <f t="shared" si="38"/>
        <v>143.57726487417773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6.1199999999999992</v>
      </c>
      <c r="BY55" s="13">
        <f>IF('Données projet'!$A$114&gt;35,BY54+BX55-CG54,IF(A55&lt;'Données projet'!$A$114,$BV$205^A55,IF(A55='Données projet'!$A$114,'Données projet'!$B$114,BY54+BX55-CG54)))</f>
        <v>230.6400000000001</v>
      </c>
      <c r="BZ55" s="14">
        <f>BY55*VLOOKUP('Données projet'!$B$12,Paramètres!$A$1:$I$89,3,0)*VLOOKUP('Données projet'!$B$12,Paramètres!$A$1:$I$89,5,0)</f>
        <v>183.49718400000009</v>
      </c>
      <c r="CA55" s="14">
        <f t="shared" si="39"/>
        <v>46.099371676156814</v>
      </c>
      <c r="CB55" s="22">
        <f t="shared" si="10"/>
        <v>399.88066780263989</v>
      </c>
      <c r="CC55" s="62">
        <f t="shared" si="11"/>
        <v>693.21400113597315</v>
      </c>
      <c r="CD55" s="62">
        <f ca="1">AVERAGE(OFFSET($CC$3,0,0,'Données projet'!$E$12+1,1))-AVERAGE(OFFSET($H$3,0,0,'Données projet'!$E$12+1,1))</f>
        <v>237.4598967324826</v>
      </c>
      <c r="CE55" s="62">
        <f t="shared" si="40"/>
        <v>218.74305466112406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9.75</v>
      </c>
      <c r="N56" s="14">
        <f>IF('Données projet'!$A$36&gt;35,N55+M56-V55,IF(A56&lt;'Données projet'!$A$36,$K$205^A56,IF(A56='Données projet'!$A$36,'Données projet'!$B$36,N55+M56-V55)))</f>
        <v>300.75</v>
      </c>
      <c r="O56" s="14">
        <f>N56*VLOOKUP('Données projet'!$B$9,Paramètres!$A$1:$I$89,3,0)*VLOOKUP('Données projet'!$B$9,Paramètres!$A$1:$I$89,5,0)</f>
        <v>187.66799999999998</v>
      </c>
      <c r="P56" s="14">
        <f t="shared" si="33"/>
        <v>47.024010780523128</v>
      </c>
      <c r="Q56" s="22">
        <f t="shared" si="53"/>
        <v>408.75525210941106</v>
      </c>
      <c r="R56" s="62">
        <f t="shared" si="0"/>
        <v>702.08858544274437</v>
      </c>
      <c r="S56" s="62">
        <f ca="1">AVERAGE(OFFSET($R$3,0,0,'Données projet'!$E$9+1,1))-AVERAGE(OFFSET($H$3,0,0,'Données projet'!$E$9+1,1))</f>
        <v>205.33000726169792</v>
      </c>
      <c r="T56" s="62">
        <f t="shared" si="34"/>
        <v>307.23455947678775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28.133333333333333</v>
      </c>
      <c r="AI56" s="14">
        <f>IF('Données projet'!$A$62&gt;35,AI55+AH56-AQ55,IF(A56&lt;'Données projet'!$A$62,$AF$205^A56,IF(A56='Données projet'!$A$62,'Données projet'!$B$62,AI55+AH56-AQ55)))</f>
        <v>355.06666666666655</v>
      </c>
      <c r="AJ56" s="14">
        <f>AI56*VLOOKUP('Données projet'!$B$10,Paramètres!$A$1:$I$89,3,0)*VLOOKUP('Données projet'!$B$10,Paramètres!$A$1:$I$89,5,0)</f>
        <v>175.40293333333329</v>
      </c>
      <c r="AK56" s="14">
        <f t="shared" si="35"/>
        <v>44.297888663655009</v>
      </c>
      <c r="AL56" s="22">
        <f t="shared" si="4"/>
        <v>382.64559831142128</v>
      </c>
      <c r="AM56" s="62">
        <f t="shared" si="5"/>
        <v>675.97893164475454</v>
      </c>
      <c r="AN56" s="62">
        <f ca="1">AVERAGE(OFFSET($AM$3,0,0,'Données projet'!$E$10+1,1))-AVERAGE(OFFSET($H$3,0,0,'Données projet'!$E$10+1,1))</f>
        <v>491.47342911047105</v>
      </c>
      <c r="AO56" s="62">
        <f t="shared" si="36"/>
        <v>58.734453933891757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202</v>
      </c>
      <c r="BE56" s="14">
        <f>BD56*VLOOKUP('Données projet'!$B$11,Paramètres!$A$1:$I$89,3,0)*VLOOKUP('Données projet'!$B$11,Paramètres!$A$1:$I$89,5,0)</f>
        <v>170.16480000000001</v>
      </c>
      <c r="BF56" s="14">
        <f t="shared" si="37"/>
        <v>43.126931221446739</v>
      </c>
      <c r="BG56" s="22">
        <f t="shared" si="7"/>
        <v>371.4830985440197</v>
      </c>
      <c r="BH56" s="62">
        <f t="shared" si="8"/>
        <v>664.81643187735301</v>
      </c>
      <c r="BI56" s="62">
        <f ca="1">AVERAGE(OFFSET($BH$3,0,0,'Données projet'!$E$11+1,1))-AVERAGE(OFFSET($H$3,0,0,'Données projet'!$E$11+1,1))</f>
        <v>278.21934231434597</v>
      </c>
      <c r="BJ56" s="62">
        <f t="shared" si="38"/>
        <v>143.57726487417773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6.1199999999999992</v>
      </c>
      <c r="BY56" s="13">
        <f>IF('Données projet'!$A$114&gt;35,BY55+BX56-CG55,IF(A56&lt;'Données projet'!$A$114,$BV$205^A56,IF(A56='Données projet'!$A$114,'Données projet'!$B$114,BY55+BX56-CG55)))</f>
        <v>236.7600000000001</v>
      </c>
      <c r="BZ56" s="14">
        <f>BY56*VLOOKUP('Données projet'!$B$12,Paramètres!$A$1:$I$89,3,0)*VLOOKUP('Données projet'!$B$12,Paramètres!$A$1:$I$89,5,0)</f>
        <v>188.36625600000011</v>
      </c>
      <c r="CA56" s="14">
        <f t="shared" si="39"/>
        <v>47.178573909730879</v>
      </c>
      <c r="CB56" s="22">
        <f t="shared" si="10"/>
        <v>410.24057875944817</v>
      </c>
      <c r="CC56" s="62">
        <f t="shared" si="11"/>
        <v>703.57391209278148</v>
      </c>
      <c r="CD56" s="62">
        <f ca="1">AVERAGE(OFFSET($CC$3,0,0,'Données projet'!$E$12+1,1))-AVERAGE(OFFSET($H$3,0,0,'Données projet'!$E$12+1,1))</f>
        <v>237.4598967324826</v>
      </c>
      <c r="CE56" s="62">
        <f t="shared" si="40"/>
        <v>218.74305466112406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9.75</v>
      </c>
      <c r="N57" s="14">
        <f>IF('Données projet'!$A$36&gt;35,N56+M57-V56,IF(A57&lt;'Données projet'!$A$36,$K$205^A57,IF(A57='Données projet'!$A$36,'Données projet'!$B$36,N56+M57-V56)))</f>
        <v>310.5</v>
      </c>
      <c r="O57" s="14">
        <f>N57*VLOOKUP('Données projet'!$B$9,Paramètres!$A$1:$I$89,3,0)*VLOOKUP('Données projet'!$B$9,Paramètres!$A$1:$I$89,5,0)</f>
        <v>193.75200000000001</v>
      </c>
      <c r="P57" s="14">
        <f t="shared" si="33"/>
        <v>48.368520355376113</v>
      </c>
      <c r="Q57" s="22">
        <f t="shared" si="53"/>
        <v>421.69323961894673</v>
      </c>
      <c r="R57" s="62">
        <f t="shared" si="0"/>
        <v>715.02657295228005</v>
      </c>
      <c r="S57" s="62">
        <f ca="1">AVERAGE(OFFSET($R$3,0,0,'Données projet'!$E$9+1,1))-AVERAGE(OFFSET($H$3,0,0,'Données projet'!$E$9+1,1))</f>
        <v>205.33000726169792</v>
      </c>
      <c r="T57" s="62">
        <f t="shared" si="34"/>
        <v>307.23455947678775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28.133333333333333</v>
      </c>
      <c r="AI57" s="14">
        <f>IF('Données projet'!$A$62&gt;35,AI56+AH57-AQ56,IF(A57&lt;'Données projet'!$A$62,$AF$205^A57,IF(A57='Données projet'!$A$62,'Données projet'!$B$62,AI56+AH57-AQ56)))</f>
        <v>383.19999999999987</v>
      </c>
      <c r="AJ57" s="14">
        <f>AI57*VLOOKUP('Données projet'!$B$10,Paramètres!$A$1:$I$89,3,0)*VLOOKUP('Données projet'!$B$10,Paramètres!$A$1:$I$89,5,0)</f>
        <v>189.30079999999995</v>
      </c>
      <c r="AK57" s="14">
        <f t="shared" si="35"/>
        <v>47.385336505181094</v>
      </c>
      <c r="AL57" s="22">
        <f t="shared" si="4"/>
        <v>412.22835441319035</v>
      </c>
      <c r="AM57" s="62">
        <f t="shared" si="5"/>
        <v>705.5616877465236</v>
      </c>
      <c r="AN57" s="62">
        <f ca="1">AVERAGE(OFFSET($AM$3,0,0,'Données projet'!$E$10+1,1))-AVERAGE(OFFSET($H$3,0,0,'Données projet'!$E$10+1,1))</f>
        <v>491.47342911047105</v>
      </c>
      <c r="AO57" s="62">
        <f t="shared" si="36"/>
        <v>58.734453933891757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210</v>
      </c>
      <c r="BE57" s="14">
        <f>BD57*VLOOKUP('Données projet'!$B$11,Paramètres!$A$1:$I$89,3,0)*VLOOKUP('Données projet'!$B$11,Paramètres!$A$1:$I$89,5,0)</f>
        <v>176.90400000000002</v>
      </c>
      <c r="BF57" s="14">
        <f t="shared" si="37"/>
        <v>44.632689233663157</v>
      </c>
      <c r="BG57" s="22">
        <f t="shared" si="7"/>
        <v>385.8430670819634</v>
      </c>
      <c r="BH57" s="62">
        <f t="shared" si="8"/>
        <v>679.17640041529671</v>
      </c>
      <c r="BI57" s="62">
        <f ca="1">AVERAGE(OFFSET($BH$3,0,0,'Données projet'!$E$11+1,1))-AVERAGE(OFFSET($H$3,0,0,'Données projet'!$E$11+1,1))</f>
        <v>278.21934231434597</v>
      </c>
      <c r="BJ57" s="62">
        <f t="shared" si="38"/>
        <v>143.57726487417773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6.1199999999999992</v>
      </c>
      <c r="BY57" s="13">
        <f>IF('Données projet'!$A$114&gt;35,BY56+BX57-CG56,IF(A57&lt;'Données projet'!$A$114,$BV$205^A57,IF(A57='Données projet'!$A$114,'Données projet'!$B$114,BY56+BX57-CG56)))</f>
        <v>242.88000000000011</v>
      </c>
      <c r="BZ57" s="14">
        <f>BY57*VLOOKUP('Données projet'!$B$12,Paramètres!$A$1:$I$89,3,0)*VLOOKUP('Données projet'!$B$12,Paramètres!$A$1:$I$89,5,0)</f>
        <v>193.2353280000001</v>
      </c>
      <c r="CA57" s="14">
        <f t="shared" si="39"/>
        <v>48.254533517559842</v>
      </c>
      <c r="CB57" s="22">
        <f t="shared" si="10"/>
        <v>420.59484214308355</v>
      </c>
      <c r="CC57" s="62">
        <f t="shared" si="11"/>
        <v>713.92817547641687</v>
      </c>
      <c r="CD57" s="62">
        <f ca="1">AVERAGE(OFFSET($CC$3,0,0,'Données projet'!$E$12+1,1))-AVERAGE(OFFSET($H$3,0,0,'Données projet'!$E$12+1,1))</f>
        <v>237.4598967324826</v>
      </c>
      <c r="CE57" s="62">
        <f t="shared" si="40"/>
        <v>218.74305466112406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9.75</v>
      </c>
      <c r="N58" s="14">
        <f>IF('Données projet'!$A$36&gt;35,N57+M58-V57,IF(A58&lt;'Données projet'!$A$36,$K$205^A58,IF(A58='Données projet'!$A$36,'Données projet'!$B$36,N57+M58-V57)))</f>
        <v>320.25</v>
      </c>
      <c r="O58" s="14">
        <f>N58*VLOOKUP('Données projet'!$B$9,Paramètres!$A$1:$I$89,3,0)*VLOOKUP('Données projet'!$B$9,Paramètres!$A$1:$I$89,5,0)</f>
        <v>199.83600000000001</v>
      </c>
      <c r="P58" s="14">
        <f t="shared" si="33"/>
        <v>49.708123768564604</v>
      </c>
      <c r="Q58" s="22">
        <f t="shared" si="53"/>
        <v>434.62268223024995</v>
      </c>
      <c r="R58" s="62">
        <f t="shared" si="0"/>
        <v>727.95601556358326</v>
      </c>
      <c r="S58" s="62">
        <f ca="1">AVERAGE(OFFSET($R$3,0,0,'Données projet'!$E$9+1,1))-AVERAGE(OFFSET($H$3,0,0,'Données projet'!$E$9+1,1))</f>
        <v>205.33000726169792</v>
      </c>
      <c r="T58" s="62">
        <f t="shared" si="34"/>
        <v>307.23455947678775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28.133333333333333</v>
      </c>
      <c r="AI58" s="14">
        <f>IF('Données projet'!$A$62&gt;35,AI57+AH58-AQ57,IF(A58&lt;'Données projet'!$A$62,$AF$205^A58,IF(A58='Données projet'!$A$62,'Données projet'!$B$62,AI57+AH58-AQ57)))</f>
        <v>411.3333333333332</v>
      </c>
      <c r="AJ58" s="14">
        <f>AI58*VLOOKUP('Données projet'!$B$10,Paramètres!$A$1:$I$89,3,0)*VLOOKUP('Données projet'!$B$10,Paramètres!$A$1:$I$89,5,0)</f>
        <v>203.19866666666661</v>
      </c>
      <c r="AK58" s="14">
        <f t="shared" si="35"/>
        <v>50.446487373417462</v>
      </c>
      <c r="AL58" s="22">
        <f t="shared" si="4"/>
        <v>441.76530995314641</v>
      </c>
      <c r="AM58" s="62">
        <f t="shared" si="5"/>
        <v>735.09864328647973</v>
      </c>
      <c r="AN58" s="62">
        <f ca="1">AVERAGE(OFFSET($AM$3,0,0,'Données projet'!$E$10+1,1))-AVERAGE(OFFSET($H$3,0,0,'Données projet'!$E$10+1,1))</f>
        <v>491.47342911047105</v>
      </c>
      <c r="AO58" s="62">
        <f t="shared" si="36"/>
        <v>58.734453933891757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218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218</v>
      </c>
      <c r="BE58" s="14">
        <f>BD58*VLOOKUP('Données projet'!$B$11,Paramètres!$A$1:$I$89,3,0)*VLOOKUP('Données projet'!$B$11,Paramètres!$A$1:$I$89,5,0)</f>
        <v>183.64320000000004</v>
      </c>
      <c r="BF58" s="14">
        <f t="shared" si="37"/>
        <v>46.131783364105026</v>
      </c>
      <c r="BG58" s="22">
        <f t="shared" si="7"/>
        <v>400.19142935914965</v>
      </c>
      <c r="BH58" s="62">
        <f t="shared" si="8"/>
        <v>693.52476269248291</v>
      </c>
      <c r="BI58" s="62">
        <f ca="1">AVERAGE(OFFSET($BH$3,0,0,'Données projet'!$E$11+1,1))-AVERAGE(OFFSET($H$3,0,0,'Données projet'!$E$11+1,1))</f>
        <v>278.21934231434597</v>
      </c>
      <c r="BJ58" s="62">
        <f t="shared" si="38"/>
        <v>143.57726487417773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42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249</v>
      </c>
      <c r="BW58" s="13">
        <f>VLOOKUP(A58,'Données projet'!$A$113:$I$133,9,0)</f>
        <v>6.1199999999999992</v>
      </c>
      <c r="BX58" s="13">
        <f t="array" ref="BX58">INDEX(BW:BW,MIN(IF(ISNUMBER(BW58:BW254),ROW(BW58:BW254),"")))</f>
        <v>6.1199999999999992</v>
      </c>
      <c r="BY58" s="13">
        <f>IF('Données projet'!$A$114&gt;35,BY57+BX58-CG57,IF(A58&lt;'Données projet'!$A$114,$BV$205^A58,IF(A58='Données projet'!$A$114,'Données projet'!$B$114,BY57+BX58-CG57)))</f>
        <v>249.00000000000011</v>
      </c>
      <c r="BZ58" s="14">
        <f>BY58*VLOOKUP('Données projet'!$B$12,Paramètres!$A$1:$I$89,3,0)*VLOOKUP('Données projet'!$B$12,Paramètres!$A$1:$I$89,5,0)</f>
        <v>198.10440000000011</v>
      </c>
      <c r="CA58" s="14">
        <f t="shared" si="39"/>
        <v>49.327341602622013</v>
      </c>
      <c r="CB58" s="22">
        <f t="shared" si="10"/>
        <v>430.94361662456686</v>
      </c>
      <c r="CC58" s="62">
        <f t="shared" si="11"/>
        <v>724.27694995790011</v>
      </c>
      <c r="CD58" s="62">
        <f ca="1">AVERAGE(OFFSET($CC$3,0,0,'Données projet'!$E$12+1,1))-AVERAGE(OFFSET($H$3,0,0,'Données projet'!$E$12+1,1))</f>
        <v>237.4598967324826</v>
      </c>
      <c r="CE58" s="62">
        <f t="shared" si="40"/>
        <v>218.74305466112406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29.9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9.75</v>
      </c>
      <c r="N59" s="14">
        <f>IF('Données projet'!$A$36&gt;35,N58+M59-V58,IF(A59&lt;'Données projet'!$A$36,$K$205^A59,IF(A59='Données projet'!$A$36,'Données projet'!$B$36,N58+M59-V58)))</f>
        <v>330</v>
      </c>
      <c r="O59" s="14">
        <f>N59*VLOOKUP('Données projet'!$B$9,Paramètres!$A$1:$I$89,3,0)*VLOOKUP('Données projet'!$B$9,Paramètres!$A$1:$I$89,5,0)</f>
        <v>205.92000000000002</v>
      </c>
      <c r="P59" s="14">
        <f t="shared" si="33"/>
        <v>51.042987531485686</v>
      </c>
      <c r="Q59" s="22">
        <f t="shared" si="53"/>
        <v>447.54386995067085</v>
      </c>
      <c r="R59" s="62">
        <f t="shared" si="0"/>
        <v>740.87720328400417</v>
      </c>
      <c r="S59" s="62">
        <f ca="1">AVERAGE(OFFSET($R$3,0,0,'Données projet'!$E$9+1,1))-AVERAGE(OFFSET($H$3,0,0,'Données projet'!$E$9+1,1))</f>
        <v>205.33000726169792</v>
      </c>
      <c r="T59" s="62">
        <f t="shared" si="34"/>
        <v>307.23455947678775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28.133333333333333</v>
      </c>
      <c r="AI59" s="14">
        <f>IF('Données projet'!$A$62&gt;35,AI58+AH59-AQ58,IF(A59&lt;'Données projet'!$A$62,$AF$205^A59,IF(A59='Données projet'!$A$62,'Données projet'!$B$62,AI58+AH59-AQ58)))</f>
        <v>439.46666666666653</v>
      </c>
      <c r="AJ59" s="14">
        <f>AI59*VLOOKUP('Données projet'!$B$10,Paramètres!$A$1:$I$89,3,0)*VLOOKUP('Données projet'!$B$10,Paramètres!$A$1:$I$89,5,0)</f>
        <v>217.09653333333327</v>
      </c>
      <c r="AK59" s="14">
        <f t="shared" si="35"/>
        <v>53.483344476762156</v>
      </c>
      <c r="AL59" s="22">
        <f t="shared" si="4"/>
        <v>471.25995385258278</v>
      </c>
      <c r="AM59" s="62">
        <f t="shared" si="5"/>
        <v>764.5932871859161</v>
      </c>
      <c r="AN59" s="62">
        <f ca="1">AVERAGE(OFFSET($AM$3,0,0,'Données projet'!$E$10+1,1))-AVERAGE(OFFSET($H$3,0,0,'Données projet'!$E$10+1,1))</f>
        <v>491.47342911047105</v>
      </c>
      <c r="AO59" s="62">
        <f t="shared" si="36"/>
        <v>58.734453933891757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183.6</v>
      </c>
      <c r="BE59" s="14">
        <f>BD59*VLOOKUP('Données projet'!$B$11,Paramètres!$A$1:$I$89,3,0)*VLOOKUP('Données projet'!$B$11,Paramètres!$A$1:$I$89,5,0)</f>
        <v>154.66464000000002</v>
      </c>
      <c r="BF59" s="14">
        <f t="shared" si="37"/>
        <v>39.636745068698936</v>
      </c>
      <c r="BG59" s="22">
        <f t="shared" si="7"/>
        <v>338.40824566131732</v>
      </c>
      <c r="BH59" s="62">
        <f t="shared" si="8"/>
        <v>631.74157899465058</v>
      </c>
      <c r="BI59" s="62">
        <f ca="1">AVERAGE(OFFSET($BH$3,0,0,'Données projet'!$E$11+1,1))-AVERAGE(OFFSET($H$3,0,0,'Données projet'!$E$11+1,1))</f>
        <v>278.21934231434597</v>
      </c>
      <c r="BJ59" s="62">
        <f t="shared" si="38"/>
        <v>143.57726487417773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5.1600000000000019</v>
      </c>
      <c r="BY59" s="13">
        <f>IF('Données projet'!$A$114&gt;35,BY58+BX59-CG58,IF(A59&lt;'Données projet'!$A$114,$BV$205^A59,IF(A59='Données projet'!$A$114,'Données projet'!$B$114,BY58+BX59-CG58)))</f>
        <v>224.2600000000001</v>
      </c>
      <c r="BZ59" s="14">
        <f>BY59*VLOOKUP('Données projet'!$B$12,Paramètres!$A$1:$I$89,3,0)*VLOOKUP('Données projet'!$B$12,Paramètres!$A$1:$I$89,5,0)</f>
        <v>178.42125600000011</v>
      </c>
      <c r="CA59" s="14">
        <f t="shared" si="39"/>
        <v>44.970764830354831</v>
      </c>
      <c r="CB59" s="22">
        <f t="shared" si="10"/>
        <v>389.07443627953484</v>
      </c>
      <c r="CC59" s="62">
        <f t="shared" si="11"/>
        <v>682.40776961286815</v>
      </c>
      <c r="CD59" s="62">
        <f ca="1">AVERAGE(OFFSET($CC$3,0,0,'Données projet'!$E$12+1,1))-AVERAGE(OFFSET($H$3,0,0,'Données projet'!$E$12+1,1))</f>
        <v>237.4598967324826</v>
      </c>
      <c r="CE59" s="62">
        <f t="shared" si="40"/>
        <v>218.74305466112406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9.75</v>
      </c>
      <c r="N60" s="14">
        <f>IF('Données projet'!$A$36&gt;35,N59+M60-V59,IF(A60&lt;'Données projet'!$A$36,$K$205^A60,IF(A60='Données projet'!$A$36,'Données projet'!$B$36,N59+M60-V59)))</f>
        <v>339.75</v>
      </c>
      <c r="O60" s="14">
        <f>N60*VLOOKUP('Données projet'!$B$9,Paramètres!$A$1:$I$89,3,0)*VLOOKUP('Données projet'!$B$9,Paramètres!$A$1:$I$89,5,0)</f>
        <v>212.00399999999999</v>
      </c>
      <c r="P60" s="14">
        <f t="shared" si="33"/>
        <v>52.373267756879777</v>
      </c>
      <c r="Q60" s="22">
        <f t="shared" si="53"/>
        <v>460.45707467656553</v>
      </c>
      <c r="R60" s="62">
        <f t="shared" si="0"/>
        <v>753.79040800989878</v>
      </c>
      <c r="S60" s="62">
        <f ca="1">AVERAGE(OFFSET($R$3,0,0,'Données projet'!$E$9+1,1))-AVERAGE(OFFSET($H$3,0,0,'Données projet'!$E$9+1,1))</f>
        <v>205.33000726169792</v>
      </c>
      <c r="T60" s="62">
        <f t="shared" si="34"/>
        <v>307.23455947678775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28.133333333333333</v>
      </c>
      <c r="AI60" s="14">
        <f>IF('Données projet'!$A$62&gt;35,AI59+AH60-AQ59,IF(A60&lt;'Données projet'!$A$62,$AF$205^A60,IF(A60='Données projet'!$A$62,'Données projet'!$B$62,AI59+AH60-AQ59)))</f>
        <v>467.59999999999985</v>
      </c>
      <c r="AJ60" s="14">
        <f>AI60*VLOOKUP('Données projet'!$B$10,Paramètres!$A$1:$I$89,3,0)*VLOOKUP('Données projet'!$B$10,Paramètres!$A$1:$I$89,5,0)</f>
        <v>230.99439999999996</v>
      </c>
      <c r="AK60" s="14">
        <f t="shared" si="35"/>
        <v>56.497640044228859</v>
      </c>
      <c r="AL60" s="22">
        <f t="shared" si="4"/>
        <v>500.71530307703182</v>
      </c>
      <c r="AM60" s="62">
        <f t="shared" si="5"/>
        <v>794.04863641036513</v>
      </c>
      <c r="AN60" s="62">
        <f ca="1">AVERAGE(OFFSET($AM$3,0,0,'Données projet'!$E$10+1,1))-AVERAGE(OFFSET($H$3,0,0,'Données projet'!$E$10+1,1))</f>
        <v>491.47342911047105</v>
      </c>
      <c r="AO60" s="62">
        <f t="shared" si="36"/>
        <v>58.734453933891757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191.2</v>
      </c>
      <c r="BE60" s="14">
        <f>BD60*VLOOKUP('Données projet'!$B$11,Paramètres!$A$1:$I$89,3,0)*VLOOKUP('Données projet'!$B$11,Paramètres!$A$1:$I$89,5,0)</f>
        <v>161.06688000000003</v>
      </c>
      <c r="BF60" s="14">
        <f t="shared" si="37"/>
        <v>41.083060013501324</v>
      </c>
      <c r="BG60" s="22">
        <f t="shared" si="7"/>
        <v>352.07781219018153</v>
      </c>
      <c r="BH60" s="62">
        <f t="shared" si="8"/>
        <v>645.41114552351485</v>
      </c>
      <c r="BI60" s="62">
        <f ca="1">AVERAGE(OFFSET($BH$3,0,0,'Données projet'!$E$11+1,1))-AVERAGE(OFFSET($H$3,0,0,'Données projet'!$E$11+1,1))</f>
        <v>278.21934231434597</v>
      </c>
      <c r="BJ60" s="62">
        <f t="shared" si="38"/>
        <v>143.57726487417773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5.1600000000000019</v>
      </c>
      <c r="BY60" s="13">
        <f>IF('Données projet'!$A$114&gt;35,BY59+BX60-CG59,IF(A60&lt;'Données projet'!$A$114,$BV$205^A60,IF(A60='Données projet'!$A$114,'Données projet'!$B$114,BY59+BX60-CG59)))</f>
        <v>229.4200000000001</v>
      </c>
      <c r="BZ60" s="14">
        <f>BY60*VLOOKUP('Données projet'!$B$12,Paramètres!$A$1:$I$89,3,0)*VLOOKUP('Données projet'!$B$12,Paramètres!$A$1:$I$89,5,0)</f>
        <v>182.52655200000009</v>
      </c>
      <c r="CA60" s="14">
        <f t="shared" si="39"/>
        <v>45.883840619447376</v>
      </c>
      <c r="CB60" s="22">
        <f t="shared" si="10"/>
        <v>397.81476714553764</v>
      </c>
      <c r="CC60" s="62">
        <f t="shared" si="11"/>
        <v>691.1481004788709</v>
      </c>
      <c r="CD60" s="62">
        <f ca="1">AVERAGE(OFFSET($CC$3,0,0,'Données projet'!$E$12+1,1))-AVERAGE(OFFSET($H$3,0,0,'Données projet'!$E$12+1,1))</f>
        <v>237.4598967324826</v>
      </c>
      <c r="CE60" s="62">
        <f t="shared" si="40"/>
        <v>218.74305466112406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9.75</v>
      </c>
      <c r="N61" s="14">
        <f>IF('Données projet'!$A$36&gt;35,N60+M61-V60,IF(A61&lt;'Données projet'!$A$36,$K$205^A61,IF(A61='Données projet'!$A$36,'Données projet'!$B$36,N60+M61-V60)))</f>
        <v>349.5</v>
      </c>
      <c r="O61" s="14">
        <f>N61*VLOOKUP('Données projet'!$B$9,Paramètres!$A$1:$I$89,3,0)*VLOOKUP('Données projet'!$B$9,Paramètres!$A$1:$I$89,5,0)</f>
        <v>218.08799999999999</v>
      </c>
      <c r="P61" s="14">
        <f t="shared" si="33"/>
        <v>53.699111087780629</v>
      </c>
      <c r="Q61" s="22">
        <f t="shared" si="53"/>
        <v>473.36255181121783</v>
      </c>
      <c r="R61" s="62">
        <f t="shared" si="0"/>
        <v>766.69588514455108</v>
      </c>
      <c r="S61" s="62">
        <f ca="1">AVERAGE(OFFSET($R$3,0,0,'Données projet'!$E$9+1,1))-AVERAGE(OFFSET($H$3,0,0,'Données projet'!$E$9+1,1))</f>
        <v>205.33000726169792</v>
      </c>
      <c r="T61" s="62">
        <f t="shared" si="34"/>
        <v>307.23455947678775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28.133333333333333</v>
      </c>
      <c r="AI61" s="14">
        <f>IF('Données projet'!$A$62&gt;35,AI60+AH61-AQ60,IF(A61&lt;'Données projet'!$A$62,$AF$205^A61,IF(A61='Données projet'!$A$62,'Données projet'!$B$62,AI60+AH61-AQ60)))</f>
        <v>495.73333333333318</v>
      </c>
      <c r="AJ61" s="14">
        <f>AI61*VLOOKUP('Données projet'!$B$10,Paramètres!$A$1:$I$89,3,0)*VLOOKUP('Données projet'!$B$10,Paramètres!$A$1:$I$89,5,0)</f>
        <v>244.89226666666661</v>
      </c>
      <c r="AK61" s="14">
        <f t="shared" si="35"/>
        <v>59.490886087608658</v>
      </c>
      <c r="AL61" s="22">
        <f t="shared" si="4"/>
        <v>530.13399104702944</v>
      </c>
      <c r="AM61" s="62">
        <f t="shared" si="5"/>
        <v>823.4673243803627</v>
      </c>
      <c r="AN61" s="62">
        <f ca="1">AVERAGE(OFFSET($AM$3,0,0,'Données projet'!$E$10+1,1))-AVERAGE(OFFSET($H$3,0,0,'Données projet'!$E$10+1,1))</f>
        <v>491.47342911047105</v>
      </c>
      <c r="AO61" s="62">
        <f t="shared" si="36"/>
        <v>58.734453933891757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198.79999999999998</v>
      </c>
      <c r="BE61" s="14">
        <f>BD61*VLOOKUP('Données projet'!$B$11,Paramètres!$A$1:$I$89,3,0)*VLOOKUP('Données projet'!$B$11,Paramètres!$A$1:$I$89,5,0)</f>
        <v>167.46912</v>
      </c>
      <c r="BF61" s="14">
        <f t="shared" si="37"/>
        <v>42.52269677930262</v>
      </c>
      <c r="BG61" s="22">
        <f t="shared" si="7"/>
        <v>365.73574755728538</v>
      </c>
      <c r="BH61" s="62">
        <f t="shared" si="8"/>
        <v>659.06908089061869</v>
      </c>
      <c r="BI61" s="62">
        <f ca="1">AVERAGE(OFFSET($BH$3,0,0,'Données projet'!$E$11+1,1))-AVERAGE(OFFSET($H$3,0,0,'Données projet'!$E$11+1,1))</f>
        <v>278.21934231434597</v>
      </c>
      <c r="BJ61" s="62">
        <f t="shared" si="38"/>
        <v>143.57726487417773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5.1600000000000019</v>
      </c>
      <c r="BY61" s="13">
        <f>IF('Données projet'!$A$114&gt;35,BY60+BX61-CG60,IF(A61&lt;'Données projet'!$A$114,$BV$205^A61,IF(A61='Données projet'!$A$114,'Données projet'!$B$114,BY60+BX61-CG60)))</f>
        <v>234.5800000000001</v>
      </c>
      <c r="BZ61" s="14">
        <f>BY61*VLOOKUP('Données projet'!$B$12,Paramètres!$A$1:$I$89,3,0)*VLOOKUP('Données projet'!$B$12,Paramètres!$A$1:$I$89,5,0)</f>
        <v>186.63184800000008</v>
      </c>
      <c r="CA61" s="14">
        <f t="shared" si="39"/>
        <v>46.794528880027258</v>
      </c>
      <c r="CB61" s="22">
        <f t="shared" si="10"/>
        <v>406.55093973271431</v>
      </c>
      <c r="CC61" s="62">
        <f t="shared" si="11"/>
        <v>699.88427306604763</v>
      </c>
      <c r="CD61" s="62">
        <f ca="1">AVERAGE(OFFSET($CC$3,0,0,'Données projet'!$E$12+1,1))-AVERAGE(OFFSET($H$3,0,0,'Données projet'!$E$12+1,1))</f>
        <v>237.4598967324826</v>
      </c>
      <c r="CE61" s="62">
        <f t="shared" si="40"/>
        <v>218.74305466112406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9.75</v>
      </c>
      <c r="N62" s="14">
        <f>IF('Données projet'!$A$36&gt;35,N61+M62-V61,IF(A62&lt;'Données projet'!$A$36,$K$205^A62,IF(A62='Données projet'!$A$36,'Données projet'!$B$36,N61+M62-V61)))</f>
        <v>359.25</v>
      </c>
      <c r="O62" s="14">
        <f>N62*VLOOKUP('Données projet'!$B$9,Paramètres!$A$1:$I$89,3,0)*VLOOKUP('Données projet'!$B$9,Paramètres!$A$1:$I$89,5,0)</f>
        <v>224.172</v>
      </c>
      <c r="P62" s="14">
        <f t="shared" si="33"/>
        <v>55.020655519891804</v>
      </c>
      <c r="Q62" s="22">
        <f t="shared" si="53"/>
        <v>486.2605416971449</v>
      </c>
      <c r="R62" s="62">
        <f t="shared" si="0"/>
        <v>779.59387503047822</v>
      </c>
      <c r="S62" s="62">
        <f ca="1">AVERAGE(OFFSET($R$3,0,0,'Données projet'!$E$9+1,1))-AVERAGE(OFFSET($H$3,0,0,'Données projet'!$E$9+1,1))</f>
        <v>205.33000726169792</v>
      </c>
      <c r="T62" s="62">
        <f t="shared" si="34"/>
        <v>307.23455947678775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28.133333333333333</v>
      </c>
      <c r="AI62" s="14">
        <f>IF('Données projet'!$A$62&gt;35,AI61+AH62-AQ61,IF(A62&lt;'Données projet'!$A$62,$AF$205^A62,IF(A62='Données projet'!$A$62,'Données projet'!$B$62,AI61+AH62-AQ61)))</f>
        <v>523.86666666666656</v>
      </c>
      <c r="AJ62" s="14">
        <f>AI62*VLOOKUP('Données projet'!$B$10,Paramètres!$A$1:$I$89,3,0)*VLOOKUP('Données projet'!$B$10,Paramètres!$A$1:$I$89,5,0)</f>
        <v>258.7901333333333</v>
      </c>
      <c r="AK62" s="14">
        <f t="shared" si="35"/>
        <v>62.464413309334446</v>
      </c>
      <c r="AL62" s="22">
        <f t="shared" si="4"/>
        <v>559.51833540264624</v>
      </c>
      <c r="AM62" s="62">
        <f t="shared" si="5"/>
        <v>852.8516687359795</v>
      </c>
      <c r="AN62" s="62">
        <f ca="1">AVERAGE(OFFSET($AM$3,0,0,'Données projet'!$E$10+1,1))-AVERAGE(OFFSET($H$3,0,0,'Données projet'!$E$10+1,1))</f>
        <v>491.47342911047105</v>
      </c>
      <c r="AO62" s="62">
        <f t="shared" si="36"/>
        <v>58.734453933891757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206.39999999999998</v>
      </c>
      <c r="BE62" s="14">
        <f>BD62*VLOOKUP('Données projet'!$B$11,Paramètres!$A$1:$I$89,3,0)*VLOOKUP('Données projet'!$B$11,Paramètres!$A$1:$I$89,5,0)</f>
        <v>173.87135999999998</v>
      </c>
      <c r="BF62" s="14">
        <f t="shared" si="37"/>
        <v>43.955939893839961</v>
      </c>
      <c r="BG62" s="22">
        <f t="shared" si="7"/>
        <v>379.3825473151046</v>
      </c>
      <c r="BH62" s="62">
        <f t="shared" si="8"/>
        <v>672.71588064843786</v>
      </c>
      <c r="BI62" s="62">
        <f ca="1">AVERAGE(OFFSET($BH$3,0,0,'Données projet'!$E$11+1,1))-AVERAGE(OFFSET($H$3,0,0,'Données projet'!$E$11+1,1))</f>
        <v>278.21934231434597</v>
      </c>
      <c r="BJ62" s="62">
        <f t="shared" si="38"/>
        <v>143.57726487417773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5.1600000000000019</v>
      </c>
      <c r="BY62" s="13">
        <f>IF('Données projet'!$A$114&gt;35,BY61+BX62-CG61,IF(A62&lt;'Données projet'!$A$114,$BV$205^A62,IF(A62='Données projet'!$A$114,'Données projet'!$B$114,BY61+BX62-CG61)))</f>
        <v>239.74000000000009</v>
      </c>
      <c r="BZ62" s="14">
        <f>BY62*VLOOKUP('Données projet'!$B$12,Paramètres!$A$1:$I$89,3,0)*VLOOKUP('Données projet'!$B$12,Paramètres!$A$1:$I$89,5,0)</f>
        <v>190.73714400000009</v>
      </c>
      <c r="CA62" s="14">
        <f t="shared" si="39"/>
        <v>47.702888177614184</v>
      </c>
      <c r="CB62" s="22">
        <f t="shared" si="10"/>
        <v>415.2830560426782</v>
      </c>
      <c r="CC62" s="62">
        <f t="shared" si="11"/>
        <v>708.61638937601151</v>
      </c>
      <c r="CD62" s="62">
        <f ca="1">AVERAGE(OFFSET($CC$3,0,0,'Données projet'!$E$12+1,1))-AVERAGE(OFFSET($H$3,0,0,'Données projet'!$E$12+1,1))</f>
        <v>237.4598967324826</v>
      </c>
      <c r="CE62" s="62">
        <f t="shared" si="40"/>
        <v>218.74305466112406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369</v>
      </c>
      <c r="L63" s="13">
        <f>VLOOKUP(A63,'Données projet'!$A$35:$I$55,9,0)</f>
        <v>9.75</v>
      </c>
      <c r="M63" s="13">
        <f t="array" ref="M63">INDEX(L:L,MIN(IF(ISNUMBER(L63:L259),ROW(L63:L259),"")))</f>
        <v>9.75</v>
      </c>
      <c r="N63" s="14">
        <f>IF('Données projet'!$A$36&gt;35,N62+M63-V62,IF(A63&lt;'Données projet'!$A$36,$K$205^A63,IF(A63='Données projet'!$A$36,'Données projet'!$B$36,N62+M63-V62)))</f>
        <v>369</v>
      </c>
      <c r="O63" s="14">
        <f>N63*VLOOKUP('Données projet'!$B$9,Paramètres!$A$1:$I$89,3,0)*VLOOKUP('Données projet'!$B$9,Paramètres!$A$1:$I$89,5,0)</f>
        <v>230.256</v>
      </c>
      <c r="P63" s="14">
        <f t="shared" si="33"/>
        <v>56.338031132175168</v>
      </c>
      <c r="Q63" s="22">
        <f t="shared" si="53"/>
        <v>499.15127088853842</v>
      </c>
      <c r="R63" s="62">
        <f t="shared" si="0"/>
        <v>792.48460422187168</v>
      </c>
      <c r="S63" s="62">
        <f ca="1">AVERAGE(OFFSET($R$3,0,0,'Données projet'!$E$9+1,1))-AVERAGE(OFFSET($H$3,0,0,'Données projet'!$E$9+1,1))</f>
        <v>205.33000726169792</v>
      </c>
      <c r="T63" s="62">
        <f t="shared" si="34"/>
        <v>307.23455947678775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369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552</v>
      </c>
      <c r="AG63" s="13">
        <f>VLOOKUP(A63,'Données projet'!$A$61:$I$81,9,0)</f>
        <v>28.133333333333333</v>
      </c>
      <c r="AH63" s="13">
        <f t="array" ref="AH63">INDEX(AG:AG,MIN(IF(ISNUMBER(AG63:AG259),ROW(AG63:AG259),"")))</f>
        <v>28.133333333333333</v>
      </c>
      <c r="AI63" s="14">
        <f>IF('Données projet'!$A$62&gt;35,AI62+AH63-AQ62,IF(A63&lt;'Données projet'!$A$62,$AF$205^A63,IF(A63='Données projet'!$A$62,'Données projet'!$B$62,AI62+AH63-AQ62)))</f>
        <v>551.99999999999989</v>
      </c>
      <c r="AJ63" s="14">
        <f>AI63*VLOOKUP('Données projet'!$B$10,Paramètres!$A$1:$I$89,3,0)*VLOOKUP('Données projet'!$B$10,Paramètres!$A$1:$I$89,5,0)</f>
        <v>272.68799999999999</v>
      </c>
      <c r="AK63" s="14">
        <f t="shared" si="35"/>
        <v>65.419401413587593</v>
      </c>
      <c r="AL63" s="22">
        <f t="shared" si="4"/>
        <v>588.87039079533167</v>
      </c>
      <c r="AM63" s="62">
        <f t="shared" si="5"/>
        <v>882.20372412866504</v>
      </c>
      <c r="AN63" s="62">
        <f ca="1">AVERAGE(OFFSET($AM$3,0,0,'Données projet'!$E$10+1,1))-AVERAGE(OFFSET($H$3,0,0,'Données projet'!$E$10+1,1))</f>
        <v>491.47342911047105</v>
      </c>
      <c r="AO63" s="62">
        <f t="shared" si="36"/>
        <v>58.734453933891757</v>
      </c>
      <c r="AP63" s="16">
        <f>IF(ISNA(VLOOKUP(A63,'Données projet'!$A$61:$I$81,3,0)),0,VLOOKUP(A63,'Données projet'!$A$61:$I$81,3,0))</f>
        <v>1</v>
      </c>
      <c r="AQ63" s="16">
        <f>IF(ISNA(VLOOKUP(A63,'Données projet'!$A$61:$I$81,4,0)),0,VLOOKUP(A63,'Données projet'!$A$61:$I$81,4,0))</f>
        <v>198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213.99999999999997</v>
      </c>
      <c r="BE63" s="14">
        <f>BD63*VLOOKUP('Données projet'!$B$11,Paramètres!$A$1:$I$89,3,0)*VLOOKUP('Données projet'!$B$11,Paramètres!$A$1:$I$89,5,0)</f>
        <v>180.27359999999999</v>
      </c>
      <c r="BF63" s="14">
        <f t="shared" si="37"/>
        <v>45.383051743938047</v>
      </c>
      <c r="BG63" s="22">
        <f t="shared" si="7"/>
        <v>393.01866845402537</v>
      </c>
      <c r="BH63" s="62">
        <f t="shared" si="8"/>
        <v>686.35200178735863</v>
      </c>
      <c r="BI63" s="62">
        <f ca="1">AVERAGE(OFFSET($BH$3,0,0,'Données projet'!$E$11+1,1))-AVERAGE(OFFSET($H$3,0,0,'Données projet'!$E$11+1,1))</f>
        <v>278.21934231434597</v>
      </c>
      <c r="BJ63" s="62">
        <f t="shared" si="38"/>
        <v>143.57726487417773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244.9</v>
      </c>
      <c r="BW63" s="13">
        <f>VLOOKUP(A63,'Données projet'!$A$113:$I$133,9,0)</f>
        <v>5.1600000000000019</v>
      </c>
      <c r="BX63" s="13">
        <f t="array" ref="BX63">INDEX(BW:BW,MIN(IF(ISNUMBER(BW63:BW259),ROW(BW63:BW259),"")))</f>
        <v>5.1600000000000019</v>
      </c>
      <c r="BY63" s="13">
        <f>IF('Données projet'!$A$114&gt;35,BY62+BX63-CG62,IF(A63&lt;'Données projet'!$A$114,$BV$205^A63,IF(A63='Données projet'!$A$114,'Données projet'!$B$114,BY62+BX63-CG62)))</f>
        <v>244.90000000000009</v>
      </c>
      <c r="BZ63" s="14">
        <f>BY63*VLOOKUP('Données projet'!$B$12,Paramètres!$A$1:$I$89,3,0)*VLOOKUP('Données projet'!$B$12,Paramètres!$A$1:$I$89,5,0)</f>
        <v>194.84244000000007</v>
      </c>
      <c r="CA63" s="14">
        <f t="shared" si="39"/>
        <v>48.608974412675067</v>
      </c>
      <c r="CB63" s="22">
        <f t="shared" si="10"/>
        <v>424.01121343540922</v>
      </c>
      <c r="CC63" s="62">
        <f t="shared" si="11"/>
        <v>717.34454676874248</v>
      </c>
      <c r="CD63" s="62">
        <f ca="1">AVERAGE(OFFSET($CC$3,0,0,'Données projet'!$E$12+1,1))-AVERAGE(OFFSET($H$3,0,0,'Données projet'!$E$12+1,1))</f>
        <v>237.4598967324826</v>
      </c>
      <c r="CE63" s="62">
        <f t="shared" si="40"/>
        <v>218.74305466112406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205.33000726169792</v>
      </c>
      <c r="T64" s="62">
        <f t="shared" si="34"/>
        <v>307.23455947678775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29.6</v>
      </c>
      <c r="AI64" s="14">
        <f>IF('Données projet'!$A$62&gt;35,AI63+AH64-AQ63,IF(A64&lt;'Données projet'!$A$62,$AF$205^A64,IF(A64='Données projet'!$A$62,'Données projet'!$B$62,AI63+AH64-AQ63)))</f>
        <v>383.59999999999991</v>
      </c>
      <c r="AJ64" s="14">
        <f>AI64*VLOOKUP('Données projet'!$B$10,Paramètres!$A$1:$I$89,3,0)*VLOOKUP('Données projet'!$B$10,Paramètres!$A$1:$I$89,5,0)</f>
        <v>189.49839999999998</v>
      </c>
      <c r="AK64" s="14">
        <f t="shared" si="35"/>
        <v>47.429039157242364</v>
      </c>
      <c r="AL64" s="22">
        <f t="shared" si="4"/>
        <v>412.64862319886373</v>
      </c>
      <c r="AM64" s="62">
        <f t="shared" si="5"/>
        <v>705.98195653219705</v>
      </c>
      <c r="AN64" s="62">
        <f ca="1">AVERAGE(OFFSET($AM$3,0,0,'Données projet'!$E$10+1,1))-AVERAGE(OFFSET($H$3,0,0,'Données projet'!$E$10+1,1))</f>
        <v>491.47342911047105</v>
      </c>
      <c r="AO64" s="62">
        <f t="shared" si="36"/>
        <v>58.734453933891757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221.19999999999996</v>
      </c>
      <c r="BE64" s="14">
        <f>BD64*VLOOKUP('Données projet'!$B$11,Paramètres!$A$1:$I$89,3,0)*VLOOKUP('Données projet'!$B$11,Paramètres!$A$1:$I$89,5,0)</f>
        <v>186.33887999999999</v>
      </c>
      <c r="BF64" s="14">
        <f t="shared" si="37"/>
        <v>46.729616891297603</v>
      </c>
      <c r="BG64" s="22">
        <f t="shared" si="7"/>
        <v>405.92763208567663</v>
      </c>
      <c r="BH64" s="62">
        <f t="shared" si="8"/>
        <v>699.26096541900995</v>
      </c>
      <c r="BI64" s="62">
        <f ca="1">AVERAGE(OFFSET($BH$3,0,0,'Données projet'!$E$11+1,1))-AVERAGE(OFFSET($H$3,0,0,'Données projet'!$E$11+1,1))</f>
        <v>278.21934231434597</v>
      </c>
      <c r="BJ64" s="62">
        <f t="shared" si="38"/>
        <v>143.57726487417773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4.3400000000000034</v>
      </c>
      <c r="BY64" s="13">
        <f>IF('Données projet'!$A$114&gt;35,BY63+BX64-CG63,IF(A64&lt;'Données projet'!$A$114,$BV$205^A64,IF(A64='Données projet'!$A$114,'Données projet'!$B$114,BY63+BX64-CG63)))</f>
        <v>249.24000000000009</v>
      </c>
      <c r="BZ64" s="14">
        <f>BY64*VLOOKUP('Données projet'!$B$12,Paramètres!$A$1:$I$89,3,0)*VLOOKUP('Données projet'!$B$12,Paramètres!$A$1:$I$89,5,0)</f>
        <v>198.29534400000009</v>
      </c>
      <c r="CA64" s="14">
        <f t="shared" si="39"/>
        <v>49.369349501339904</v>
      </c>
      <c r="CB64" s="22">
        <f t="shared" si="10"/>
        <v>431.34934118150051</v>
      </c>
      <c r="CC64" s="62">
        <f t="shared" si="11"/>
        <v>724.68267451483382</v>
      </c>
      <c r="CD64" s="62">
        <f ca="1">AVERAGE(OFFSET($CC$3,0,0,'Données projet'!$E$12+1,1))-AVERAGE(OFFSET($H$3,0,0,'Données projet'!$E$12+1,1))</f>
        <v>237.4598967324826</v>
      </c>
      <c r="CE64" s="62">
        <f t="shared" si="40"/>
        <v>218.74305466112406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205.33000726169792</v>
      </c>
      <c r="T65" s="62">
        <f t="shared" si="34"/>
        <v>307.23455947678775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29.6</v>
      </c>
      <c r="AI65" s="14">
        <f>IF('Données projet'!$A$62&gt;35,AI64+AH65-AQ64,IF(A65&lt;'Données projet'!$A$62,$AF$205^A65,IF(A65='Données projet'!$A$62,'Données projet'!$B$62,AI64+AH65-AQ64)))</f>
        <v>413.19999999999993</v>
      </c>
      <c r="AJ65" s="14">
        <f>AI65*VLOOKUP('Données projet'!$B$10,Paramètres!$A$1:$I$89,3,0)*VLOOKUP('Données projet'!$B$10,Paramètres!$A$1:$I$89,5,0)</f>
        <v>204.12079999999995</v>
      </c>
      <c r="AK65" s="14">
        <f t="shared" si="35"/>
        <v>50.648717092979105</v>
      </c>
      <c r="AL65" s="22">
        <f t="shared" si="4"/>
        <v>443.72357560360518</v>
      </c>
      <c r="AM65" s="62">
        <f t="shared" si="5"/>
        <v>737.0569089369385</v>
      </c>
      <c r="AN65" s="62">
        <f ca="1">AVERAGE(OFFSET($AM$3,0,0,'Données projet'!$E$10+1,1))-AVERAGE(OFFSET($H$3,0,0,'Données projet'!$E$10+1,1))</f>
        <v>491.47342911047105</v>
      </c>
      <c r="AO65" s="62">
        <f t="shared" si="36"/>
        <v>58.734453933891757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228.39999999999995</v>
      </c>
      <c r="BE65" s="14">
        <f>BD65*VLOOKUP('Données projet'!$B$11,Paramètres!$A$1:$I$89,3,0)*VLOOKUP('Données projet'!$B$11,Paramètres!$A$1:$I$89,5,0)</f>
        <v>192.40415999999999</v>
      </c>
      <c r="BF65" s="14">
        <f t="shared" si="37"/>
        <v>48.071088890795593</v>
      </c>
      <c r="BG65" s="22">
        <f t="shared" si="7"/>
        <v>418.82772515146894</v>
      </c>
      <c r="BH65" s="62">
        <f t="shared" si="8"/>
        <v>712.1610584848022</v>
      </c>
      <c r="BI65" s="62">
        <f ca="1">AVERAGE(OFFSET($BH$3,0,0,'Données projet'!$E$11+1,1))-AVERAGE(OFFSET($H$3,0,0,'Données projet'!$E$11+1,1))</f>
        <v>278.21934231434597</v>
      </c>
      <c r="BJ65" s="62">
        <f t="shared" si="38"/>
        <v>143.57726487417773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4.3400000000000034</v>
      </c>
      <c r="BY65" s="13">
        <f>IF('Données projet'!$A$114&gt;35,BY64+BX65-CG64,IF(A65&lt;'Données projet'!$A$114,$BV$205^A65,IF(A65='Données projet'!$A$114,'Données projet'!$B$114,BY64+BX65-CG64)))</f>
        <v>253.5800000000001</v>
      </c>
      <c r="BZ65" s="14">
        <f>BY65*VLOOKUP('Données projet'!$B$12,Paramètres!$A$1:$I$89,3,0)*VLOOKUP('Données projet'!$B$12,Paramètres!$A$1:$I$89,5,0)</f>
        <v>201.74824800000007</v>
      </c>
      <c r="CA65" s="14">
        <f t="shared" si="39"/>
        <v>50.128184890405926</v>
      </c>
      <c r="CB65" s="22">
        <f t="shared" si="10"/>
        <v>438.68478728412373</v>
      </c>
      <c r="CC65" s="62">
        <f t="shared" si="11"/>
        <v>732.01812061745704</v>
      </c>
      <c r="CD65" s="62">
        <f ca="1">AVERAGE(OFFSET($CC$3,0,0,'Données projet'!$E$12+1,1))-AVERAGE(OFFSET($H$3,0,0,'Données projet'!$E$12+1,1))</f>
        <v>237.4598967324826</v>
      </c>
      <c r="CE65" s="62">
        <f t="shared" si="40"/>
        <v>218.74305466112406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205.33000726169792</v>
      </c>
      <c r="T66" s="62">
        <f t="shared" si="34"/>
        <v>307.23455947678775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29.6</v>
      </c>
      <c r="AI66" s="14">
        <f>IF('Données projet'!$A$62&gt;35,AI65+AH66-AQ65,IF(A66&lt;'Données projet'!$A$62,$AF$205^A66,IF(A66='Données projet'!$A$62,'Données projet'!$B$62,AI65+AH66-AQ65)))</f>
        <v>442.79999999999995</v>
      </c>
      <c r="AJ66" s="14">
        <f>AI66*VLOOKUP('Données projet'!$B$10,Paramètres!$A$1:$I$89,3,0)*VLOOKUP('Données projet'!$B$10,Paramètres!$A$1:$I$89,5,0)</f>
        <v>218.74319999999997</v>
      </c>
      <c r="AK66" s="14">
        <f t="shared" si="35"/>
        <v>53.841635436347879</v>
      </c>
      <c r="AL66" s="22">
        <f t="shared" si="4"/>
        <v>474.75192171830582</v>
      </c>
      <c r="AM66" s="62">
        <f t="shared" si="5"/>
        <v>768.08525505163914</v>
      </c>
      <c r="AN66" s="62">
        <f ca="1">AVERAGE(OFFSET($AM$3,0,0,'Données projet'!$E$10+1,1))-AVERAGE(OFFSET($H$3,0,0,'Données projet'!$E$10+1,1))</f>
        <v>491.47342911047105</v>
      </c>
      <c r="AO66" s="62">
        <f t="shared" si="36"/>
        <v>58.734453933891757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235.59999999999994</v>
      </c>
      <c r="BE66" s="14">
        <f>BD66*VLOOKUP('Données projet'!$B$11,Paramètres!$A$1:$I$89,3,0)*VLOOKUP('Données projet'!$B$11,Paramètres!$A$1:$I$89,5,0)</f>
        <v>198.46943999999996</v>
      </c>
      <c r="BF66" s="14">
        <f t="shared" si="37"/>
        <v>49.407646717262175</v>
      </c>
      <c r="BG66" s="22">
        <f t="shared" si="7"/>
        <v>431.71925936589815</v>
      </c>
      <c r="BH66" s="62">
        <f t="shared" si="8"/>
        <v>725.05259269923147</v>
      </c>
      <c r="BI66" s="62">
        <f ca="1">AVERAGE(OFFSET($BH$3,0,0,'Données projet'!$E$11+1,1))-AVERAGE(OFFSET($H$3,0,0,'Données projet'!$E$11+1,1))</f>
        <v>278.21934231434597</v>
      </c>
      <c r="BJ66" s="62">
        <f t="shared" si="38"/>
        <v>143.57726487417773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4.3400000000000034</v>
      </c>
      <c r="BY66" s="13">
        <f>IF('Données projet'!$A$114&gt;35,BY65+BX66-CG65,IF(A66&lt;'Données projet'!$A$114,$BV$205^A66,IF(A66='Données projet'!$A$114,'Données projet'!$B$114,BY65+BX66-CG65)))</f>
        <v>257.92000000000007</v>
      </c>
      <c r="BZ66" s="14">
        <f>BY66*VLOOKUP('Données projet'!$B$12,Paramètres!$A$1:$I$89,3,0)*VLOOKUP('Données projet'!$B$12,Paramètres!$A$1:$I$89,5,0)</f>
        <v>205.20115200000009</v>
      </c>
      <c r="CA66" s="14">
        <f t="shared" si="39"/>
        <v>50.885509972660159</v>
      </c>
      <c r="CB66" s="22">
        <f t="shared" si="10"/>
        <v>446.01760293571652</v>
      </c>
      <c r="CC66" s="62">
        <f t="shared" si="11"/>
        <v>739.35093626904984</v>
      </c>
      <c r="CD66" s="62">
        <f ca="1">AVERAGE(OFFSET($CC$3,0,0,'Données projet'!$E$12+1,1))-AVERAGE(OFFSET($H$3,0,0,'Données projet'!$E$12+1,1))</f>
        <v>237.4598967324826</v>
      </c>
      <c r="CE66" s="62">
        <f t="shared" si="40"/>
        <v>218.74305466112406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205.33000726169792</v>
      </c>
      <c r="T67" s="62">
        <f t="shared" si="34"/>
        <v>307.23455947678775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29.6</v>
      </c>
      <c r="AI67" s="14">
        <f>IF('Données projet'!$A$62&gt;35,AI66+AH67-AQ66,IF(A67&lt;'Données projet'!$A$62,$AF$205^A67,IF(A67='Données projet'!$A$62,'Données projet'!$B$62,AI66+AH67-AQ66)))</f>
        <v>472.4</v>
      </c>
      <c r="AJ67" s="14">
        <f>AI67*VLOOKUP('Données projet'!$B$10,Paramètres!$A$1:$I$89,3,0)*VLOOKUP('Données projet'!$B$10,Paramètres!$A$1:$I$89,5,0)</f>
        <v>233.3656</v>
      </c>
      <c r="AK67" s="14">
        <f t="shared" si="35"/>
        <v>57.009786528913367</v>
      </c>
      <c r="AL67" s="22">
        <f t="shared" si="4"/>
        <v>505.73713153785746</v>
      </c>
      <c r="AM67" s="62">
        <f t="shared" si="5"/>
        <v>799.07046487119078</v>
      </c>
      <c r="AN67" s="62">
        <f ca="1">AVERAGE(OFFSET($AM$3,0,0,'Données projet'!$E$10+1,1))-AVERAGE(OFFSET($H$3,0,0,'Données projet'!$E$10+1,1))</f>
        <v>491.47342911047105</v>
      </c>
      <c r="AO67" s="62">
        <f t="shared" si="36"/>
        <v>58.734453933891757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242.79999999999993</v>
      </c>
      <c r="BE67" s="14">
        <f>BD67*VLOOKUP('Données projet'!$B$11,Paramètres!$A$1:$I$89,3,0)*VLOOKUP('Données projet'!$B$11,Paramètres!$A$1:$I$89,5,0)</f>
        <v>204.53471999999996</v>
      </c>
      <c r="BF67" s="14">
        <f t="shared" si="37"/>
        <v>50.73945778494484</v>
      </c>
      <c r="BG67" s="22">
        <f t="shared" si="7"/>
        <v>444.60252630877886</v>
      </c>
      <c r="BH67" s="62">
        <f t="shared" si="8"/>
        <v>737.93585964211218</v>
      </c>
      <c r="BI67" s="62">
        <f ca="1">AVERAGE(OFFSET($BH$3,0,0,'Données projet'!$E$11+1,1))-AVERAGE(OFFSET($H$3,0,0,'Données projet'!$E$11+1,1))</f>
        <v>278.21934231434597</v>
      </c>
      <c r="BJ67" s="62">
        <f t="shared" si="38"/>
        <v>143.57726487417773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4.3400000000000034</v>
      </c>
      <c r="BY67" s="13">
        <f>IF('Données projet'!$A$114&gt;35,BY66+BX67-CG66,IF(A67&lt;'Données projet'!$A$114,$BV$205^A67,IF(A67='Données projet'!$A$114,'Données projet'!$B$114,BY66+BX67-CG66)))</f>
        <v>262.2600000000001</v>
      </c>
      <c r="BZ67" s="14">
        <f>BY67*VLOOKUP('Données projet'!$B$12,Paramètres!$A$1:$I$89,3,0)*VLOOKUP('Données projet'!$B$12,Paramètres!$A$1:$I$89,5,0)</f>
        <v>208.65405600000011</v>
      </c>
      <c r="CA67" s="14">
        <f t="shared" si="39"/>
        <v>51.641353095016001</v>
      </c>
      <c r="CB67" s="22">
        <f t="shared" si="10"/>
        <v>453.34783750715309</v>
      </c>
      <c r="CC67" s="62">
        <f t="shared" si="11"/>
        <v>746.6811708404864</v>
      </c>
      <c r="CD67" s="62">
        <f ca="1">AVERAGE(OFFSET($CC$3,0,0,'Données projet'!$E$12+1,1))-AVERAGE(OFFSET($H$3,0,0,'Données projet'!$E$12+1,1))</f>
        <v>237.4598967324826</v>
      </c>
      <c r="CE67" s="62">
        <f t="shared" si="40"/>
        <v>218.74305466112406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205.33000726169792</v>
      </c>
      <c r="T68" s="62">
        <f t="shared" si="34"/>
        <v>307.23455947678775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29.6</v>
      </c>
      <c r="AI68" s="14">
        <f>IF('Données projet'!$A$62&gt;35,AI67+AH68-AQ67,IF(A68&lt;'Données projet'!$A$62,$AF$205^A68,IF(A68='Données projet'!$A$62,'Données projet'!$B$62,AI67+AH68-AQ67)))</f>
        <v>502</v>
      </c>
      <c r="AJ68" s="14">
        <f>AI68*VLOOKUP('Données projet'!$B$10,Paramètres!$A$1:$I$89,3,0)*VLOOKUP('Données projet'!$B$10,Paramètres!$A$1:$I$89,5,0)</f>
        <v>247.988</v>
      </c>
      <c r="AK68" s="14">
        <f t="shared" si="35"/>
        <v>60.154898924811995</v>
      </c>
      <c r="AL68" s="22">
        <f t="shared" ref="AL68:AL131" si="58">(AJ68+AK68)*0.475*44/12</f>
        <v>536.68221562738086</v>
      </c>
      <c r="AM68" s="62">
        <f t="shared" ref="AM68:AM131" si="59">AL68+(AD68+AE68)*44/12</f>
        <v>830.01554896071411</v>
      </c>
      <c r="AN68" s="62">
        <f ca="1">AVERAGE(OFFSET($AM$3,0,0,'Données projet'!$E$10+1,1))-AVERAGE(OFFSET($H$3,0,0,'Données projet'!$E$10+1,1))</f>
        <v>491.47342911047105</v>
      </c>
      <c r="AO68" s="62">
        <f t="shared" si="36"/>
        <v>58.734453933891757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250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249.99999999999991</v>
      </c>
      <c r="BE68" s="14">
        <f>BD68*VLOOKUP('Données projet'!$B$11,Paramètres!$A$1:$I$89,3,0)*VLOOKUP('Données projet'!$B$11,Paramètres!$A$1:$I$89,5,0)</f>
        <v>210.59999999999997</v>
      </c>
      <c r="BF68" s="14">
        <f t="shared" si="37"/>
        <v>52.066679014659961</v>
      </c>
      <c r="BG68" s="22">
        <f t="shared" ref="BG68:BG131" si="61">(BE68+BF68)*0.475*44/12</f>
        <v>457.47779928386598</v>
      </c>
      <c r="BH68" s="62">
        <f t="shared" ref="BH68:BH131" si="62">BG68+(AY68+AZ68)*44/12</f>
        <v>750.81113261719929</v>
      </c>
      <c r="BI68" s="62">
        <f ca="1">AVERAGE(OFFSET($BH$3,0,0,'Données projet'!$E$11+1,1))-AVERAGE(OFFSET($H$3,0,0,'Données projet'!$E$11+1,1))</f>
        <v>278.21934231434597</v>
      </c>
      <c r="BJ68" s="62">
        <f t="shared" si="38"/>
        <v>143.57726487417773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42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266.60000000000002</v>
      </c>
      <c r="BW68" s="13">
        <f>VLOOKUP(A68,'Données projet'!$A$113:$I$133,9,0)</f>
        <v>4.3400000000000034</v>
      </c>
      <c r="BX68" s="13">
        <f t="array" ref="BX68">INDEX(BW:BW,MIN(IF(ISNUMBER(BW68:BW264),ROW(BW68:BW264),"")))</f>
        <v>4.3400000000000034</v>
      </c>
      <c r="BY68" s="13">
        <f>IF('Données projet'!$A$114&gt;35,BY67+BX68-CG67,IF(A68&lt;'Données projet'!$A$114,$BV$205^A68,IF(A68='Données projet'!$A$114,'Données projet'!$B$114,BY67+BX68-CG67)))</f>
        <v>266.60000000000014</v>
      </c>
      <c r="BZ68" s="14">
        <f>BY68*VLOOKUP('Données projet'!$B$12,Paramètres!$A$1:$I$89,3,0)*VLOOKUP('Données projet'!$B$12,Paramètres!$A$1:$I$89,5,0)</f>
        <v>212.1069600000001</v>
      </c>
      <c r="CA68" s="14">
        <f t="shared" si="39"/>
        <v>52.395741612408287</v>
      </c>
      <c r="CB68" s="22">
        <f t="shared" ref="CB68:CB131" si="64">(BZ68+CA68)*0.475*44/12</f>
        <v>460.67553864161124</v>
      </c>
      <c r="CC68" s="62">
        <f t="shared" ref="CC68:CC131" si="65">CB68+(BT68+BU68)*44/12</f>
        <v>754.00887197494455</v>
      </c>
      <c r="CD68" s="62">
        <f ca="1">AVERAGE(OFFSET($CC$3,0,0,'Données projet'!$E$12+1,1))-AVERAGE(OFFSET($H$3,0,0,'Données projet'!$E$12+1,1))</f>
        <v>237.4598967324826</v>
      </c>
      <c r="CE68" s="62">
        <f t="shared" si="40"/>
        <v>218.74305466112406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22.700000000000003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205.33000726169792</v>
      </c>
      <c r="T69" s="62">
        <f t="shared" ref="T69:T132" si="88">$T$3</f>
        <v>307.23455947678775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29.6</v>
      </c>
      <c r="AI69" s="14">
        <f>IF('Données projet'!$A$62&gt;35,AI68+AH69-AQ68,IF(A69&lt;'Données projet'!$A$62,$AF$205^A69,IF(A69='Données projet'!$A$62,'Données projet'!$B$62,AI68+AH69-AQ68)))</f>
        <v>531.6</v>
      </c>
      <c r="AJ69" s="14">
        <f>AI69*VLOOKUP('Données projet'!$B$10,Paramètres!$A$1:$I$89,3,0)*VLOOKUP('Données projet'!$B$10,Paramètres!$A$1:$I$89,5,0)</f>
        <v>262.61040000000003</v>
      </c>
      <c r="AK69" s="14">
        <f t="shared" ref="AK69:AK132" si="89">EXP(-1.0587+0.8836*LN(AJ69)+0.284)</f>
        <v>63.278485817210168</v>
      </c>
      <c r="AL69" s="22">
        <f t="shared" si="58"/>
        <v>567.58980946497434</v>
      </c>
      <c r="AM69" s="62">
        <f t="shared" si="59"/>
        <v>860.92314279830771</v>
      </c>
      <c r="AN69" s="62">
        <f ca="1">AVERAGE(OFFSET($AM$3,0,0,'Données projet'!$E$10+1,1))-AVERAGE(OFFSET($H$3,0,0,'Données projet'!$E$10+1,1))</f>
        <v>491.47342911047105</v>
      </c>
      <c r="AO69" s="62">
        <f t="shared" ref="AO69:AO132" si="90">$AO$3</f>
        <v>58.734453933891757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214.7999999999999</v>
      </c>
      <c r="BE69" s="14">
        <f>BD69*VLOOKUP('Données projet'!$B$11,Paramètres!$A$1:$I$89,3,0)*VLOOKUP('Données projet'!$B$11,Paramètres!$A$1:$I$89,5,0)</f>
        <v>180.94751999999991</v>
      </c>
      <c r="BF69" s="14">
        <f t="shared" ref="BF69:BF132" si="91">EXP(-1.0587+0.8836*LN(BE69)+0.284)</f>
        <v>45.53292745224649</v>
      </c>
      <c r="BG69" s="22">
        <f t="shared" si="61"/>
        <v>394.45344597932916</v>
      </c>
      <c r="BH69" s="62">
        <f t="shared" si="62"/>
        <v>687.78677931266247</v>
      </c>
      <c r="BI69" s="62">
        <f ca="1">AVERAGE(OFFSET($BH$3,0,0,'Données projet'!$E$11+1,1))-AVERAGE(OFFSET($H$3,0,0,'Données projet'!$E$11+1,1))</f>
        <v>278.21934231434597</v>
      </c>
      <c r="BJ69" s="62">
        <f t="shared" ref="BJ69:BJ132" si="92">$BJ$3</f>
        <v>143.57726487417773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3.7599999999999909</v>
      </c>
      <c r="BY69" s="13">
        <f>IF('Données projet'!$A$114&gt;35,BY68+BX69-CG68,IF(A69&lt;'Données projet'!$A$114,$BV$205^A69,IF(A69='Données projet'!$A$114,'Données projet'!$B$114,BY68+BX69-CG68)))</f>
        <v>247.66000000000014</v>
      </c>
      <c r="BZ69" s="14">
        <f>BY69*VLOOKUP('Données projet'!$B$12,Paramètres!$A$1:$I$89,3,0)*VLOOKUP('Données projet'!$B$12,Paramètres!$A$1:$I$89,5,0)</f>
        <v>197.03829600000012</v>
      </c>
      <c r="CA69" s="14">
        <f t="shared" ref="CA69:CA132" si="93">EXP(-1.0587+0.8836*LN(BZ69)+0.284)</f>
        <v>49.092710736344145</v>
      </c>
      <c r="CB69" s="22">
        <f t="shared" si="64"/>
        <v>428.67817006579958</v>
      </c>
      <c r="CC69" s="62">
        <f t="shared" si="65"/>
        <v>722.01150339913283</v>
      </c>
      <c r="CD69" s="62">
        <f ca="1">AVERAGE(OFFSET($CC$3,0,0,'Données projet'!$E$12+1,1))-AVERAGE(OFFSET($H$3,0,0,'Données projet'!$E$12+1,1))</f>
        <v>237.4598967324826</v>
      </c>
      <c r="CE69" s="62">
        <f t="shared" ref="CE69:CE132" si="94">$CE$3</f>
        <v>218.74305466112406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205.33000726169792</v>
      </c>
      <c r="T70" s="62">
        <f t="shared" si="88"/>
        <v>307.23455947678775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29.6</v>
      </c>
      <c r="AI70" s="14">
        <f>IF('Données projet'!$A$62&gt;35,AI69+AH70-AQ69,IF(A70&lt;'Données projet'!$A$62,$AF$205^A70,IF(A70='Données projet'!$A$62,'Données projet'!$B$62,AI69+AH70-AQ69)))</f>
        <v>561.20000000000005</v>
      </c>
      <c r="AJ70" s="14">
        <f>AI70*VLOOKUP('Données projet'!$B$10,Paramètres!$A$1:$I$89,3,0)*VLOOKUP('Données projet'!$B$10,Paramètres!$A$1:$I$89,5,0)</f>
        <v>277.23280000000005</v>
      </c>
      <c r="AK70" s="14">
        <f t="shared" si="89"/>
        <v>66.381882369748169</v>
      </c>
      <c r="AL70" s="22">
        <f t="shared" si="58"/>
        <v>598.46223846064481</v>
      </c>
      <c r="AM70" s="62">
        <f t="shared" si="59"/>
        <v>891.79557179397807</v>
      </c>
      <c r="AN70" s="62">
        <f ca="1">AVERAGE(OFFSET($AM$3,0,0,'Données projet'!$E$10+1,1))-AVERAGE(OFFSET($H$3,0,0,'Données projet'!$E$10+1,1))</f>
        <v>491.47342911047105</v>
      </c>
      <c r="AO70" s="62">
        <f t="shared" si="90"/>
        <v>58.734453933891757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221.59999999999991</v>
      </c>
      <c r="BE70" s="14">
        <f>BD70*VLOOKUP('Données projet'!$B$11,Paramètres!$A$1:$I$89,3,0)*VLOOKUP('Données projet'!$B$11,Paramètres!$A$1:$I$89,5,0)</f>
        <v>186.67583999999994</v>
      </c>
      <c r="BF70" s="14">
        <f t="shared" si="91"/>
        <v>46.804275023026932</v>
      </c>
      <c r="BG70" s="22">
        <f t="shared" si="61"/>
        <v>406.64453366510514</v>
      </c>
      <c r="BH70" s="62">
        <f t="shared" si="62"/>
        <v>699.97786699843846</v>
      </c>
      <c r="BI70" s="62">
        <f ca="1">AVERAGE(OFFSET($BH$3,0,0,'Données projet'!$E$11+1,1))-AVERAGE(OFFSET($H$3,0,0,'Données projet'!$E$11+1,1))</f>
        <v>278.21934231434597</v>
      </c>
      <c r="BJ70" s="62">
        <f t="shared" si="92"/>
        <v>143.57726487417773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3.7599999999999909</v>
      </c>
      <c r="BY70" s="13">
        <f>IF('Données projet'!$A$114&gt;35,BY69+BX70-CG69,IF(A70&lt;'Données projet'!$A$114,$BV$205^A70,IF(A70='Données projet'!$A$114,'Données projet'!$B$114,BY69+BX70-CG69)))</f>
        <v>251.42000000000013</v>
      </c>
      <c r="BZ70" s="14">
        <f>BY70*VLOOKUP('Données projet'!$B$12,Paramètres!$A$1:$I$89,3,0)*VLOOKUP('Données projet'!$B$12,Paramètres!$A$1:$I$89,5,0)</f>
        <v>200.02975200000014</v>
      </c>
      <c r="CA70" s="14">
        <f t="shared" si="93"/>
        <v>49.750706257872849</v>
      </c>
      <c r="CB70" s="22">
        <f t="shared" si="64"/>
        <v>435.03429813246208</v>
      </c>
      <c r="CC70" s="62">
        <f t="shared" si="65"/>
        <v>728.3676314657954</v>
      </c>
      <c r="CD70" s="62">
        <f ca="1">AVERAGE(OFFSET($CC$3,0,0,'Données projet'!$E$12+1,1))-AVERAGE(OFFSET($H$3,0,0,'Données projet'!$E$12+1,1))</f>
        <v>237.4598967324826</v>
      </c>
      <c r="CE70" s="62">
        <f t="shared" si="94"/>
        <v>218.74305466112406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205.33000726169792</v>
      </c>
      <c r="T71" s="62">
        <f t="shared" si="88"/>
        <v>307.23455947678775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29.6</v>
      </c>
      <c r="AI71" s="14">
        <f>IF('Données projet'!$A$62&gt;35,AI70+AH71-AQ70,IF(A71&lt;'Données projet'!$A$62,$AF$205^A71,IF(A71='Données projet'!$A$62,'Données projet'!$B$62,AI70+AH71-AQ70)))</f>
        <v>590.80000000000007</v>
      </c>
      <c r="AJ71" s="14">
        <f>AI71*VLOOKUP('Données projet'!$B$10,Paramètres!$A$1:$I$89,3,0)*VLOOKUP('Données projet'!$B$10,Paramètres!$A$1:$I$89,5,0)</f>
        <v>291.85520000000002</v>
      </c>
      <c r="AK71" s="14">
        <f t="shared" si="89"/>
        <v>69.466274947200503</v>
      </c>
      <c r="AL71" s="22">
        <f t="shared" si="58"/>
        <v>629.30156886637417</v>
      </c>
      <c r="AM71" s="62">
        <f t="shared" si="59"/>
        <v>922.63490219970754</v>
      </c>
      <c r="AN71" s="62">
        <f ca="1">AVERAGE(OFFSET($AM$3,0,0,'Données projet'!$E$10+1,1))-AVERAGE(OFFSET($H$3,0,0,'Données projet'!$E$10+1,1))</f>
        <v>491.47342911047105</v>
      </c>
      <c r="AO71" s="62">
        <f t="shared" si="90"/>
        <v>58.734453933891757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228.39999999999992</v>
      </c>
      <c r="BE71" s="14">
        <f>BD71*VLOOKUP('Données projet'!$B$11,Paramètres!$A$1:$I$89,3,0)*VLOOKUP('Données projet'!$B$11,Paramètres!$A$1:$I$89,5,0)</f>
        <v>192.40415999999996</v>
      </c>
      <c r="BF71" s="14">
        <f t="shared" si="91"/>
        <v>48.071088890795593</v>
      </c>
      <c r="BG71" s="22">
        <f t="shared" si="61"/>
        <v>418.82772515146894</v>
      </c>
      <c r="BH71" s="62">
        <f t="shared" si="62"/>
        <v>712.1610584848022</v>
      </c>
      <c r="BI71" s="62">
        <f ca="1">AVERAGE(OFFSET($BH$3,0,0,'Données projet'!$E$11+1,1))-AVERAGE(OFFSET($H$3,0,0,'Données projet'!$E$11+1,1))</f>
        <v>278.21934231434597</v>
      </c>
      <c r="BJ71" s="62">
        <f t="shared" si="92"/>
        <v>143.57726487417773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3.7599999999999909</v>
      </c>
      <c r="BY71" s="13">
        <f>IF('Données projet'!$A$114&gt;35,BY70+BX71-CG70,IF(A71&lt;'Données projet'!$A$114,$BV$205^A71,IF(A71='Données projet'!$A$114,'Données projet'!$B$114,BY70+BX71-CG70)))</f>
        <v>255.18000000000012</v>
      </c>
      <c r="BZ71" s="14">
        <f>BY71*VLOOKUP('Données projet'!$B$12,Paramètres!$A$1:$I$89,3,0)*VLOOKUP('Données projet'!$B$12,Paramètres!$A$1:$I$89,5,0)</f>
        <v>203.02120800000012</v>
      </c>
      <c r="CA71" s="14">
        <f t="shared" si="93"/>
        <v>50.40755731283582</v>
      </c>
      <c r="CB71" s="22">
        <f t="shared" si="64"/>
        <v>441.38843291985592</v>
      </c>
      <c r="CC71" s="62">
        <f t="shared" si="65"/>
        <v>734.72176625318923</v>
      </c>
      <c r="CD71" s="62">
        <f ca="1">AVERAGE(OFFSET($CC$3,0,0,'Données projet'!$E$12+1,1))-AVERAGE(OFFSET($H$3,0,0,'Données projet'!$E$12+1,1))</f>
        <v>237.4598967324826</v>
      </c>
      <c r="CE71" s="62">
        <f t="shared" si="94"/>
        <v>218.74305466112406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205.33000726169792</v>
      </c>
      <c r="T72" s="62">
        <f t="shared" si="88"/>
        <v>307.23455947678775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29.6</v>
      </c>
      <c r="AI72" s="14">
        <f>IF('Données projet'!$A$62&gt;35,AI71+AH72-AQ71,IF(A72&lt;'Données projet'!$A$62,$AF$205^A72,IF(A72='Données projet'!$A$62,'Données projet'!$B$62,AI71+AH72-AQ71)))</f>
        <v>620.40000000000009</v>
      </c>
      <c r="AJ72" s="14">
        <f>AI72*VLOOKUP('Données projet'!$B$10,Paramètres!$A$1:$I$89,3,0)*VLOOKUP('Données projet'!$B$10,Paramètres!$A$1:$I$89,5,0)</f>
        <v>306.47760000000005</v>
      </c>
      <c r="AK72" s="14">
        <f t="shared" si="89"/>
        <v>72.532724321633353</v>
      </c>
      <c r="AL72" s="22">
        <f t="shared" si="58"/>
        <v>660.10964819351148</v>
      </c>
      <c r="AM72" s="62">
        <f t="shared" si="59"/>
        <v>953.44298152684473</v>
      </c>
      <c r="AN72" s="62">
        <f ca="1">AVERAGE(OFFSET($AM$3,0,0,'Données projet'!$E$10+1,1))-AVERAGE(OFFSET($H$3,0,0,'Données projet'!$E$10+1,1))</f>
        <v>491.47342911047105</v>
      </c>
      <c r="AO72" s="62">
        <f t="shared" si="90"/>
        <v>58.734453933891757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235.19999999999993</v>
      </c>
      <c r="BE72" s="14">
        <f>BD72*VLOOKUP('Données projet'!$B$11,Paramètres!$A$1:$I$89,3,0)*VLOOKUP('Données projet'!$B$11,Paramètres!$A$1:$I$89,5,0)</f>
        <v>198.13247999999996</v>
      </c>
      <c r="BF72" s="14">
        <f t="shared" si="91"/>
        <v>49.333519530262095</v>
      </c>
      <c r="BG72" s="22">
        <f t="shared" si="61"/>
        <v>431.00328251520637</v>
      </c>
      <c r="BH72" s="62">
        <f t="shared" si="62"/>
        <v>724.33661584853962</v>
      </c>
      <c r="BI72" s="62">
        <f ca="1">AVERAGE(OFFSET($BH$3,0,0,'Données projet'!$E$11+1,1))-AVERAGE(OFFSET($H$3,0,0,'Données projet'!$E$11+1,1))</f>
        <v>278.21934231434597</v>
      </c>
      <c r="BJ72" s="62">
        <f t="shared" si="92"/>
        <v>143.57726487417773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3.7599999999999909</v>
      </c>
      <c r="BY72" s="13">
        <f>IF('Données projet'!$A$114&gt;35,BY71+BX72-CG71,IF(A72&lt;'Données projet'!$A$114,$BV$205^A72,IF(A72='Données projet'!$A$114,'Données projet'!$B$114,BY71+BX72-CG71)))</f>
        <v>258.94000000000011</v>
      </c>
      <c r="BZ72" s="14">
        <f>BY72*VLOOKUP('Données projet'!$B$12,Paramètres!$A$1:$I$89,3,0)*VLOOKUP('Données projet'!$B$12,Paramètres!$A$1:$I$89,5,0)</f>
        <v>206.01266400000011</v>
      </c>
      <c r="CA72" s="14">
        <f t="shared" si="93"/>
        <v>51.063282712732288</v>
      </c>
      <c r="CB72" s="22">
        <f t="shared" si="64"/>
        <v>447.74060719134218</v>
      </c>
      <c r="CC72" s="62">
        <f t="shared" si="65"/>
        <v>741.07394052467544</v>
      </c>
      <c r="CD72" s="62">
        <f ca="1">AVERAGE(OFFSET($CC$3,0,0,'Données projet'!$E$12+1,1))-AVERAGE(OFFSET($H$3,0,0,'Données projet'!$E$12+1,1))</f>
        <v>237.4598967324826</v>
      </c>
      <c r="CE72" s="62">
        <f t="shared" si="94"/>
        <v>218.74305466112406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205.33000726169792</v>
      </c>
      <c r="T73" s="62">
        <f t="shared" si="88"/>
        <v>307.23455947678775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29.6</v>
      </c>
      <c r="AI73" s="14">
        <f>IF('Données projet'!$A$62&gt;35,AI72+AH73-AQ72,IF(A73&lt;'Données projet'!$A$62,$AF$205^A73,IF(A73='Données projet'!$A$62,'Données projet'!$B$62,AI72+AH73-AQ72)))</f>
        <v>650.00000000000011</v>
      </c>
      <c r="AJ73" s="14">
        <f>AI73*VLOOKUP('Données projet'!$B$10,Paramètres!$A$1:$I$89,3,0)*VLOOKUP('Données projet'!$B$10,Paramètres!$A$1:$I$89,5,0)</f>
        <v>321.10000000000008</v>
      </c>
      <c r="AK73" s="14">
        <f t="shared" si="89"/>
        <v>75.582184324295582</v>
      </c>
      <c r="AL73" s="22">
        <f t="shared" si="58"/>
        <v>690.88813769814817</v>
      </c>
      <c r="AM73" s="62">
        <f t="shared" si="59"/>
        <v>984.22147103148154</v>
      </c>
      <c r="AN73" s="62">
        <f ca="1">AVERAGE(OFFSET($AM$3,0,0,'Données projet'!$E$10+1,1))-AVERAGE(OFFSET($H$3,0,0,'Données projet'!$E$10+1,1))</f>
        <v>491.47342911047105</v>
      </c>
      <c r="AO73" s="62">
        <f t="shared" si="90"/>
        <v>58.734453933891757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241.99999999999994</v>
      </c>
      <c r="BE73" s="14">
        <f>BD73*VLOOKUP('Données projet'!$B$11,Paramètres!$A$1:$I$89,3,0)*VLOOKUP('Données projet'!$B$11,Paramètres!$A$1:$I$89,5,0)</f>
        <v>203.86079999999998</v>
      </c>
      <c r="BF73" s="14">
        <f t="shared" si="91"/>
        <v>50.591708220421786</v>
      </c>
      <c r="BG73" s="22">
        <f t="shared" si="61"/>
        <v>443.17145181723458</v>
      </c>
      <c r="BH73" s="62">
        <f t="shared" si="62"/>
        <v>736.50478515056784</v>
      </c>
      <c r="BI73" s="62">
        <f ca="1">AVERAGE(OFFSET($BH$3,0,0,'Données projet'!$E$11+1,1))-AVERAGE(OFFSET($H$3,0,0,'Données projet'!$E$11+1,1))</f>
        <v>278.21934231434597</v>
      </c>
      <c r="BJ73" s="62">
        <f t="shared" si="92"/>
        <v>143.57726487417773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262.7</v>
      </c>
      <c r="BW73" s="13">
        <f>VLOOKUP(A73,'Données projet'!$A$113:$I$133,9,0)</f>
        <v>3.7599999999999909</v>
      </c>
      <c r="BX73" s="13">
        <f t="array" ref="BX73">INDEX(BW:BW,MIN(IF(ISNUMBER(BW73:BW269),ROW(BW73:BW269),"")))</f>
        <v>3.7599999999999909</v>
      </c>
      <c r="BY73" s="13">
        <f>IF('Données projet'!$A$114&gt;35,BY72+BX73-CG72,IF(A73&lt;'Données projet'!$A$114,$BV$205^A73,IF(A73='Données projet'!$A$114,'Données projet'!$B$114,BY72+BX73-CG72)))</f>
        <v>262.7000000000001</v>
      </c>
      <c r="BZ73" s="14">
        <f>BY73*VLOOKUP('Données projet'!$B$12,Paramètres!$A$1:$I$89,3,0)*VLOOKUP('Données projet'!$B$12,Paramètres!$A$1:$I$89,5,0)</f>
        <v>209.00412000000011</v>
      </c>
      <c r="CA73" s="14">
        <f t="shared" si="93"/>
        <v>51.717900691379995</v>
      </c>
      <c r="CB73" s="22">
        <f t="shared" si="64"/>
        <v>454.09085270415375</v>
      </c>
      <c r="CC73" s="62">
        <f t="shared" si="65"/>
        <v>747.42418603748706</v>
      </c>
      <c r="CD73" s="62">
        <f ca="1">AVERAGE(OFFSET($CC$3,0,0,'Données projet'!$E$12+1,1))-AVERAGE(OFFSET($H$3,0,0,'Données projet'!$E$12+1,1))</f>
        <v>237.4598967324826</v>
      </c>
      <c r="CE73" s="62">
        <f t="shared" si="94"/>
        <v>218.74305466112406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205.33000726169792</v>
      </c>
      <c r="T74" s="62">
        <f t="shared" si="88"/>
        <v>307.23455947678775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29.6</v>
      </c>
      <c r="AI74" s="14">
        <f>IF('Données projet'!$A$62&gt;35,AI73+AH74-AQ73,IF(A74&lt;'Données projet'!$A$62,$AF$205^A74,IF(A74='Données projet'!$A$62,'Données projet'!$B$62,AI73+AH74-AQ73)))</f>
        <v>679.60000000000014</v>
      </c>
      <c r="AJ74" s="14">
        <f>AI74*VLOOKUP('Données projet'!$B$10,Paramètres!$A$1:$I$89,3,0)*VLOOKUP('Données projet'!$B$10,Paramètres!$A$1:$I$89,5,0)</f>
        <v>335.72240000000005</v>
      </c>
      <c r="AK74" s="14">
        <f t="shared" si="89"/>
        <v>78.615517003948071</v>
      </c>
      <c r="AL74" s="22">
        <f t="shared" si="58"/>
        <v>721.63853878187626</v>
      </c>
      <c r="AM74" s="62">
        <f t="shared" si="59"/>
        <v>1014.9718721152096</v>
      </c>
      <c r="AN74" s="62">
        <f ca="1">AVERAGE(OFFSET($AM$3,0,0,'Données projet'!$E$10+1,1))-AVERAGE(OFFSET($H$3,0,0,'Données projet'!$E$10+1,1))</f>
        <v>491.47342911047105</v>
      </c>
      <c r="AO74" s="62">
        <f t="shared" si="90"/>
        <v>58.734453933891757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248.19999999999993</v>
      </c>
      <c r="BE74" s="14">
        <f>BD74*VLOOKUP('Données projet'!$B$11,Paramètres!$A$1:$I$89,3,0)*VLOOKUP('Données projet'!$B$11,Paramètres!$A$1:$I$89,5,0)</f>
        <v>209.08367999999996</v>
      </c>
      <c r="BF74" s="14">
        <f t="shared" si="91"/>
        <v>51.735295790267372</v>
      </c>
      <c r="BG74" s="22">
        <f t="shared" si="61"/>
        <v>454.25971616804895</v>
      </c>
      <c r="BH74" s="62">
        <f t="shared" si="62"/>
        <v>747.59304950138221</v>
      </c>
      <c r="BI74" s="62">
        <f ca="1">AVERAGE(OFFSET($BH$3,0,0,'Données projet'!$E$11+1,1))-AVERAGE(OFFSET($H$3,0,0,'Données projet'!$E$11+1,1))</f>
        <v>278.21934231434597</v>
      </c>
      <c r="BJ74" s="62">
        <f t="shared" si="92"/>
        <v>143.57726487417773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3.4000000000000115</v>
      </c>
      <c r="BY74" s="13">
        <f>IF('Données projet'!$A$114&gt;35,BY73+BX74-CG73,IF(A74&lt;'Données projet'!$A$114,$BV$205^A74,IF(A74='Données projet'!$A$114,'Données projet'!$B$114,BY73+BX74-CG73)))</f>
        <v>266.10000000000014</v>
      </c>
      <c r="BZ74" s="14">
        <f>BY74*VLOOKUP('Données projet'!$B$12,Paramètres!$A$1:$I$89,3,0)*VLOOKUP('Données projet'!$B$12,Paramètres!$A$1:$I$89,5,0)</f>
        <v>211.70916000000011</v>
      </c>
      <c r="CA74" s="14">
        <f t="shared" si="93"/>
        <v>52.308903776269439</v>
      </c>
      <c r="CB74" s="22">
        <f t="shared" si="64"/>
        <v>459.83146107700281</v>
      </c>
      <c r="CC74" s="62">
        <f t="shared" si="65"/>
        <v>753.16479441033607</v>
      </c>
      <c r="CD74" s="62">
        <f ca="1">AVERAGE(OFFSET($CC$3,0,0,'Données projet'!$E$12+1,1))-AVERAGE(OFFSET($H$3,0,0,'Données projet'!$E$12+1,1))</f>
        <v>237.4598967324826</v>
      </c>
      <c r="CE74" s="62">
        <f t="shared" si="94"/>
        <v>218.74305466112406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205.33000726169792</v>
      </c>
      <c r="T75" s="62">
        <f t="shared" si="88"/>
        <v>307.23455947678775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29.6</v>
      </c>
      <c r="AI75" s="14">
        <f>IF('Données projet'!$A$62&gt;35,AI74+AH75-AQ74,IF(A75&lt;'Données projet'!$A$62,$AF$205^A75,IF(A75='Données projet'!$A$62,'Données projet'!$B$62,AI74+AH75-AQ74)))</f>
        <v>709.20000000000016</v>
      </c>
      <c r="AJ75" s="14">
        <f>AI75*VLOOKUP('Données projet'!$B$10,Paramètres!$A$1:$I$89,3,0)*VLOOKUP('Données projet'!$B$10,Paramètres!$A$1:$I$89,5,0)</f>
        <v>350.34480000000008</v>
      </c>
      <c r="AK75" s="14">
        <f t="shared" si="89"/>
        <v>81.633505069784817</v>
      </c>
      <c r="AL75" s="22">
        <f t="shared" si="58"/>
        <v>752.36221466320865</v>
      </c>
      <c r="AM75" s="62">
        <f t="shared" si="59"/>
        <v>1045.695547996542</v>
      </c>
      <c r="AN75" s="62">
        <f ca="1">AVERAGE(OFFSET($AM$3,0,0,'Données projet'!$E$10+1,1))-AVERAGE(OFFSET($H$3,0,0,'Données projet'!$E$10+1,1))</f>
        <v>491.47342911047105</v>
      </c>
      <c r="AO75" s="62">
        <f t="shared" si="90"/>
        <v>58.734453933891757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254.39999999999992</v>
      </c>
      <c r="BE75" s="14">
        <f>BD75*VLOOKUP('Données projet'!$B$11,Paramètres!$A$1:$I$89,3,0)*VLOOKUP('Données projet'!$B$11,Paramètres!$A$1:$I$89,5,0)</f>
        <v>214.30655999999996</v>
      </c>
      <c r="BF75" s="14">
        <f t="shared" si="91"/>
        <v>52.875562666416783</v>
      </c>
      <c r="BG75" s="22">
        <f t="shared" si="61"/>
        <v>465.34219697734244</v>
      </c>
      <c r="BH75" s="62">
        <f t="shared" si="62"/>
        <v>758.67553031067575</v>
      </c>
      <c r="BI75" s="62">
        <f ca="1">AVERAGE(OFFSET($BH$3,0,0,'Données projet'!$E$11+1,1))-AVERAGE(OFFSET($H$3,0,0,'Données projet'!$E$11+1,1))</f>
        <v>278.21934231434597</v>
      </c>
      <c r="BJ75" s="62">
        <f t="shared" si="92"/>
        <v>143.57726487417773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3.4000000000000115</v>
      </c>
      <c r="BY75" s="13">
        <f>IF('Données projet'!$A$114&gt;35,BY74+BX75-CG74,IF(A75&lt;'Données projet'!$A$114,$BV$205^A75,IF(A75='Données projet'!$A$114,'Données projet'!$B$114,BY74+BX75-CG74)))</f>
        <v>269.50000000000017</v>
      </c>
      <c r="BZ75" s="14">
        <f>BY75*VLOOKUP('Données projet'!$B$12,Paramètres!$A$1:$I$89,3,0)*VLOOKUP('Données projet'!$B$12,Paramètres!$A$1:$I$89,5,0)</f>
        <v>214.41420000000014</v>
      </c>
      <c r="CA75" s="14">
        <f t="shared" si="93"/>
        <v>52.899028513694205</v>
      </c>
      <c r="CB75" s="22">
        <f t="shared" si="64"/>
        <v>465.57053966135101</v>
      </c>
      <c r="CC75" s="62">
        <f t="shared" si="65"/>
        <v>758.90387299468432</v>
      </c>
      <c r="CD75" s="62">
        <f ca="1">AVERAGE(OFFSET($CC$3,0,0,'Données projet'!$E$12+1,1))-AVERAGE(OFFSET($H$3,0,0,'Données projet'!$E$12+1,1))</f>
        <v>237.4598967324826</v>
      </c>
      <c r="CE75" s="62">
        <f t="shared" si="94"/>
        <v>218.74305466112406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205.33000726169792</v>
      </c>
      <c r="T76" s="62">
        <f t="shared" si="88"/>
        <v>307.23455947678775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29.6</v>
      </c>
      <c r="AI76" s="14">
        <f>IF('Données projet'!$A$62&gt;35,AI75+AH76-AQ75,IF(A76&lt;'Données projet'!$A$62,$AF$205^A76,IF(A76='Données projet'!$A$62,'Données projet'!$B$62,AI75+AH76-AQ75)))</f>
        <v>738.80000000000018</v>
      </c>
      <c r="AJ76" s="14">
        <f>AI76*VLOOKUP('Données projet'!$B$10,Paramètres!$A$1:$I$89,3,0)*VLOOKUP('Données projet'!$B$10,Paramètres!$A$1:$I$89,5,0)</f>
        <v>364.9672000000001</v>
      </c>
      <c r="AK76" s="14">
        <f t="shared" si="89"/>
        <v>84.636862198486824</v>
      </c>
      <c r="AL76" s="22">
        <f t="shared" si="58"/>
        <v>783.06040832903136</v>
      </c>
      <c r="AM76" s="62">
        <f t="shared" si="59"/>
        <v>1076.3937416623646</v>
      </c>
      <c r="AN76" s="62">
        <f ca="1">AVERAGE(OFFSET($AM$3,0,0,'Données projet'!$E$10+1,1))-AVERAGE(OFFSET($H$3,0,0,'Données projet'!$E$10+1,1))</f>
        <v>491.47342911047105</v>
      </c>
      <c r="AO76" s="62">
        <f t="shared" si="90"/>
        <v>58.734453933891757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260.59999999999991</v>
      </c>
      <c r="BE76" s="14">
        <f>BD76*VLOOKUP('Données projet'!$B$11,Paramètres!$A$1:$I$89,3,0)*VLOOKUP('Données projet'!$B$11,Paramètres!$A$1:$I$89,5,0)</f>
        <v>219.52943999999994</v>
      </c>
      <c r="BF76" s="14">
        <f t="shared" si="91"/>
        <v>54.012599087881227</v>
      </c>
      <c r="BG76" s="22">
        <f t="shared" si="61"/>
        <v>476.41905141139301</v>
      </c>
      <c r="BH76" s="62">
        <f t="shared" si="62"/>
        <v>769.75238474472633</v>
      </c>
      <c r="BI76" s="62">
        <f ca="1">AVERAGE(OFFSET($BH$3,0,0,'Données projet'!$E$11+1,1))-AVERAGE(OFFSET($H$3,0,0,'Données projet'!$E$11+1,1))</f>
        <v>278.21934231434597</v>
      </c>
      <c r="BJ76" s="62">
        <f t="shared" si="92"/>
        <v>143.57726487417773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3.4000000000000115</v>
      </c>
      <c r="BY76" s="13">
        <f>IF('Données projet'!$A$114&gt;35,BY75+BX76-CG75,IF(A76&lt;'Données projet'!$A$114,$BV$205^A76,IF(A76='Données projet'!$A$114,'Données projet'!$B$114,BY75+BX76-CG75)))</f>
        <v>272.9000000000002</v>
      </c>
      <c r="BZ76" s="14">
        <f>BY76*VLOOKUP('Données projet'!$B$12,Paramètres!$A$1:$I$89,3,0)*VLOOKUP('Données projet'!$B$12,Paramètres!$A$1:$I$89,5,0)</f>
        <v>217.11924000000019</v>
      </c>
      <c r="CA76" s="14">
        <f t="shared" si="93"/>
        <v>53.488287266278149</v>
      </c>
      <c r="CB76" s="22">
        <f t="shared" si="64"/>
        <v>471.30810998876814</v>
      </c>
      <c r="CC76" s="62">
        <f t="shared" si="65"/>
        <v>764.6414433221014</v>
      </c>
      <c r="CD76" s="62">
        <f ca="1">AVERAGE(OFFSET($CC$3,0,0,'Données projet'!$E$12+1,1))-AVERAGE(OFFSET($H$3,0,0,'Données projet'!$E$12+1,1))</f>
        <v>237.4598967324826</v>
      </c>
      <c r="CE76" s="62">
        <f t="shared" si="94"/>
        <v>218.74305466112406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205.33000726169792</v>
      </c>
      <c r="T77" s="62">
        <f t="shared" si="88"/>
        <v>307.23455947678775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29.6</v>
      </c>
      <c r="AI77" s="14">
        <f>IF('Données projet'!$A$62&gt;35,AI76+AH77-AQ76,IF(A77&lt;'Données projet'!$A$62,$AF$205^A77,IF(A77='Données projet'!$A$62,'Données projet'!$B$62,AI76+AH77-AQ76)))</f>
        <v>768.4000000000002</v>
      </c>
      <c r="AJ77" s="14">
        <f>AI77*VLOOKUP('Données projet'!$B$10,Paramètres!$A$1:$I$89,3,0)*VLOOKUP('Données projet'!$B$10,Paramètres!$A$1:$I$89,5,0)</f>
        <v>379.58960000000013</v>
      </c>
      <c r="AK77" s="14">
        <f t="shared" si="89"/>
        <v>87.626241642969703</v>
      </c>
      <c r="AL77" s="22">
        <f t="shared" si="58"/>
        <v>813.73425752817241</v>
      </c>
      <c r="AM77" s="62">
        <f t="shared" si="59"/>
        <v>1107.0675908615058</v>
      </c>
      <c r="AN77" s="62">
        <f ca="1">AVERAGE(OFFSET($AM$3,0,0,'Données projet'!$E$10+1,1))-AVERAGE(OFFSET($H$3,0,0,'Données projet'!$E$10+1,1))</f>
        <v>491.47342911047105</v>
      </c>
      <c r="AO77" s="62">
        <f t="shared" si="90"/>
        <v>58.734453933891757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266.7999999999999</v>
      </c>
      <c r="BE77" s="14">
        <f>BD77*VLOOKUP('Données projet'!$B$11,Paramètres!$A$1:$I$89,3,0)*VLOOKUP('Données projet'!$B$11,Paramètres!$A$1:$I$89,5,0)</f>
        <v>224.75231999999991</v>
      </c>
      <c r="BF77" s="14">
        <f t="shared" si="91"/>
        <v>55.146490754971083</v>
      </c>
      <c r="BG77" s="22">
        <f t="shared" si="61"/>
        <v>487.49042873157447</v>
      </c>
      <c r="BH77" s="62">
        <f t="shared" si="62"/>
        <v>780.82376206490778</v>
      </c>
      <c r="BI77" s="62">
        <f ca="1">AVERAGE(OFFSET($BH$3,0,0,'Données projet'!$E$11+1,1))-AVERAGE(OFFSET($H$3,0,0,'Données projet'!$E$11+1,1))</f>
        <v>278.21934231434597</v>
      </c>
      <c r="BJ77" s="62">
        <f t="shared" si="92"/>
        <v>143.57726487417773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3.4000000000000115</v>
      </c>
      <c r="BY77" s="13">
        <f>IF('Données projet'!$A$114&gt;35,BY76+BX77-CG76,IF(A77&lt;'Données projet'!$A$114,$BV$205^A77,IF(A77='Données projet'!$A$114,'Données projet'!$B$114,BY76+BX77-CG76)))</f>
        <v>276.30000000000024</v>
      </c>
      <c r="BZ77" s="14">
        <f>BY77*VLOOKUP('Données projet'!$B$12,Paramètres!$A$1:$I$89,3,0)*VLOOKUP('Données projet'!$B$12,Paramètres!$A$1:$I$89,5,0)</f>
        <v>219.82428000000021</v>
      </c>
      <c r="CA77" s="14">
        <f t="shared" si="93"/>
        <v>54.076692070881855</v>
      </c>
      <c r="CB77" s="22">
        <f t="shared" si="64"/>
        <v>477.04419302345286</v>
      </c>
      <c r="CC77" s="62">
        <f t="shared" si="65"/>
        <v>770.37752635678612</v>
      </c>
      <c r="CD77" s="62">
        <f ca="1">AVERAGE(OFFSET($CC$3,0,0,'Données projet'!$E$12+1,1))-AVERAGE(OFFSET($H$3,0,0,'Données projet'!$E$12+1,1))</f>
        <v>237.4598967324826</v>
      </c>
      <c r="CE77" s="62">
        <f t="shared" si="94"/>
        <v>218.74305466112406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205.33000726169792</v>
      </c>
      <c r="T78" s="62">
        <f t="shared" si="88"/>
        <v>307.23455947678775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798</v>
      </c>
      <c r="AG78" s="13">
        <f>VLOOKUP(A78,'Données projet'!$A$61:$I$81,9,0)</f>
        <v>29.6</v>
      </c>
      <c r="AH78" s="13">
        <f t="array" ref="AH78">INDEX(AG:AG,MIN(IF(ISNUMBER(AG78:AG274),ROW(AG78:AG274),"")))</f>
        <v>29.6</v>
      </c>
      <c r="AI78" s="14">
        <f>IF('Données projet'!$A$62&gt;35,AI77+AH78-AQ77,IF(A78&lt;'Données projet'!$A$62,$AF$205^A78,IF(A78='Données projet'!$A$62,'Données projet'!$B$62,AI77+AH78-AQ77)))</f>
        <v>798.00000000000023</v>
      </c>
      <c r="AJ78" s="14">
        <f>AI78*VLOOKUP('Données projet'!$B$10,Paramètres!$A$1:$I$89,3,0)*VLOOKUP('Données projet'!$B$10,Paramètres!$A$1:$I$89,5,0)</f>
        <v>394.2120000000001</v>
      </c>
      <c r="AK78" s="14">
        <f t="shared" si="89"/>
        <v>90.602243477329793</v>
      </c>
      <c r="AL78" s="22">
        <f t="shared" si="58"/>
        <v>844.38480738968281</v>
      </c>
      <c r="AM78" s="62">
        <f t="shared" si="59"/>
        <v>1137.7181407230162</v>
      </c>
      <c r="AN78" s="62">
        <f ca="1">AVERAGE(OFFSET($AM$3,0,0,'Données projet'!$E$10+1,1))-AVERAGE(OFFSET($H$3,0,0,'Données projet'!$E$10+1,1))</f>
        <v>491.47342911047105</v>
      </c>
      <c r="AO78" s="62">
        <f t="shared" si="90"/>
        <v>58.734453933891757</v>
      </c>
      <c r="AP78" s="16">
        <f>IF(ISNA(VLOOKUP(A78,'Données projet'!$A$61:$I$81,3,0)),0,VLOOKUP(A78,'Données projet'!$A$61:$I$81,3,0))</f>
        <v>2</v>
      </c>
      <c r="AQ78" s="16">
        <f>IF(ISNA(VLOOKUP(A78,'Données projet'!$A$61:$I$81,4,0)),0,VLOOKUP(A78,'Données projet'!$A$61:$I$81,4,0))</f>
        <v>286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273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272.99999999999989</v>
      </c>
      <c r="BE78" s="14">
        <f>BD78*VLOOKUP('Données projet'!$B$11,Paramètres!$A$1:$I$89,3,0)*VLOOKUP('Données projet'!$B$11,Paramètres!$A$1:$I$89,5,0)</f>
        <v>229.97519999999994</v>
      </c>
      <c r="BF78" s="14">
        <f t="shared" si="91"/>
        <v>56.277319157664266</v>
      </c>
      <c r="BG78" s="22">
        <f t="shared" si="61"/>
        <v>498.55647086626522</v>
      </c>
      <c r="BH78" s="62">
        <f t="shared" si="62"/>
        <v>791.88980419959853</v>
      </c>
      <c r="BI78" s="62">
        <f ca="1">AVERAGE(OFFSET($BH$3,0,0,'Données projet'!$E$11+1,1))-AVERAGE(OFFSET($H$3,0,0,'Données projet'!$E$11+1,1))</f>
        <v>278.21934231434597</v>
      </c>
      <c r="BJ78" s="62">
        <f t="shared" si="92"/>
        <v>143.57726487417773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42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279.70000000000005</v>
      </c>
      <c r="BW78" s="13">
        <f>VLOOKUP(A78,'Données projet'!$A$113:$I$133,9,0)</f>
        <v>3.4000000000000115</v>
      </c>
      <c r="BX78" s="13">
        <f t="array" ref="BX78">INDEX(BW:BW,MIN(IF(ISNUMBER(BW78:BW274),ROW(BW78:BW274),"")))</f>
        <v>3.4000000000000115</v>
      </c>
      <c r="BY78" s="13">
        <f>IF('Données projet'!$A$114&gt;35,BY77+BX78-CG77,IF(A78&lt;'Données projet'!$A$114,$BV$205^A78,IF(A78='Données projet'!$A$114,'Données projet'!$B$114,BY77+BX78-CG77)))</f>
        <v>279.70000000000027</v>
      </c>
      <c r="BZ78" s="14">
        <f>BY78*VLOOKUP('Données projet'!$B$12,Paramètres!$A$1:$I$89,3,0)*VLOOKUP('Données projet'!$B$12,Paramètres!$A$1:$I$89,5,0)</f>
        <v>222.52932000000021</v>
      </c>
      <c r="CA78" s="14">
        <f t="shared" si="93"/>
        <v>54.664254651087177</v>
      </c>
      <c r="CB78" s="22">
        <f t="shared" si="64"/>
        <v>482.77880918397722</v>
      </c>
      <c r="CC78" s="62">
        <f t="shared" si="65"/>
        <v>776.11214251731053</v>
      </c>
      <c r="CD78" s="62">
        <f ca="1">AVERAGE(OFFSET($CC$3,0,0,'Données projet'!$E$12+1,1))-AVERAGE(OFFSET($H$3,0,0,'Données projet'!$E$12+1,1))</f>
        <v>237.4598967324826</v>
      </c>
      <c r="CE78" s="62">
        <f t="shared" si="94"/>
        <v>218.74305466112406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205.33000726169792</v>
      </c>
      <c r="T79" s="62">
        <f t="shared" si="88"/>
        <v>307.23455947678775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25.666666666666668</v>
      </c>
      <c r="AI79" s="14">
        <f>IF('Données projet'!$A$62&gt;35,AI78+AH79-AQ78,IF(A79&lt;'Données projet'!$A$62,$AF$205^A79,IF(A79='Données projet'!$A$62,'Données projet'!$B$62,AI78+AH79-AQ78)))</f>
        <v>537.66666666666686</v>
      </c>
      <c r="AJ79" s="14">
        <f>AI79*VLOOKUP('Données projet'!$B$10,Paramètres!$A$1:$I$89,3,0)*VLOOKUP('Données projet'!$B$10,Paramètres!$A$1:$I$89,5,0)</f>
        <v>265.60733333333343</v>
      </c>
      <c r="AK79" s="14">
        <f t="shared" si="89"/>
        <v>63.916146467886456</v>
      </c>
      <c r="AL79" s="22">
        <f t="shared" si="58"/>
        <v>573.92006065379121</v>
      </c>
      <c r="AM79" s="62">
        <f t="shared" si="59"/>
        <v>867.25339398712458</v>
      </c>
      <c r="AN79" s="62">
        <f ca="1">AVERAGE(OFFSET($AM$3,0,0,'Données projet'!$E$10+1,1))-AVERAGE(OFFSET($H$3,0,0,'Données projet'!$E$10+1,1))</f>
        <v>491.47342911047105</v>
      </c>
      <c r="AO79" s="62">
        <f t="shared" si="90"/>
        <v>58.734453933891757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236.99999999999989</v>
      </c>
      <c r="BE79" s="14">
        <f>BD79*VLOOKUP('Données projet'!$B$11,Paramètres!$A$1:$I$89,3,0)*VLOOKUP('Données projet'!$B$11,Paramètres!$A$1:$I$89,5,0)</f>
        <v>199.64879999999994</v>
      </c>
      <c r="BF79" s="14">
        <f t="shared" si="91"/>
        <v>49.666976701936271</v>
      </c>
      <c r="BG79" s="22">
        <f t="shared" si="61"/>
        <v>434.22497775587226</v>
      </c>
      <c r="BH79" s="62">
        <f t="shared" si="62"/>
        <v>727.55831108920552</v>
      </c>
      <c r="BI79" s="62">
        <f ca="1">AVERAGE(OFFSET($BH$3,0,0,'Données projet'!$E$11+1,1))-AVERAGE(OFFSET($H$3,0,0,'Données projet'!$E$11+1,1))</f>
        <v>278.21934231434597</v>
      </c>
      <c r="BJ79" s="62">
        <f t="shared" si="92"/>
        <v>143.57726487417773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2.9799999999999955</v>
      </c>
      <c r="BY79" s="13">
        <f>IF('Données projet'!$A$114&gt;35,BY78+BX79-CG78,IF(A79&lt;'Données projet'!$A$114,$BV$205^A79,IF(A79='Données projet'!$A$114,'Données projet'!$B$114,BY78+BX79-CG78)))</f>
        <v>282.68000000000029</v>
      </c>
      <c r="BZ79" s="14">
        <f>BY79*VLOOKUP('Données projet'!$B$12,Paramètres!$A$1:$I$89,3,0)*VLOOKUP('Données projet'!$B$12,Paramètres!$A$1:$I$89,5,0)</f>
        <v>224.90020800000022</v>
      </c>
      <c r="CA79" s="14">
        <f t="shared" si="93"/>
        <v>55.178552393457672</v>
      </c>
      <c r="CB79" s="22">
        <f t="shared" si="64"/>
        <v>487.80384101860591</v>
      </c>
      <c r="CC79" s="62">
        <f t="shared" si="65"/>
        <v>781.13717435193917</v>
      </c>
      <c r="CD79" s="62">
        <f ca="1">AVERAGE(OFFSET($CC$3,0,0,'Données projet'!$E$12+1,1))-AVERAGE(OFFSET($H$3,0,0,'Données projet'!$E$12+1,1))</f>
        <v>237.4598967324826</v>
      </c>
      <c r="CE79" s="62">
        <f t="shared" si="94"/>
        <v>218.74305466112406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205.33000726169792</v>
      </c>
      <c r="T80" s="62">
        <f t="shared" si="88"/>
        <v>307.23455947678775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25.666666666666668</v>
      </c>
      <c r="AI80" s="14">
        <f>IF('Données projet'!$A$62&gt;35,AI79+AH80-AQ79,IF(A80&lt;'Données projet'!$A$62,$AF$205^A80,IF(A80='Données projet'!$A$62,'Données projet'!$B$62,AI79+AH80-AQ79)))</f>
        <v>563.33333333333348</v>
      </c>
      <c r="AJ80" s="14">
        <f>AI80*VLOOKUP('Données projet'!$B$10,Paramètres!$A$1:$I$89,3,0)*VLOOKUP('Données projet'!$B$10,Paramètres!$A$1:$I$89,5,0)</f>
        <v>278.28666666666675</v>
      </c>
      <c r="AK80" s="14">
        <f t="shared" si="89"/>
        <v>66.604803054876442</v>
      </c>
      <c r="AL80" s="22">
        <f t="shared" si="58"/>
        <v>600.68597643168778</v>
      </c>
      <c r="AM80" s="62">
        <f t="shared" si="59"/>
        <v>894.01930976502103</v>
      </c>
      <c r="AN80" s="62">
        <f ca="1">AVERAGE(OFFSET($AM$3,0,0,'Données projet'!$E$10+1,1))-AVERAGE(OFFSET($H$3,0,0,'Données projet'!$E$10+1,1))</f>
        <v>491.47342911047105</v>
      </c>
      <c r="AO80" s="62">
        <f t="shared" si="90"/>
        <v>58.734453933891757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242.99999999999989</v>
      </c>
      <c r="BE80" s="14">
        <f>BD80*VLOOKUP('Données projet'!$B$11,Paramètres!$A$1:$I$89,3,0)*VLOOKUP('Données projet'!$B$11,Paramètres!$A$1:$I$89,5,0)</f>
        <v>204.70319999999992</v>
      </c>
      <c r="BF80" s="14">
        <f t="shared" si="91"/>
        <v>50.776386315598728</v>
      </c>
      <c r="BG80" s="22">
        <f t="shared" si="61"/>
        <v>444.96027949966765</v>
      </c>
      <c r="BH80" s="62">
        <f t="shared" si="62"/>
        <v>738.29361283300091</v>
      </c>
      <c r="BI80" s="62">
        <f ca="1">AVERAGE(OFFSET($BH$3,0,0,'Données projet'!$E$11+1,1))-AVERAGE(OFFSET($H$3,0,0,'Données projet'!$E$11+1,1))</f>
        <v>278.21934231434597</v>
      </c>
      <c r="BJ80" s="62">
        <f t="shared" si="92"/>
        <v>143.57726487417773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2.9799999999999955</v>
      </c>
      <c r="BY80" s="13">
        <f>IF('Données projet'!$A$114&gt;35,BY79+BX80-CG79,IF(A80&lt;'Données projet'!$A$114,$BV$205^A80,IF(A80='Données projet'!$A$114,'Données projet'!$B$114,BY79+BX80-CG79)))</f>
        <v>285.66000000000031</v>
      </c>
      <c r="BZ80" s="14">
        <f>BY80*VLOOKUP('Données projet'!$B$12,Paramètres!$A$1:$I$89,3,0)*VLOOKUP('Données projet'!$B$12,Paramètres!$A$1:$I$89,5,0)</f>
        <v>227.27109600000028</v>
      </c>
      <c r="CA80" s="14">
        <f t="shared" si="93"/>
        <v>55.692219424173366</v>
      </c>
      <c r="CB80" s="22">
        <f t="shared" si="64"/>
        <v>492.82777436376904</v>
      </c>
      <c r="CC80" s="62">
        <f t="shared" si="65"/>
        <v>786.16110769710235</v>
      </c>
      <c r="CD80" s="62">
        <f ca="1">AVERAGE(OFFSET($CC$3,0,0,'Données projet'!$E$12+1,1))-AVERAGE(OFFSET($H$3,0,0,'Données projet'!$E$12+1,1))</f>
        <v>237.4598967324826</v>
      </c>
      <c r="CE80" s="62">
        <f t="shared" si="94"/>
        <v>218.74305466112406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205.33000726169792</v>
      </c>
      <c r="T81" s="62">
        <f t="shared" si="88"/>
        <v>307.23455947678775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25.666666666666668</v>
      </c>
      <c r="AI81" s="14">
        <f>IF('Données projet'!$A$62&gt;35,AI80+AH81-AQ80,IF(A81&lt;'Données projet'!$A$62,$AF$205^A81,IF(A81='Données projet'!$A$62,'Données projet'!$B$62,AI80+AH81-AQ80)))</f>
        <v>589.00000000000011</v>
      </c>
      <c r="AJ81" s="14">
        <f>AI81*VLOOKUP('Données projet'!$B$10,Paramètres!$A$1:$I$89,3,0)*VLOOKUP('Données projet'!$B$10,Paramètres!$A$1:$I$89,5,0)</f>
        <v>290.96600000000007</v>
      </c>
      <c r="AK81" s="14">
        <f t="shared" si="89"/>
        <v>69.279233081503236</v>
      </c>
      <c r="AL81" s="22">
        <f t="shared" si="58"/>
        <v>627.42711428361827</v>
      </c>
      <c r="AM81" s="62">
        <f t="shared" si="59"/>
        <v>920.76044761695152</v>
      </c>
      <c r="AN81" s="62">
        <f ca="1">AVERAGE(OFFSET($AM$3,0,0,'Données projet'!$E$10+1,1))-AVERAGE(OFFSET($H$3,0,0,'Données projet'!$E$10+1,1))</f>
        <v>491.47342911047105</v>
      </c>
      <c r="AO81" s="62">
        <f t="shared" si="90"/>
        <v>58.734453933891757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248.99999999999989</v>
      </c>
      <c r="BE81" s="14">
        <f>BD81*VLOOKUP('Données projet'!$B$11,Paramètres!$A$1:$I$89,3,0)*VLOOKUP('Données projet'!$B$11,Paramètres!$A$1:$I$89,5,0)</f>
        <v>209.75759999999994</v>
      </c>
      <c r="BF81" s="14">
        <f t="shared" si="91"/>
        <v>51.88261163954845</v>
      </c>
      <c r="BG81" s="22">
        <f t="shared" si="61"/>
        <v>455.69003527221344</v>
      </c>
      <c r="BH81" s="62">
        <f t="shared" si="62"/>
        <v>749.02336860554669</v>
      </c>
      <c r="BI81" s="62">
        <f ca="1">AVERAGE(OFFSET($BH$3,0,0,'Données projet'!$E$11+1,1))-AVERAGE(OFFSET($H$3,0,0,'Données projet'!$E$11+1,1))</f>
        <v>278.21934231434597</v>
      </c>
      <c r="BJ81" s="62">
        <f t="shared" si="92"/>
        <v>143.57726487417773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2.9799999999999955</v>
      </c>
      <c r="BY81" s="13">
        <f>IF('Données projet'!$A$114&gt;35,BY80+BX81-CG80,IF(A81&lt;'Données projet'!$A$114,$BV$205^A81,IF(A81='Données projet'!$A$114,'Données projet'!$B$114,BY80+BX81-CG80)))</f>
        <v>288.64000000000033</v>
      </c>
      <c r="BZ81" s="14">
        <f>BY81*VLOOKUP('Données projet'!$B$12,Paramètres!$A$1:$I$89,3,0)*VLOOKUP('Données projet'!$B$12,Paramètres!$A$1:$I$89,5,0)</f>
        <v>229.64198400000026</v>
      </c>
      <c r="CA81" s="14">
        <f t="shared" si="93"/>
        <v>56.20526308447868</v>
      </c>
      <c r="CB81" s="22">
        <f t="shared" si="64"/>
        <v>497.85062200546753</v>
      </c>
      <c r="CC81" s="62">
        <f t="shared" si="65"/>
        <v>791.18395533880084</v>
      </c>
      <c r="CD81" s="62">
        <f ca="1">AVERAGE(OFFSET($CC$3,0,0,'Données projet'!$E$12+1,1))-AVERAGE(OFFSET($H$3,0,0,'Données projet'!$E$12+1,1))</f>
        <v>237.4598967324826</v>
      </c>
      <c r="CE81" s="62">
        <f t="shared" si="94"/>
        <v>218.74305466112406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205.33000726169792</v>
      </c>
      <c r="T82" s="62">
        <f t="shared" si="88"/>
        <v>307.23455947678775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25.666666666666668</v>
      </c>
      <c r="AI82" s="14">
        <f>IF('Données projet'!$A$62&gt;35,AI81+AH82-AQ81,IF(A82&lt;'Données projet'!$A$62,$AF$205^A82,IF(A82='Données projet'!$A$62,'Données projet'!$B$62,AI81+AH82-AQ81)))</f>
        <v>614.66666666666674</v>
      </c>
      <c r="AJ82" s="14">
        <f>AI82*VLOOKUP('Données projet'!$B$10,Paramètres!$A$1:$I$89,3,0)*VLOOKUP('Données projet'!$B$10,Paramètres!$A$1:$I$89,5,0)</f>
        <v>303.64533333333338</v>
      </c>
      <c r="AK82" s="14">
        <f t="shared" si="89"/>
        <v>71.940127349839301</v>
      </c>
      <c r="AL82" s="22">
        <f t="shared" si="58"/>
        <v>654.14467735652568</v>
      </c>
      <c r="AM82" s="62">
        <f t="shared" si="59"/>
        <v>947.47801068985905</v>
      </c>
      <c r="AN82" s="62">
        <f ca="1">AVERAGE(OFFSET($AM$3,0,0,'Données projet'!$E$10+1,1))-AVERAGE(OFFSET($H$3,0,0,'Données projet'!$E$10+1,1))</f>
        <v>491.47342911047105</v>
      </c>
      <c r="AO82" s="62">
        <f t="shared" si="90"/>
        <v>58.734453933891757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254.99999999999989</v>
      </c>
      <c r="BE82" s="14">
        <f>BD82*VLOOKUP('Données projet'!$B$11,Paramètres!$A$1:$I$89,3,0)*VLOOKUP('Données projet'!$B$11,Paramètres!$A$1:$I$89,5,0)</f>
        <v>214.81199999999995</v>
      </c>
      <c r="BF82" s="14">
        <f t="shared" si="91"/>
        <v>52.985738231738054</v>
      </c>
      <c r="BG82" s="22">
        <f t="shared" si="61"/>
        <v>466.41439408694367</v>
      </c>
      <c r="BH82" s="62">
        <f t="shared" si="62"/>
        <v>759.74772742027699</v>
      </c>
      <c r="BI82" s="62">
        <f ca="1">AVERAGE(OFFSET($BH$3,0,0,'Données projet'!$E$11+1,1))-AVERAGE(OFFSET($H$3,0,0,'Données projet'!$E$11+1,1))</f>
        <v>278.21934231434597</v>
      </c>
      <c r="BJ82" s="62">
        <f t="shared" si="92"/>
        <v>143.57726487417773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2.9799999999999955</v>
      </c>
      <c r="BY82" s="13">
        <f>IF('Données projet'!$A$114&gt;35,BY81+BX82-CG81,IF(A82&lt;'Données projet'!$A$114,$BV$205^A82,IF(A82='Données projet'!$A$114,'Données projet'!$B$114,BY81+BX82-CG81)))</f>
        <v>291.62000000000035</v>
      </c>
      <c r="BZ82" s="14">
        <f>BY82*VLOOKUP('Données projet'!$B$12,Paramètres!$A$1:$I$89,3,0)*VLOOKUP('Données projet'!$B$12,Paramètres!$A$1:$I$89,5,0)</f>
        <v>232.01287200000027</v>
      </c>
      <c r="CA82" s="14">
        <f t="shared" si="93"/>
        <v>56.717690555297771</v>
      </c>
      <c r="CB82" s="22">
        <f t="shared" si="64"/>
        <v>502.87239645047742</v>
      </c>
      <c r="CC82" s="62">
        <f t="shared" si="65"/>
        <v>796.20572978381074</v>
      </c>
      <c r="CD82" s="62">
        <f ca="1">AVERAGE(OFFSET($CC$3,0,0,'Données projet'!$E$12+1,1))-AVERAGE(OFFSET($H$3,0,0,'Données projet'!$E$12+1,1))</f>
        <v>237.4598967324826</v>
      </c>
      <c r="CE82" s="62">
        <f t="shared" si="94"/>
        <v>218.74305466112406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205.33000726169792</v>
      </c>
      <c r="T83" s="62">
        <f t="shared" si="88"/>
        <v>307.23455947678775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25.666666666666668</v>
      </c>
      <c r="AI83" s="14">
        <f>IF('Données projet'!$A$62&gt;35,AI82+AH83-AQ82,IF(A83&lt;'Données projet'!$A$62,$AF$205^A83,IF(A83='Données projet'!$A$62,'Données projet'!$B$62,AI82+AH83-AQ82)))</f>
        <v>640.33333333333337</v>
      </c>
      <c r="AJ83" s="14">
        <f>AI83*VLOOKUP('Données projet'!$B$10,Paramètres!$A$1:$I$89,3,0)*VLOOKUP('Données projet'!$B$10,Paramètres!$A$1:$I$89,5,0)</f>
        <v>316.3246666666667</v>
      </c>
      <c r="AK83" s="14">
        <f t="shared" si="89"/>
        <v>74.588115706361208</v>
      </c>
      <c r="AL83" s="22">
        <f t="shared" si="58"/>
        <v>680.8397626330235</v>
      </c>
      <c r="AM83" s="62">
        <f t="shared" si="59"/>
        <v>974.17309596635687</v>
      </c>
      <c r="AN83" s="62">
        <f ca="1">AVERAGE(OFFSET($AM$3,0,0,'Données projet'!$E$10+1,1))-AVERAGE(OFFSET($H$3,0,0,'Données projet'!$E$10+1,1))</f>
        <v>491.47342911047105</v>
      </c>
      <c r="AO83" s="62">
        <f t="shared" si="90"/>
        <v>58.734453933891757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261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260.99999999999989</v>
      </c>
      <c r="BE83" s="14">
        <f>BD83*VLOOKUP('Données projet'!$B$11,Paramètres!$A$1:$I$89,3,0)*VLOOKUP('Données projet'!$B$11,Paramètres!$A$1:$I$89,5,0)</f>
        <v>219.86639999999991</v>
      </c>
      <c r="BF83" s="14">
        <f t="shared" si="91"/>
        <v>54.085847394182416</v>
      </c>
      <c r="BG83" s="22">
        <f t="shared" si="61"/>
        <v>477.13349754486757</v>
      </c>
      <c r="BH83" s="62">
        <f t="shared" si="62"/>
        <v>770.46683087820088</v>
      </c>
      <c r="BI83" s="62">
        <f ca="1">AVERAGE(OFFSET($BH$3,0,0,'Données projet'!$E$11+1,1))-AVERAGE(OFFSET($H$3,0,0,'Données projet'!$E$11+1,1))</f>
        <v>278.21934231434597</v>
      </c>
      <c r="BJ83" s="62">
        <f t="shared" si="92"/>
        <v>143.57726487417773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294.60000000000002</v>
      </c>
      <c r="BW83" s="13">
        <f>VLOOKUP(A83,'Données projet'!$A$113:$I$133,9,0)</f>
        <v>2.9799999999999955</v>
      </c>
      <c r="BX83" s="13">
        <f t="array" ref="BX83">INDEX(BW:BW,MIN(IF(ISNUMBER(BW83:BW279),ROW(BW83:BW279),"")))</f>
        <v>2.9799999999999955</v>
      </c>
      <c r="BY83" s="13">
        <f>IF('Données projet'!$A$114&gt;35,BY82+BX83-CG82,IF(A83&lt;'Données projet'!$A$114,$BV$205^A83,IF(A83='Données projet'!$A$114,'Données projet'!$B$114,BY82+BX83-CG82)))</f>
        <v>294.60000000000036</v>
      </c>
      <c r="BZ83" s="14">
        <f>BY83*VLOOKUP('Données projet'!$B$12,Paramètres!$A$1:$I$89,3,0)*VLOOKUP('Données projet'!$B$12,Paramètres!$A$1:$I$89,5,0)</f>
        <v>234.38376000000028</v>
      </c>
      <c r="CA83" s="14">
        <f t="shared" si="93"/>
        <v>57.229508862336871</v>
      </c>
      <c r="CB83" s="22">
        <f t="shared" si="64"/>
        <v>507.89310993523713</v>
      </c>
      <c r="CC83" s="62">
        <f t="shared" si="65"/>
        <v>801.22644326857039</v>
      </c>
      <c r="CD83" s="62">
        <f ca="1">AVERAGE(OFFSET($CC$3,0,0,'Données projet'!$E$12+1,1))-AVERAGE(OFFSET($H$3,0,0,'Données projet'!$E$12+1,1))</f>
        <v>237.4598967324826</v>
      </c>
      <c r="CE83" s="62">
        <f t="shared" si="94"/>
        <v>218.74305466112406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294.60000000000002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205.33000726169792</v>
      </c>
      <c r="T84" s="62">
        <f t="shared" si="88"/>
        <v>307.23455947678775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25.666666666666668</v>
      </c>
      <c r="AI84" s="14">
        <f>IF('Données projet'!$A$62&gt;35,AI83+AH84-AQ83,IF(A84&lt;'Données projet'!$A$62,$AF$205^A84,IF(A84='Données projet'!$A$62,'Données projet'!$B$62,AI83+AH84-AQ83)))</f>
        <v>666</v>
      </c>
      <c r="AJ84" s="14">
        <f>AI84*VLOOKUP('Données projet'!$B$10,Paramètres!$A$1:$I$89,3,0)*VLOOKUP('Données projet'!$B$10,Paramètres!$A$1:$I$89,5,0)</f>
        <v>329.00400000000002</v>
      </c>
      <c r="AK84" s="14">
        <f t="shared" si="89"/>
        <v>77.223774646935937</v>
      </c>
      <c r="AL84" s="22">
        <f t="shared" si="58"/>
        <v>707.51337417674677</v>
      </c>
      <c r="AM84" s="62">
        <f t="shared" si="59"/>
        <v>1000.84670751008</v>
      </c>
      <c r="AN84" s="62">
        <f ca="1">AVERAGE(OFFSET($AM$3,0,0,'Données projet'!$E$10+1,1))-AVERAGE(OFFSET($H$3,0,0,'Données projet'!$E$10+1,1))</f>
        <v>491.47342911047105</v>
      </c>
      <c r="AO84" s="62">
        <f t="shared" si="90"/>
        <v>58.734453933891757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5.8</v>
      </c>
      <c r="BD84" s="13">
        <f>IF('Données projet'!$A$88&gt;35,BD83+BC84-BL83,IF(A84&lt;'Données projet'!$A$88,$BA$205^A84,IF(A84='Données projet'!$A$88,'Données projet'!$B$88,BD83+BC84-BL83)))</f>
        <v>266.7999999999999</v>
      </c>
      <c r="BE84" s="14">
        <f>BD84*VLOOKUP('Données projet'!$B$11,Paramètres!$A$1:$I$89,3,0)*VLOOKUP('Données projet'!$B$11,Paramètres!$A$1:$I$89,5,0)</f>
        <v>224.75231999999991</v>
      </c>
      <c r="BF84" s="14">
        <f t="shared" si="91"/>
        <v>55.146490754971083</v>
      </c>
      <c r="BG84" s="22">
        <f t="shared" si="61"/>
        <v>487.49042873157447</v>
      </c>
      <c r="BH84" s="62">
        <f t="shared" si="62"/>
        <v>780.82376206490778</v>
      </c>
      <c r="BI84" s="62">
        <f ca="1">AVERAGE(OFFSET($BH$3,0,0,'Données projet'!$E$11+1,1))-AVERAGE(OFFSET($H$3,0,0,'Données projet'!$E$11+1,1))</f>
        <v>278.21934231434597</v>
      </c>
      <c r="BJ84" s="62">
        <f t="shared" si="92"/>
        <v>143.57726487417773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3.4106051316484809E-13</v>
      </c>
      <c r="BZ84" s="14">
        <f>BY84*VLOOKUP('Données projet'!$B$12,Paramètres!$A$1:$I$89,3,0)*VLOOKUP('Données projet'!$B$12,Paramètres!$A$1:$I$89,5,0)</f>
        <v>2.7134774427395314E-13</v>
      </c>
      <c r="CA84" s="14">
        <f t="shared" si="93"/>
        <v>3.6292411711343559E-12</v>
      </c>
      <c r="CB84" s="22">
        <f t="shared" si="64"/>
        <v>6.7935256943361388E-12</v>
      </c>
      <c r="CC84" s="62">
        <f t="shared" si="65"/>
        <v>293.33333333334014</v>
      </c>
      <c r="CD84" s="62">
        <f ca="1">AVERAGE(OFFSET($CC$3,0,0,'Données projet'!$E$12+1,1))-AVERAGE(OFFSET($H$3,0,0,'Données projet'!$E$12+1,1))</f>
        <v>237.4598967324826</v>
      </c>
      <c r="CE84" s="62">
        <f t="shared" si="94"/>
        <v>218.74305466112406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205.33000726169792</v>
      </c>
      <c r="T85" s="62">
        <f t="shared" si="88"/>
        <v>307.23455947678775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25.666666666666668</v>
      </c>
      <c r="AI85" s="14">
        <f>IF('Données projet'!$A$62&gt;35,AI84+AH85-AQ84,IF(A85&lt;'Données projet'!$A$62,$AF$205^A85,IF(A85='Données projet'!$A$62,'Données projet'!$B$62,AI84+AH85-AQ84)))</f>
        <v>691.66666666666663</v>
      </c>
      <c r="AJ85" s="14">
        <f>AI85*VLOOKUP('Données projet'!$B$10,Paramètres!$A$1:$I$89,3,0)*VLOOKUP('Données projet'!$B$10,Paramètres!$A$1:$I$89,5,0)</f>
        <v>341.68333333333334</v>
      </c>
      <c r="AK85" s="14">
        <f t="shared" si="89"/>
        <v>79.847633716490861</v>
      </c>
      <c r="AL85" s="22">
        <f t="shared" si="58"/>
        <v>734.16643427844383</v>
      </c>
      <c r="AM85" s="62">
        <f t="shared" si="59"/>
        <v>1027.4997676117771</v>
      </c>
      <c r="AN85" s="62">
        <f ca="1">AVERAGE(OFFSET($AM$3,0,0,'Données projet'!$E$10+1,1))-AVERAGE(OFFSET($H$3,0,0,'Données projet'!$E$10+1,1))</f>
        <v>491.47342911047105</v>
      </c>
      <c r="AO85" s="62">
        <f t="shared" si="90"/>
        <v>58.734453933891757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5.8</v>
      </c>
      <c r="BD85" s="13">
        <f>IF('Données projet'!$A$88&gt;35,BD84+BC85-BL84,IF(A85&lt;'Données projet'!$A$88,$BA$205^A85,IF(A85='Données projet'!$A$88,'Données projet'!$B$88,BD84+BC85-BL84)))</f>
        <v>272.59999999999991</v>
      </c>
      <c r="BE85" s="14">
        <f>BD85*VLOOKUP('Données projet'!$B$11,Paramètres!$A$1:$I$89,3,0)*VLOOKUP('Données projet'!$B$11,Paramètres!$A$1:$I$89,5,0)</f>
        <v>229.63823999999994</v>
      </c>
      <c r="BF85" s="14">
        <f t="shared" si="91"/>
        <v>56.204453396569633</v>
      </c>
      <c r="BG85" s="22">
        <f t="shared" si="61"/>
        <v>497.84269099902531</v>
      </c>
      <c r="BH85" s="62">
        <f t="shared" si="62"/>
        <v>791.17602433235857</v>
      </c>
      <c r="BI85" s="62">
        <f ca="1">AVERAGE(OFFSET($BH$3,0,0,'Données projet'!$E$11+1,1))-AVERAGE(OFFSET($H$3,0,0,'Données projet'!$E$11+1,1))</f>
        <v>278.21934231434597</v>
      </c>
      <c r="BJ85" s="62">
        <f t="shared" si="92"/>
        <v>143.57726487417773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3.4106051316484809E-13</v>
      </c>
      <c r="BZ85" s="14">
        <f>BY85*VLOOKUP('Données projet'!$B$12,Paramètres!$A$1:$I$89,3,0)*VLOOKUP('Données projet'!$B$12,Paramètres!$A$1:$I$89,5,0)</f>
        <v>2.7134774427395314E-13</v>
      </c>
      <c r="CA85" s="14">
        <f t="shared" si="93"/>
        <v>3.6292411711343559E-12</v>
      </c>
      <c r="CB85" s="22">
        <f t="shared" si="64"/>
        <v>6.7935256943361388E-12</v>
      </c>
      <c r="CC85" s="62">
        <f t="shared" si="65"/>
        <v>293.33333333334014</v>
      </c>
      <c r="CD85" s="62">
        <f ca="1">AVERAGE(OFFSET($CC$3,0,0,'Données projet'!$E$12+1,1))-AVERAGE(OFFSET($H$3,0,0,'Données projet'!$E$12+1,1))</f>
        <v>237.4598967324826</v>
      </c>
      <c r="CE85" s="62">
        <f t="shared" si="94"/>
        <v>218.74305466112406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205.33000726169792</v>
      </c>
      <c r="T86" s="62">
        <f t="shared" si="88"/>
        <v>307.23455947678775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25.666666666666668</v>
      </c>
      <c r="AI86" s="14">
        <f>IF('Données projet'!$A$62&gt;35,AI85+AH86-AQ85,IF(A86&lt;'Données projet'!$A$62,$AF$205^A86,IF(A86='Données projet'!$A$62,'Données projet'!$B$62,AI85+AH86-AQ85)))</f>
        <v>717.33333333333326</v>
      </c>
      <c r="AJ86" s="14">
        <f>AI86*VLOOKUP('Données projet'!$B$10,Paramètres!$A$1:$I$89,3,0)*VLOOKUP('Données projet'!$B$10,Paramètres!$A$1:$I$89,5,0)</f>
        <v>354.36266666666666</v>
      </c>
      <c r="AK86" s="14">
        <f t="shared" si="89"/>
        <v>82.460180932052424</v>
      </c>
      <c r="AL86" s="22">
        <f t="shared" si="58"/>
        <v>760.79979290110248</v>
      </c>
      <c r="AM86" s="62">
        <f t="shared" si="59"/>
        <v>1054.1331262344358</v>
      </c>
      <c r="AN86" s="62">
        <f ca="1">AVERAGE(OFFSET($AM$3,0,0,'Données projet'!$E$10+1,1))-AVERAGE(OFFSET($H$3,0,0,'Données projet'!$E$10+1,1))</f>
        <v>491.47342911047105</v>
      </c>
      <c r="AO86" s="62">
        <f t="shared" si="90"/>
        <v>58.734453933891757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5.8</v>
      </c>
      <c r="BD86" s="13">
        <f>IF('Données projet'!$A$88&gt;35,BD85+BC86-BL85,IF(A86&lt;'Données projet'!$A$88,$BA$205^A86,IF(A86='Données projet'!$A$88,'Données projet'!$B$88,BD85+BC86-BL85)))</f>
        <v>278.39999999999992</v>
      </c>
      <c r="BE86" s="14">
        <f>BD86*VLOOKUP('Données projet'!$B$11,Paramètres!$A$1:$I$89,3,0)*VLOOKUP('Données projet'!$B$11,Paramètres!$A$1:$I$89,5,0)</f>
        <v>234.52415999999994</v>
      </c>
      <c r="BF86" s="14">
        <f t="shared" si="91"/>
        <v>57.25979892552148</v>
      </c>
      <c r="BG86" s="22">
        <f t="shared" si="61"/>
        <v>508.19039512861644</v>
      </c>
      <c r="BH86" s="62">
        <f t="shared" si="62"/>
        <v>801.52372846194976</v>
      </c>
      <c r="BI86" s="62">
        <f ca="1">AVERAGE(OFFSET($BH$3,0,0,'Données projet'!$E$11+1,1))-AVERAGE(OFFSET($H$3,0,0,'Données projet'!$E$11+1,1))</f>
        <v>278.21934231434597</v>
      </c>
      <c r="BJ86" s="62">
        <f t="shared" si="92"/>
        <v>143.57726487417773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3.4106051316484809E-13</v>
      </c>
      <c r="BZ86" s="14">
        <f>BY86*VLOOKUP('Données projet'!$B$12,Paramètres!$A$1:$I$89,3,0)*VLOOKUP('Données projet'!$B$12,Paramètres!$A$1:$I$89,5,0)</f>
        <v>2.7134774427395314E-13</v>
      </c>
      <c r="CA86" s="14">
        <f t="shared" si="93"/>
        <v>3.6292411711343559E-12</v>
      </c>
      <c r="CB86" s="22">
        <f t="shared" si="64"/>
        <v>6.7935256943361388E-12</v>
      </c>
      <c r="CC86" s="62">
        <f t="shared" si="65"/>
        <v>293.33333333334014</v>
      </c>
      <c r="CD86" s="62">
        <f ca="1">AVERAGE(OFFSET($CC$3,0,0,'Données projet'!$E$12+1,1))-AVERAGE(OFFSET($H$3,0,0,'Données projet'!$E$12+1,1))</f>
        <v>237.4598967324826</v>
      </c>
      <c r="CE86" s="62">
        <f t="shared" si="94"/>
        <v>218.74305466112406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205.33000726169792</v>
      </c>
      <c r="T87" s="62">
        <f t="shared" si="88"/>
        <v>307.23455947678775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25.666666666666668</v>
      </c>
      <c r="AI87" s="14">
        <f>IF('Données projet'!$A$62&gt;35,AI86+AH87-AQ86,IF(A87&lt;'Données projet'!$A$62,$AF$205^A87,IF(A87='Données projet'!$A$62,'Données projet'!$B$62,AI86+AH87-AQ86)))</f>
        <v>742.99999999999989</v>
      </c>
      <c r="AJ87" s="14">
        <f>AI87*VLOOKUP('Données projet'!$B$10,Paramètres!$A$1:$I$89,3,0)*VLOOKUP('Données projet'!$B$10,Paramètres!$A$1:$I$89,5,0)</f>
        <v>367.04199999999997</v>
      </c>
      <c r="AK87" s="14">
        <f t="shared" si="89"/>
        <v>85.061867407813494</v>
      </c>
      <c r="AL87" s="22">
        <f t="shared" si="58"/>
        <v>787.41423573527516</v>
      </c>
      <c r="AM87" s="62">
        <f t="shared" si="59"/>
        <v>1080.7475690686085</v>
      </c>
      <c r="AN87" s="62">
        <f ca="1">AVERAGE(OFFSET($AM$3,0,0,'Données projet'!$E$10+1,1))-AVERAGE(OFFSET($H$3,0,0,'Données projet'!$E$10+1,1))</f>
        <v>491.47342911047105</v>
      </c>
      <c r="AO87" s="62">
        <f t="shared" si="90"/>
        <v>58.734453933891757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5.8</v>
      </c>
      <c r="BD87" s="13">
        <f>IF('Données projet'!$A$88&gt;35,BD86+BC87-BL86,IF(A87&lt;'Données projet'!$A$88,$BA$205^A87,IF(A87='Données projet'!$A$88,'Données projet'!$B$88,BD86+BC87-BL86)))</f>
        <v>284.19999999999993</v>
      </c>
      <c r="BE87" s="14">
        <f>BD87*VLOOKUP('Données projet'!$B$11,Paramètres!$A$1:$I$89,3,0)*VLOOKUP('Données projet'!$B$11,Paramètres!$A$1:$I$89,5,0)</f>
        <v>239.41007999999994</v>
      </c>
      <c r="BF87" s="14">
        <f t="shared" si="91"/>
        <v>58.312588146640756</v>
      </c>
      <c r="BG87" s="22">
        <f t="shared" si="61"/>
        <v>518.53364702206579</v>
      </c>
      <c r="BH87" s="62">
        <f t="shared" si="62"/>
        <v>811.86698035539916</v>
      </c>
      <c r="BI87" s="62">
        <f ca="1">AVERAGE(OFFSET($BH$3,0,0,'Données projet'!$E$11+1,1))-AVERAGE(OFFSET($H$3,0,0,'Données projet'!$E$11+1,1))</f>
        <v>278.21934231434597</v>
      </c>
      <c r="BJ87" s="62">
        <f t="shared" si="92"/>
        <v>143.57726487417773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3.4106051316484809E-13</v>
      </c>
      <c r="BZ87" s="14">
        <f>BY87*VLOOKUP('Données projet'!$B$12,Paramètres!$A$1:$I$89,3,0)*VLOOKUP('Données projet'!$B$12,Paramètres!$A$1:$I$89,5,0)</f>
        <v>2.7134774427395314E-13</v>
      </c>
      <c r="CA87" s="14">
        <f t="shared" si="93"/>
        <v>3.6292411711343559E-12</v>
      </c>
      <c r="CB87" s="22">
        <f t="shared" si="64"/>
        <v>6.7935256943361388E-12</v>
      </c>
      <c r="CC87" s="62">
        <f t="shared" si="65"/>
        <v>293.33333333334014</v>
      </c>
      <c r="CD87" s="62">
        <f ca="1">AVERAGE(OFFSET($CC$3,0,0,'Données projet'!$E$12+1,1))-AVERAGE(OFFSET($H$3,0,0,'Données projet'!$E$12+1,1))</f>
        <v>237.4598967324826</v>
      </c>
      <c r="CE87" s="62">
        <f t="shared" si="94"/>
        <v>218.74305466112406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205.33000726169792</v>
      </c>
      <c r="T88" s="62">
        <f t="shared" si="88"/>
        <v>307.23455947678775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25.666666666666668</v>
      </c>
      <c r="AI88" s="14">
        <f>IF('Données projet'!$A$62&gt;35,AI87+AH88-AQ87,IF(A88&lt;'Données projet'!$A$62,$AF$205^A88,IF(A88='Données projet'!$A$62,'Données projet'!$B$62,AI87+AH88-AQ87)))</f>
        <v>768.66666666666652</v>
      </c>
      <c r="AJ88" s="14">
        <f>AI88*VLOOKUP('Données projet'!$B$10,Paramètres!$A$1:$I$89,3,0)*VLOOKUP('Données projet'!$B$10,Paramètres!$A$1:$I$89,5,0)</f>
        <v>379.72133333333329</v>
      </c>
      <c r="AK88" s="14">
        <f t="shared" si="89"/>
        <v>87.653111323160857</v>
      </c>
      <c r="AL88" s="22">
        <f t="shared" si="58"/>
        <v>814.01049111006057</v>
      </c>
      <c r="AM88" s="62">
        <f t="shared" si="59"/>
        <v>1107.3438244433939</v>
      </c>
      <c r="AN88" s="62">
        <f ca="1">AVERAGE(OFFSET($AM$3,0,0,'Données projet'!$E$10+1,1))-AVERAGE(OFFSET($H$3,0,0,'Données projet'!$E$10+1,1))</f>
        <v>491.47342911047105</v>
      </c>
      <c r="AO88" s="62">
        <f t="shared" si="90"/>
        <v>58.734453933891757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290</v>
      </c>
      <c r="BB88" s="13">
        <f>VLOOKUP(A88,'Données projet'!$A$87:$I$107,9,0)</f>
        <v>5.8</v>
      </c>
      <c r="BC88" s="13">
        <f t="array" ref="BC88">INDEX(BB:BB,MIN(IF(ISNUMBER(BB88:BB284),ROW(BB88:BB284),"")))</f>
        <v>5.8</v>
      </c>
      <c r="BD88" s="13">
        <f>IF('Données projet'!$A$88&gt;35,BD87+BC88-BL87,IF(A88&lt;'Données projet'!$A$88,$BA$205^A88,IF(A88='Données projet'!$A$88,'Données projet'!$B$88,BD87+BC88-BL87)))</f>
        <v>289.99999999999994</v>
      </c>
      <c r="BE88" s="14">
        <f>BD88*VLOOKUP('Données projet'!$B$11,Paramètres!$A$1:$I$89,3,0)*VLOOKUP('Données projet'!$B$11,Paramètres!$A$1:$I$89,5,0)</f>
        <v>244.29599999999996</v>
      </c>
      <c r="BF88" s="14">
        <f t="shared" si="91"/>
        <v>59.362879241040368</v>
      </c>
      <c r="BG88" s="22">
        <f t="shared" si="61"/>
        <v>528.87254801147856</v>
      </c>
      <c r="BH88" s="62">
        <f t="shared" si="62"/>
        <v>822.20588134481181</v>
      </c>
      <c r="BI88" s="62">
        <f ca="1">AVERAGE(OFFSET($BH$3,0,0,'Données projet'!$E$11+1,1))-AVERAGE(OFFSET($H$3,0,0,'Données projet'!$E$11+1,1))</f>
        <v>278.21934231434597</v>
      </c>
      <c r="BJ88" s="62">
        <f t="shared" si="92"/>
        <v>143.57726487417773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42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3.4106051316484809E-13</v>
      </c>
      <c r="BZ88" s="14">
        <f>BY88*VLOOKUP('Données projet'!$B$12,Paramètres!$A$1:$I$89,3,0)*VLOOKUP('Données projet'!$B$12,Paramètres!$A$1:$I$89,5,0)</f>
        <v>2.7134774427395314E-13</v>
      </c>
      <c r="CA88" s="14">
        <f t="shared" si="93"/>
        <v>3.6292411711343559E-12</v>
      </c>
      <c r="CB88" s="22">
        <f t="shared" si="64"/>
        <v>6.7935256943361388E-12</v>
      </c>
      <c r="CC88" s="62">
        <f t="shared" si="65"/>
        <v>293.33333333334014</v>
      </c>
      <c r="CD88" s="62">
        <f ca="1">AVERAGE(OFFSET($CC$3,0,0,'Données projet'!$E$12+1,1))-AVERAGE(OFFSET($H$3,0,0,'Données projet'!$E$12+1,1))</f>
        <v>237.4598967324826</v>
      </c>
      <c r="CE88" s="62">
        <f t="shared" si="94"/>
        <v>218.74305466112406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205.33000726169792</v>
      </c>
      <c r="T89" s="62">
        <f t="shared" si="88"/>
        <v>307.23455947678775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25.666666666666668</v>
      </c>
      <c r="AI89" s="14">
        <f>IF('Données projet'!$A$62&gt;35,AI88+AH89-AQ88,IF(A89&lt;'Données projet'!$A$62,$AF$205^A89,IF(A89='Données projet'!$A$62,'Données projet'!$B$62,AI88+AH89-AQ88)))</f>
        <v>794.33333333333314</v>
      </c>
      <c r="AJ89" s="14">
        <f>AI89*VLOOKUP('Données projet'!$B$10,Paramètres!$A$1:$I$89,3,0)*VLOOKUP('Données projet'!$B$10,Paramètres!$A$1:$I$89,5,0)</f>
        <v>392.40066666666655</v>
      </c>
      <c r="AK89" s="14">
        <f t="shared" si="89"/>
        <v>90.234301345825898</v>
      </c>
      <c r="AL89" s="22">
        <f t="shared" si="58"/>
        <v>840.58923595509088</v>
      </c>
      <c r="AM89" s="62">
        <f t="shared" si="59"/>
        <v>1133.9225692884243</v>
      </c>
      <c r="AN89" s="62">
        <f ca="1">AVERAGE(OFFSET($AM$3,0,0,'Données projet'!$E$10+1,1))-AVERAGE(OFFSET($H$3,0,0,'Données projet'!$E$10+1,1))</f>
        <v>491.47342911047105</v>
      </c>
      <c r="AO89" s="62">
        <f t="shared" si="90"/>
        <v>58.734453933891757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5.2</v>
      </c>
      <c r="BD89" s="13">
        <f>IF('Données projet'!$A$88&gt;35,BD88+BC89-BL88,IF(A89&lt;'Données projet'!$A$88,$BA$205^A89,IF(A89='Données projet'!$A$88,'Données projet'!$B$88,BD88+BC89-BL88)))</f>
        <v>253.19999999999993</v>
      </c>
      <c r="BE89" s="14">
        <f>BD89*VLOOKUP('Données projet'!$B$11,Paramètres!$A$1:$I$89,3,0)*VLOOKUP('Données projet'!$B$11,Paramètres!$A$1:$I$89,5,0)</f>
        <v>213.29567999999998</v>
      </c>
      <c r="BF89" s="14">
        <f t="shared" si="91"/>
        <v>52.655120704446759</v>
      </c>
      <c r="BG89" s="22">
        <f t="shared" si="61"/>
        <v>463.19764456024473</v>
      </c>
      <c r="BH89" s="62">
        <f t="shared" si="62"/>
        <v>756.53097789357798</v>
      </c>
      <c r="BI89" s="62">
        <f ca="1">AVERAGE(OFFSET($BH$3,0,0,'Données projet'!$E$11+1,1))-AVERAGE(OFFSET($H$3,0,0,'Données projet'!$E$11+1,1))</f>
        <v>278.21934231434597</v>
      </c>
      <c r="BJ89" s="62">
        <f t="shared" si="92"/>
        <v>143.57726487417773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3.4106051316484809E-13</v>
      </c>
      <c r="BZ89" s="14">
        <f>BY89*VLOOKUP('Données projet'!$B$12,Paramètres!$A$1:$I$89,3,0)*VLOOKUP('Données projet'!$B$12,Paramètres!$A$1:$I$89,5,0)</f>
        <v>2.7134774427395314E-13</v>
      </c>
      <c r="CA89" s="14">
        <f t="shared" si="93"/>
        <v>3.6292411711343559E-12</v>
      </c>
      <c r="CB89" s="22">
        <f t="shared" si="64"/>
        <v>6.7935256943361388E-12</v>
      </c>
      <c r="CC89" s="62">
        <f t="shared" si="65"/>
        <v>293.33333333334014</v>
      </c>
      <c r="CD89" s="62">
        <f ca="1">AVERAGE(OFFSET($CC$3,0,0,'Données projet'!$E$12+1,1))-AVERAGE(OFFSET($H$3,0,0,'Données projet'!$E$12+1,1))</f>
        <v>237.4598967324826</v>
      </c>
      <c r="CE89" s="62">
        <f t="shared" si="94"/>
        <v>218.74305466112406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205.33000726169792</v>
      </c>
      <c r="T90" s="62">
        <f t="shared" si="88"/>
        <v>307.23455947678775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25.666666666666668</v>
      </c>
      <c r="AI90" s="14">
        <f>IF('Données projet'!$A$62&gt;35,AI89+AH90-AQ89,IF(A90&lt;'Données projet'!$A$62,$AF$205^A90,IF(A90='Données projet'!$A$62,'Données projet'!$B$62,AI89+AH90-AQ89)))</f>
        <v>819.99999999999977</v>
      </c>
      <c r="AJ90" s="14">
        <f>AI90*VLOOKUP('Données projet'!$B$10,Paramètres!$A$1:$I$89,3,0)*VLOOKUP('Données projet'!$B$10,Paramètres!$A$1:$I$89,5,0)</f>
        <v>405.07999999999987</v>
      </c>
      <c r="AK90" s="14">
        <f t="shared" si="89"/>
        <v>92.805799600169664</v>
      </c>
      <c r="AL90" s="22">
        <f t="shared" si="58"/>
        <v>867.15110097029526</v>
      </c>
      <c r="AM90" s="62">
        <f t="shared" si="59"/>
        <v>1160.4844343036286</v>
      </c>
      <c r="AN90" s="62">
        <f ca="1">AVERAGE(OFFSET($AM$3,0,0,'Données projet'!$E$10+1,1))-AVERAGE(OFFSET($H$3,0,0,'Données projet'!$E$10+1,1))</f>
        <v>491.47342911047105</v>
      </c>
      <c r="AO90" s="62">
        <f t="shared" si="90"/>
        <v>58.734453933891757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5.2</v>
      </c>
      <c r="BD90" s="13">
        <f>IF('Données projet'!$A$88&gt;35,BD89+BC90-BL89,IF(A90&lt;'Données projet'!$A$88,$BA$205^A90,IF(A90='Données projet'!$A$88,'Données projet'!$B$88,BD89+BC90-BL89)))</f>
        <v>258.39999999999992</v>
      </c>
      <c r="BE90" s="14">
        <f>BD90*VLOOKUP('Données projet'!$B$11,Paramètres!$A$1:$I$89,3,0)*VLOOKUP('Données projet'!$B$11,Paramètres!$A$1:$I$89,5,0)</f>
        <v>217.67615999999995</v>
      </c>
      <c r="BF90" s="14">
        <f t="shared" si="91"/>
        <v>53.609498850196708</v>
      </c>
      <c r="BG90" s="22">
        <f t="shared" si="61"/>
        <v>472.48918916409252</v>
      </c>
      <c r="BH90" s="62">
        <f t="shared" si="62"/>
        <v>765.82252249742578</v>
      </c>
      <c r="BI90" s="62">
        <f ca="1">AVERAGE(OFFSET($BH$3,0,0,'Données projet'!$E$11+1,1))-AVERAGE(OFFSET($H$3,0,0,'Données projet'!$E$11+1,1))</f>
        <v>278.21934231434597</v>
      </c>
      <c r="BJ90" s="62">
        <f t="shared" si="92"/>
        <v>143.57726487417773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3.4106051316484809E-13</v>
      </c>
      <c r="BZ90" s="14">
        <f>BY90*VLOOKUP('Données projet'!$B$12,Paramètres!$A$1:$I$89,3,0)*VLOOKUP('Données projet'!$B$12,Paramètres!$A$1:$I$89,5,0)</f>
        <v>2.7134774427395314E-13</v>
      </c>
      <c r="CA90" s="14">
        <f t="shared" si="93"/>
        <v>3.6292411711343559E-12</v>
      </c>
      <c r="CB90" s="22">
        <f t="shared" si="64"/>
        <v>6.7935256943361388E-12</v>
      </c>
      <c r="CC90" s="62">
        <f t="shared" si="65"/>
        <v>293.33333333334014</v>
      </c>
      <c r="CD90" s="62">
        <f ca="1">AVERAGE(OFFSET($CC$3,0,0,'Données projet'!$E$12+1,1))-AVERAGE(OFFSET($H$3,0,0,'Données projet'!$E$12+1,1))</f>
        <v>237.4598967324826</v>
      </c>
      <c r="CE90" s="62">
        <f t="shared" si="94"/>
        <v>218.74305466112406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205.33000726169792</v>
      </c>
      <c r="T91" s="62">
        <f t="shared" si="88"/>
        <v>307.23455947678775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25.666666666666668</v>
      </c>
      <c r="AI91" s="14">
        <f>IF('Données projet'!$A$62&gt;35,AI90+AH91-AQ90,IF(A91&lt;'Données projet'!$A$62,$AF$205^A91,IF(A91='Données projet'!$A$62,'Données projet'!$B$62,AI90+AH91-AQ90)))</f>
        <v>845.6666666666664</v>
      </c>
      <c r="AJ91" s="14">
        <f>AI91*VLOOKUP('Données projet'!$B$10,Paramètres!$A$1:$I$89,3,0)*VLOOKUP('Données projet'!$B$10,Paramètres!$A$1:$I$89,5,0)</f>
        <v>417.75933333333325</v>
      </c>
      <c r="AK91" s="14">
        <f t="shared" si="89"/>
        <v>95.367944253387662</v>
      </c>
      <c r="AL91" s="22">
        <f t="shared" si="58"/>
        <v>893.69667513020556</v>
      </c>
      <c r="AM91" s="62">
        <f t="shared" si="59"/>
        <v>1187.0300084635389</v>
      </c>
      <c r="AN91" s="62">
        <f ca="1">AVERAGE(OFFSET($AM$3,0,0,'Données projet'!$E$10+1,1))-AVERAGE(OFFSET($H$3,0,0,'Données projet'!$E$10+1,1))</f>
        <v>491.47342911047105</v>
      </c>
      <c r="AO91" s="62">
        <f t="shared" si="90"/>
        <v>58.734453933891757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5.2</v>
      </c>
      <c r="BD91" s="13">
        <f>IF('Données projet'!$A$88&gt;35,BD90+BC91-BL90,IF(A91&lt;'Données projet'!$A$88,$BA$205^A91,IF(A91='Données projet'!$A$88,'Données projet'!$B$88,BD90+BC91-BL90)))</f>
        <v>263.59999999999991</v>
      </c>
      <c r="BE91" s="14">
        <f>BD91*VLOOKUP('Données projet'!$B$11,Paramètres!$A$1:$I$89,3,0)*VLOOKUP('Données projet'!$B$11,Paramètres!$A$1:$I$89,5,0)</f>
        <v>222.05663999999996</v>
      </c>
      <c r="BF91" s="14">
        <f t="shared" si="91"/>
        <v>54.561643903321311</v>
      </c>
      <c r="BG91" s="22">
        <f t="shared" si="61"/>
        <v>481.77684446495124</v>
      </c>
      <c r="BH91" s="62">
        <f t="shared" si="62"/>
        <v>775.11017779828455</v>
      </c>
      <c r="BI91" s="62">
        <f ca="1">AVERAGE(OFFSET($BH$3,0,0,'Données projet'!$E$11+1,1))-AVERAGE(OFFSET($H$3,0,0,'Données projet'!$E$11+1,1))</f>
        <v>278.21934231434597</v>
      </c>
      <c r="BJ91" s="62">
        <f t="shared" si="92"/>
        <v>143.57726487417773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3.4106051316484809E-13</v>
      </c>
      <c r="BZ91" s="14">
        <f>BY91*VLOOKUP('Données projet'!$B$12,Paramètres!$A$1:$I$89,3,0)*VLOOKUP('Données projet'!$B$12,Paramètres!$A$1:$I$89,5,0)</f>
        <v>2.7134774427395314E-13</v>
      </c>
      <c r="CA91" s="14">
        <f t="shared" si="93"/>
        <v>3.6292411711343559E-12</v>
      </c>
      <c r="CB91" s="22">
        <f t="shared" si="64"/>
        <v>6.7935256943361388E-12</v>
      </c>
      <c r="CC91" s="62">
        <f t="shared" si="65"/>
        <v>293.33333333334014</v>
      </c>
      <c r="CD91" s="62">
        <f ca="1">AVERAGE(OFFSET($CC$3,0,0,'Données projet'!$E$12+1,1))-AVERAGE(OFFSET($H$3,0,0,'Données projet'!$E$12+1,1))</f>
        <v>237.4598967324826</v>
      </c>
      <c r="CE91" s="62">
        <f t="shared" si="94"/>
        <v>218.74305466112406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205.33000726169792</v>
      </c>
      <c r="T92" s="62">
        <f t="shared" si="88"/>
        <v>307.23455947678775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25.666666666666668</v>
      </c>
      <c r="AI92" s="14">
        <f>IF('Données projet'!$A$62&gt;35,AI91+AH92-AQ91,IF(A92&lt;'Données projet'!$A$62,$AF$205^A92,IF(A92='Données projet'!$A$62,'Données projet'!$B$62,AI91+AH92-AQ91)))</f>
        <v>871.33333333333303</v>
      </c>
      <c r="AJ92" s="14">
        <f>AI92*VLOOKUP('Données projet'!$B$10,Paramètres!$A$1:$I$89,3,0)*VLOOKUP('Données projet'!$B$10,Paramètres!$A$1:$I$89,5,0)</f>
        <v>430.43866666666656</v>
      </c>
      <c r="AK92" s="14">
        <f t="shared" si="89"/>
        <v>97.921051778920059</v>
      </c>
      <c r="AL92" s="22">
        <f t="shared" si="58"/>
        <v>920.22650962606338</v>
      </c>
      <c r="AM92" s="62">
        <f t="shared" si="59"/>
        <v>1213.5598429593967</v>
      </c>
      <c r="AN92" s="62">
        <f ca="1">AVERAGE(OFFSET($AM$3,0,0,'Données projet'!$E$10+1,1))-AVERAGE(OFFSET($H$3,0,0,'Données projet'!$E$10+1,1))</f>
        <v>491.47342911047105</v>
      </c>
      <c r="AO92" s="62">
        <f t="shared" si="90"/>
        <v>58.734453933891757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5.2</v>
      </c>
      <c r="BD92" s="13">
        <f>IF('Données projet'!$A$88&gt;35,BD91+BC92-BL91,IF(A92&lt;'Données projet'!$A$88,$BA$205^A92,IF(A92='Données projet'!$A$88,'Données projet'!$B$88,BD91+BC92-BL91)))</f>
        <v>268.7999999999999</v>
      </c>
      <c r="BE92" s="14">
        <f>BD92*VLOOKUP('Données projet'!$B$11,Paramètres!$A$1:$I$89,3,0)*VLOOKUP('Données projet'!$B$11,Paramètres!$A$1:$I$89,5,0)</f>
        <v>226.43711999999994</v>
      </c>
      <c r="BF92" s="14">
        <f t="shared" si="91"/>
        <v>55.5116049933753</v>
      </c>
      <c r="BG92" s="22">
        <f t="shared" si="61"/>
        <v>491.06069603012844</v>
      </c>
      <c r="BH92" s="62">
        <f t="shared" si="62"/>
        <v>784.39402936346175</v>
      </c>
      <c r="BI92" s="62">
        <f ca="1">AVERAGE(OFFSET($BH$3,0,0,'Données projet'!$E$11+1,1))-AVERAGE(OFFSET($H$3,0,0,'Données projet'!$E$11+1,1))</f>
        <v>278.21934231434597</v>
      </c>
      <c r="BJ92" s="62">
        <f t="shared" si="92"/>
        <v>143.57726487417773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3.4106051316484809E-13</v>
      </c>
      <c r="BZ92" s="14">
        <f>BY92*VLOOKUP('Données projet'!$B$12,Paramètres!$A$1:$I$89,3,0)*VLOOKUP('Données projet'!$B$12,Paramètres!$A$1:$I$89,5,0)</f>
        <v>2.7134774427395314E-13</v>
      </c>
      <c r="CA92" s="14">
        <f t="shared" si="93"/>
        <v>3.6292411711343559E-12</v>
      </c>
      <c r="CB92" s="22">
        <f t="shared" si="64"/>
        <v>6.7935256943361388E-12</v>
      </c>
      <c r="CC92" s="62">
        <f t="shared" si="65"/>
        <v>293.33333333334014</v>
      </c>
      <c r="CD92" s="62">
        <f ca="1">AVERAGE(OFFSET($CC$3,0,0,'Données projet'!$E$12+1,1))-AVERAGE(OFFSET($H$3,0,0,'Données projet'!$E$12+1,1))</f>
        <v>237.4598967324826</v>
      </c>
      <c r="CE92" s="62">
        <f t="shared" si="94"/>
        <v>218.74305466112406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205.33000726169792</v>
      </c>
      <c r="T93" s="62">
        <f t="shared" si="88"/>
        <v>307.23455947678775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897</v>
      </c>
      <c r="AG93" s="13">
        <f>VLOOKUP(A93,'Données projet'!$A$61:$I$81,9,0)</f>
        <v>25.666666666666668</v>
      </c>
      <c r="AH93" s="13">
        <f t="array" ref="AH93">INDEX(AG:AG,MIN(IF(ISNUMBER(AG93:AG289),ROW(AG93:AG289),"")))</f>
        <v>25.666666666666668</v>
      </c>
      <c r="AI93" s="14">
        <f>IF('Données projet'!$A$62&gt;35,AI92+AH93-AQ92,IF(A93&lt;'Données projet'!$A$62,$AF$205^A93,IF(A93='Données projet'!$A$62,'Données projet'!$B$62,AI92+AH93-AQ92)))</f>
        <v>896.99999999999966</v>
      </c>
      <c r="AJ93" s="14">
        <f>AI93*VLOOKUP('Données projet'!$B$10,Paramètres!$A$1:$I$89,3,0)*VLOOKUP('Données projet'!$B$10,Paramètres!$A$1:$I$89,5,0)</f>
        <v>443.11799999999988</v>
      </c>
      <c r="AK93" s="14">
        <f t="shared" si="89"/>
        <v>100.46541894567694</v>
      </c>
      <c r="AL93" s="22">
        <f t="shared" si="58"/>
        <v>946.74112133038716</v>
      </c>
      <c r="AM93" s="62">
        <f t="shared" si="59"/>
        <v>1240.0744546637204</v>
      </c>
      <c r="AN93" s="62">
        <f ca="1">AVERAGE(OFFSET($AM$3,0,0,'Données projet'!$E$10+1,1))-AVERAGE(OFFSET($H$3,0,0,'Données projet'!$E$10+1,1))</f>
        <v>491.47342911047105</v>
      </c>
      <c r="AO93" s="62">
        <f t="shared" si="90"/>
        <v>58.734453933891757</v>
      </c>
      <c r="AP93" s="16">
        <f>IF(ISNA(VLOOKUP(A93,'Données projet'!$A$61:$I$81,3,0)),0,VLOOKUP(A93,'Données projet'!$A$61:$I$81,3,0))</f>
        <v>3</v>
      </c>
      <c r="AQ93" s="16">
        <f>IF(ISNA(VLOOKUP(A93,'Données projet'!$A$61:$I$81,4,0)),0,VLOOKUP(A93,'Données projet'!$A$61:$I$81,4,0))</f>
        <v>232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5.2</v>
      </c>
      <c r="BD93" s="13">
        <f>IF('Données projet'!$A$88&gt;35,BD92+BC93-BL92,IF(A93&lt;'Données projet'!$A$88,$BA$205^A93,IF(A93='Données projet'!$A$88,'Données projet'!$B$88,BD92+BC93-BL92)))</f>
        <v>273.99999999999989</v>
      </c>
      <c r="BE93" s="14">
        <f>BD93*VLOOKUP('Données projet'!$B$11,Paramètres!$A$1:$I$89,3,0)*VLOOKUP('Données projet'!$B$11,Paramètres!$A$1:$I$89,5,0)</f>
        <v>230.81759999999994</v>
      </c>
      <c r="BF93" s="14">
        <f t="shared" si="91"/>
        <v>56.459429240325889</v>
      </c>
      <c r="BG93" s="22">
        <f t="shared" si="61"/>
        <v>500.34082592690078</v>
      </c>
      <c r="BH93" s="62">
        <f t="shared" si="62"/>
        <v>793.67415926023409</v>
      </c>
      <c r="BI93" s="62">
        <f ca="1">AVERAGE(OFFSET($BH$3,0,0,'Données projet'!$E$11+1,1))-AVERAGE(OFFSET($H$3,0,0,'Données projet'!$E$11+1,1))</f>
        <v>278.21934231434597</v>
      </c>
      <c r="BJ93" s="62">
        <f t="shared" si="92"/>
        <v>143.57726487417773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3.4106051316484809E-13</v>
      </c>
      <c r="BZ93" s="14">
        <f>BY93*VLOOKUP('Données projet'!$B$12,Paramètres!$A$1:$I$89,3,0)*VLOOKUP('Données projet'!$B$12,Paramètres!$A$1:$I$89,5,0)</f>
        <v>2.7134774427395314E-13</v>
      </c>
      <c r="CA93" s="14">
        <f t="shared" si="93"/>
        <v>3.6292411711343559E-12</v>
      </c>
      <c r="CB93" s="22">
        <f t="shared" si="64"/>
        <v>6.7935256943361388E-12</v>
      </c>
      <c r="CC93" s="62">
        <f t="shared" si="65"/>
        <v>293.33333333334014</v>
      </c>
      <c r="CD93" s="62">
        <f ca="1">AVERAGE(OFFSET($CC$3,0,0,'Données projet'!$E$12+1,1))-AVERAGE(OFFSET($H$3,0,0,'Données projet'!$E$12+1,1))</f>
        <v>237.4598967324826</v>
      </c>
      <c r="CE93" s="62">
        <f t="shared" si="94"/>
        <v>218.74305466112406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205.33000726169792</v>
      </c>
      <c r="T94" s="62">
        <f t="shared" si="88"/>
        <v>307.23455947678775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18</v>
      </c>
      <c r="AI94" s="14">
        <f>IF('Données projet'!$A$62&gt;35,AI93+AH94-AQ93,IF(A94&lt;'Données projet'!$A$62,$AF$205^A94,IF(A94='Données projet'!$A$62,'Données projet'!$B$62,AI93+AH94-AQ93)))</f>
        <v>682.99999999999966</v>
      </c>
      <c r="AJ94" s="14">
        <f>AI94*VLOOKUP('Données projet'!$B$10,Paramètres!$A$1:$I$89,3,0)*VLOOKUP('Données projet'!$B$10,Paramètres!$A$1:$I$89,5,0)</f>
        <v>337.40199999999982</v>
      </c>
      <c r="AK94" s="14">
        <f t="shared" si="89"/>
        <v>78.962943783965144</v>
      </c>
      <c r="AL94" s="22">
        <f t="shared" si="58"/>
        <v>725.16894375707227</v>
      </c>
      <c r="AM94" s="62">
        <f t="shared" si="59"/>
        <v>1018.5022770904056</v>
      </c>
      <c r="AN94" s="62">
        <f ca="1">AVERAGE(OFFSET($AM$3,0,0,'Données projet'!$E$10+1,1))-AVERAGE(OFFSET($H$3,0,0,'Données projet'!$E$10+1,1))</f>
        <v>491.47342911047105</v>
      </c>
      <c r="AO94" s="62">
        <f t="shared" si="90"/>
        <v>58.734453933891757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5.2</v>
      </c>
      <c r="BD94" s="13">
        <f>IF('Données projet'!$A$88&gt;35,BD93+BC94-BL93,IF(A94&lt;'Données projet'!$A$88,$BA$205^A94,IF(A94='Données projet'!$A$88,'Données projet'!$B$88,BD93+BC94-BL93)))</f>
        <v>279.19999999999987</v>
      </c>
      <c r="BE94" s="14">
        <f>BD94*VLOOKUP('Données projet'!$B$11,Paramètres!$A$1:$I$89,3,0)*VLOOKUP('Données projet'!$B$11,Paramètres!$A$1:$I$89,5,0)</f>
        <v>235.19807999999992</v>
      </c>
      <c r="BF94" s="14">
        <f t="shared" si="91"/>
        <v>57.40516187330315</v>
      </c>
      <c r="BG94" s="22">
        <f t="shared" si="61"/>
        <v>509.61731292933626</v>
      </c>
      <c r="BH94" s="62">
        <f t="shared" si="62"/>
        <v>802.95064626266958</v>
      </c>
      <c r="BI94" s="62">
        <f ca="1">AVERAGE(OFFSET($BH$3,0,0,'Données projet'!$E$11+1,1))-AVERAGE(OFFSET($H$3,0,0,'Données projet'!$E$11+1,1))</f>
        <v>278.21934231434597</v>
      </c>
      <c r="BJ94" s="62">
        <f t="shared" si="92"/>
        <v>143.57726487417773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3.4106051316484809E-13</v>
      </c>
      <c r="BZ94" s="14">
        <f>BY94*VLOOKUP('Données projet'!$B$12,Paramètres!$A$1:$I$89,3,0)*VLOOKUP('Données projet'!$B$12,Paramètres!$A$1:$I$89,5,0)</f>
        <v>2.7134774427395314E-13</v>
      </c>
      <c r="CA94" s="14">
        <f t="shared" si="93"/>
        <v>3.6292411711343559E-12</v>
      </c>
      <c r="CB94" s="22">
        <f t="shared" si="64"/>
        <v>6.7935256943361388E-12</v>
      </c>
      <c r="CC94" s="62">
        <f t="shared" si="65"/>
        <v>293.33333333334014</v>
      </c>
      <c r="CD94" s="62">
        <f ca="1">AVERAGE(OFFSET($CC$3,0,0,'Données projet'!$E$12+1,1))-AVERAGE(OFFSET($H$3,0,0,'Données projet'!$E$12+1,1))</f>
        <v>237.4598967324826</v>
      </c>
      <c r="CE94" s="62">
        <f t="shared" si="94"/>
        <v>218.74305466112406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205.33000726169792</v>
      </c>
      <c r="T95" s="62">
        <f t="shared" si="88"/>
        <v>307.23455947678775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18</v>
      </c>
      <c r="AI95" s="14">
        <f>IF('Données projet'!$A$62&gt;35,AI94+AH95-AQ94,IF(A95&lt;'Données projet'!$A$62,$AF$205^A95,IF(A95='Données projet'!$A$62,'Données projet'!$B$62,AI94+AH95-AQ94)))</f>
        <v>700.99999999999966</v>
      </c>
      <c r="AJ95" s="14">
        <f>AI95*VLOOKUP('Données projet'!$B$10,Paramètres!$A$1:$I$89,3,0)*VLOOKUP('Données projet'!$B$10,Paramètres!$A$1:$I$89,5,0)</f>
        <v>346.29399999999987</v>
      </c>
      <c r="AK95" s="14">
        <f t="shared" si="89"/>
        <v>80.798935219391822</v>
      </c>
      <c r="AL95" s="22">
        <f t="shared" si="58"/>
        <v>743.8535288404405</v>
      </c>
      <c r="AM95" s="62">
        <f t="shared" si="59"/>
        <v>1037.1868621737738</v>
      </c>
      <c r="AN95" s="62">
        <f ca="1">AVERAGE(OFFSET($AM$3,0,0,'Données projet'!$E$10+1,1))-AVERAGE(OFFSET($H$3,0,0,'Données projet'!$E$10+1,1))</f>
        <v>491.47342911047105</v>
      </c>
      <c r="AO95" s="62">
        <f t="shared" si="90"/>
        <v>58.734453933891757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5.2</v>
      </c>
      <c r="BD95" s="13">
        <f>IF('Données projet'!$A$88&gt;35,BD94+BC95-BL94,IF(A95&lt;'Données projet'!$A$88,$BA$205^A95,IF(A95='Données projet'!$A$88,'Données projet'!$B$88,BD94+BC95-BL94)))</f>
        <v>284.39999999999986</v>
      </c>
      <c r="BE95" s="14">
        <f>BD95*VLOOKUP('Données projet'!$B$11,Paramètres!$A$1:$I$89,3,0)*VLOOKUP('Données projet'!$B$11,Paramètres!$A$1:$I$89,5,0)</f>
        <v>239.5785599999999</v>
      </c>
      <c r="BF95" s="14">
        <f t="shared" si="91"/>
        <v>58.348846340254774</v>
      </c>
      <c r="BG95" s="22">
        <f t="shared" si="61"/>
        <v>518.89023270927692</v>
      </c>
      <c r="BH95" s="62">
        <f t="shared" si="62"/>
        <v>812.22356604261017</v>
      </c>
      <c r="BI95" s="62">
        <f ca="1">AVERAGE(OFFSET($BH$3,0,0,'Données projet'!$E$11+1,1))-AVERAGE(OFFSET($H$3,0,0,'Données projet'!$E$11+1,1))</f>
        <v>278.21934231434597</v>
      </c>
      <c r="BJ95" s="62">
        <f t="shared" si="92"/>
        <v>143.57726487417773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3.4106051316484809E-13</v>
      </c>
      <c r="BZ95" s="14">
        <f>BY95*VLOOKUP('Données projet'!$B$12,Paramètres!$A$1:$I$89,3,0)*VLOOKUP('Données projet'!$B$12,Paramètres!$A$1:$I$89,5,0)</f>
        <v>2.7134774427395314E-13</v>
      </c>
      <c r="CA95" s="14">
        <f t="shared" si="93"/>
        <v>3.6292411711343559E-12</v>
      </c>
      <c r="CB95" s="22">
        <f t="shared" si="64"/>
        <v>6.7935256943361388E-12</v>
      </c>
      <c r="CC95" s="62">
        <f t="shared" si="65"/>
        <v>293.33333333334014</v>
      </c>
      <c r="CD95" s="62">
        <f ca="1">AVERAGE(OFFSET($CC$3,0,0,'Données projet'!$E$12+1,1))-AVERAGE(OFFSET($H$3,0,0,'Données projet'!$E$12+1,1))</f>
        <v>237.4598967324826</v>
      </c>
      <c r="CE95" s="62">
        <f t="shared" si="94"/>
        <v>218.74305466112406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205.33000726169792</v>
      </c>
      <c r="T96" s="62">
        <f t="shared" si="88"/>
        <v>307.23455947678775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18</v>
      </c>
      <c r="AI96" s="14">
        <f>IF('Données projet'!$A$62&gt;35,AI95+AH96-AQ95,IF(A96&lt;'Données projet'!$A$62,$AF$205^A96,IF(A96='Données projet'!$A$62,'Données projet'!$B$62,AI95+AH96-AQ95)))</f>
        <v>718.99999999999966</v>
      </c>
      <c r="AJ96" s="14">
        <f>AI96*VLOOKUP('Données projet'!$B$10,Paramètres!$A$1:$I$89,3,0)*VLOOKUP('Données projet'!$B$10,Paramètres!$A$1:$I$89,5,0)</f>
        <v>355.18599999999981</v>
      </c>
      <c r="AK96" s="14">
        <f t="shared" si="89"/>
        <v>82.629446665749015</v>
      </c>
      <c r="AL96" s="22">
        <f t="shared" si="58"/>
        <v>762.52856960951249</v>
      </c>
      <c r="AM96" s="62">
        <f t="shared" si="59"/>
        <v>1055.8619029428457</v>
      </c>
      <c r="AN96" s="62">
        <f ca="1">AVERAGE(OFFSET($AM$3,0,0,'Données projet'!$E$10+1,1))-AVERAGE(OFFSET($H$3,0,0,'Données projet'!$E$10+1,1))</f>
        <v>491.47342911047105</v>
      </c>
      <c r="AO96" s="62">
        <f t="shared" si="90"/>
        <v>58.734453933891757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5.2</v>
      </c>
      <c r="BD96" s="13">
        <f>IF('Données projet'!$A$88&gt;35,BD95+BC96-BL95,IF(A96&lt;'Données projet'!$A$88,$BA$205^A96,IF(A96='Données projet'!$A$88,'Données projet'!$B$88,BD95+BC96-BL95)))</f>
        <v>289.59999999999985</v>
      </c>
      <c r="BE96" s="14">
        <f>BD96*VLOOKUP('Données projet'!$B$11,Paramètres!$A$1:$I$89,3,0)*VLOOKUP('Données projet'!$B$11,Paramètres!$A$1:$I$89,5,0)</f>
        <v>243.9590399999999</v>
      </c>
      <c r="BF96" s="14">
        <f t="shared" si="91"/>
        <v>59.290524409353097</v>
      </c>
      <c r="BG96" s="22">
        <f t="shared" si="61"/>
        <v>528.15965801295647</v>
      </c>
      <c r="BH96" s="62">
        <f t="shared" si="62"/>
        <v>821.49299134628973</v>
      </c>
      <c r="BI96" s="62">
        <f ca="1">AVERAGE(OFFSET($BH$3,0,0,'Données projet'!$E$11+1,1))-AVERAGE(OFFSET($H$3,0,0,'Données projet'!$E$11+1,1))</f>
        <v>278.21934231434597</v>
      </c>
      <c r="BJ96" s="62">
        <f t="shared" si="92"/>
        <v>143.57726487417773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3.4106051316484809E-13</v>
      </c>
      <c r="BZ96" s="14">
        <f>BY96*VLOOKUP('Données projet'!$B$12,Paramètres!$A$1:$I$89,3,0)*VLOOKUP('Données projet'!$B$12,Paramètres!$A$1:$I$89,5,0)</f>
        <v>2.7134774427395314E-13</v>
      </c>
      <c r="CA96" s="14">
        <f t="shared" si="93"/>
        <v>3.6292411711343559E-12</v>
      </c>
      <c r="CB96" s="22">
        <f t="shared" si="64"/>
        <v>6.7935256943361388E-12</v>
      </c>
      <c r="CC96" s="62">
        <f t="shared" si="65"/>
        <v>293.33333333334014</v>
      </c>
      <c r="CD96" s="62">
        <f ca="1">AVERAGE(OFFSET($CC$3,0,0,'Données projet'!$E$12+1,1))-AVERAGE(OFFSET($H$3,0,0,'Données projet'!$E$12+1,1))</f>
        <v>237.4598967324826</v>
      </c>
      <c r="CE96" s="62">
        <f t="shared" si="94"/>
        <v>218.74305466112406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205.33000726169792</v>
      </c>
      <c r="T97" s="62">
        <f t="shared" si="88"/>
        <v>307.23455947678775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18</v>
      </c>
      <c r="AI97" s="14">
        <f>IF('Données projet'!$A$62&gt;35,AI96+AH97-AQ96,IF(A97&lt;'Données projet'!$A$62,$AF$205^A97,IF(A97='Données projet'!$A$62,'Données projet'!$B$62,AI96+AH97-AQ96)))</f>
        <v>736.99999999999966</v>
      </c>
      <c r="AJ97" s="14">
        <f>AI97*VLOOKUP('Données projet'!$B$10,Paramètres!$A$1:$I$89,3,0)*VLOOKUP('Données projet'!$B$10,Paramètres!$A$1:$I$89,5,0)</f>
        <v>364.07799999999986</v>
      </c>
      <c r="AK97" s="14">
        <f t="shared" si="89"/>
        <v>84.454631091638305</v>
      </c>
      <c r="AL97" s="22">
        <f t="shared" si="58"/>
        <v>781.19433248460302</v>
      </c>
      <c r="AM97" s="62">
        <f t="shared" si="59"/>
        <v>1074.5276658179364</v>
      </c>
      <c r="AN97" s="62">
        <f ca="1">AVERAGE(OFFSET($AM$3,0,0,'Données projet'!$E$10+1,1))-AVERAGE(OFFSET($H$3,0,0,'Données projet'!$E$10+1,1))</f>
        <v>491.47342911047105</v>
      </c>
      <c r="AO97" s="62">
        <f t="shared" si="90"/>
        <v>58.734453933891757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5.2</v>
      </c>
      <c r="BD97" s="13">
        <f>IF('Données projet'!$A$88&gt;35,BD96+BC97-BL96,IF(A97&lt;'Données projet'!$A$88,$BA$205^A97,IF(A97='Données projet'!$A$88,'Données projet'!$B$88,BD96+BC97-BL96)))</f>
        <v>294.79999999999984</v>
      </c>
      <c r="BE97" s="14">
        <f>BD97*VLOOKUP('Données projet'!$B$11,Paramètres!$A$1:$I$89,3,0)*VLOOKUP('Données projet'!$B$11,Paramètres!$A$1:$I$89,5,0)</f>
        <v>248.33951999999988</v>
      </c>
      <c r="BF97" s="14">
        <f t="shared" si="91"/>
        <v>60.230236262913245</v>
      </c>
      <c r="BG97" s="22">
        <f t="shared" si="61"/>
        <v>537.42565882457359</v>
      </c>
      <c r="BH97" s="62">
        <f t="shared" si="62"/>
        <v>830.75899215790696</v>
      </c>
      <c r="BI97" s="62">
        <f ca="1">AVERAGE(OFFSET($BH$3,0,0,'Données projet'!$E$11+1,1))-AVERAGE(OFFSET($H$3,0,0,'Données projet'!$E$11+1,1))</f>
        <v>278.21934231434597</v>
      </c>
      <c r="BJ97" s="62">
        <f t="shared" si="92"/>
        <v>143.57726487417773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3.4106051316484809E-13</v>
      </c>
      <c r="BZ97" s="14">
        <f>BY97*VLOOKUP('Données projet'!$B$12,Paramètres!$A$1:$I$89,3,0)*VLOOKUP('Données projet'!$B$12,Paramètres!$A$1:$I$89,5,0)</f>
        <v>2.7134774427395314E-13</v>
      </c>
      <c r="CA97" s="14">
        <f t="shared" si="93"/>
        <v>3.6292411711343559E-12</v>
      </c>
      <c r="CB97" s="22">
        <f t="shared" si="64"/>
        <v>6.7935256943361388E-12</v>
      </c>
      <c r="CC97" s="62">
        <f t="shared" si="65"/>
        <v>293.33333333334014</v>
      </c>
      <c r="CD97" s="62">
        <f ca="1">AVERAGE(OFFSET($CC$3,0,0,'Données projet'!$E$12+1,1))-AVERAGE(OFFSET($H$3,0,0,'Données projet'!$E$12+1,1))</f>
        <v>237.4598967324826</v>
      </c>
      <c r="CE97" s="62">
        <f t="shared" si="94"/>
        <v>218.74305466112406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205.33000726169792</v>
      </c>
      <c r="T98" s="62">
        <f t="shared" si="88"/>
        <v>307.23455947678775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18</v>
      </c>
      <c r="AI98" s="14">
        <f>IF('Données projet'!$A$62&gt;35,AI97+AH98-AQ97,IF(A98&lt;'Données projet'!$A$62,$AF$205^A98,IF(A98='Données projet'!$A$62,'Données projet'!$B$62,AI97+AH98-AQ97)))</f>
        <v>754.99999999999966</v>
      </c>
      <c r="AJ98" s="14">
        <f>AI98*VLOOKUP('Données projet'!$B$10,Paramètres!$A$1:$I$89,3,0)*VLOOKUP('Données projet'!$B$10,Paramètres!$A$1:$I$89,5,0)</f>
        <v>372.96999999999986</v>
      </c>
      <c r="AK98" s="14">
        <f t="shared" si="89"/>
        <v>86.274633567645495</v>
      </c>
      <c r="AL98" s="22">
        <f t="shared" si="58"/>
        <v>799.85107013031563</v>
      </c>
      <c r="AM98" s="62">
        <f t="shared" si="59"/>
        <v>1093.184403463649</v>
      </c>
      <c r="AN98" s="62">
        <f ca="1">AVERAGE(OFFSET($AM$3,0,0,'Données projet'!$E$10+1,1))-AVERAGE(OFFSET($H$3,0,0,'Données projet'!$E$10+1,1))</f>
        <v>491.47342911047105</v>
      </c>
      <c r="AO98" s="62">
        <f t="shared" si="90"/>
        <v>58.734453933891757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300</v>
      </c>
      <c r="BB98" s="13">
        <f>VLOOKUP(A98,'Données projet'!$A$87:$I$107,9,0)</f>
        <v>5.2</v>
      </c>
      <c r="BC98" s="13">
        <f t="array" ref="BC98">INDEX(BB:BB,MIN(IF(ISNUMBER(BB98:BB294),ROW(BB98:BB294),"")))</f>
        <v>5.2</v>
      </c>
      <c r="BD98" s="13">
        <f>IF('Données projet'!$A$88&gt;35,BD97+BC98-BL97,IF(A98&lt;'Données projet'!$A$88,$BA$205^A98,IF(A98='Données projet'!$A$88,'Données projet'!$B$88,BD97+BC98-BL97)))</f>
        <v>299.99999999999983</v>
      </c>
      <c r="BE98" s="14">
        <f>BD98*VLOOKUP('Données projet'!$B$11,Paramètres!$A$1:$I$89,3,0)*VLOOKUP('Données projet'!$B$11,Paramètres!$A$1:$I$89,5,0)</f>
        <v>252.71999999999989</v>
      </c>
      <c r="BF98" s="14">
        <f t="shared" si="91"/>
        <v>61.168020584496766</v>
      </c>
      <c r="BG98" s="22">
        <f t="shared" si="61"/>
        <v>546.6883025179983</v>
      </c>
      <c r="BH98" s="62">
        <f t="shared" si="62"/>
        <v>840.02163585133167</v>
      </c>
      <c r="BI98" s="62">
        <f ca="1">AVERAGE(OFFSET($BH$3,0,0,'Données projet'!$E$11+1,1))-AVERAGE(OFFSET($H$3,0,0,'Données projet'!$E$11+1,1))</f>
        <v>278.21934231434597</v>
      </c>
      <c r="BJ98" s="62">
        <f t="shared" si="92"/>
        <v>143.57726487417773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42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3.4106051316484809E-13</v>
      </c>
      <c r="BZ98" s="14">
        <f>BY98*VLOOKUP('Données projet'!$B$12,Paramètres!$A$1:$I$89,3,0)*VLOOKUP('Données projet'!$B$12,Paramètres!$A$1:$I$89,5,0)</f>
        <v>2.7134774427395314E-13</v>
      </c>
      <c r="CA98" s="14">
        <f t="shared" si="93"/>
        <v>3.6292411711343559E-12</v>
      </c>
      <c r="CB98" s="22">
        <f t="shared" si="64"/>
        <v>6.7935256943361388E-12</v>
      </c>
      <c r="CC98" s="62">
        <f t="shared" si="65"/>
        <v>293.33333333334014</v>
      </c>
      <c r="CD98" s="62">
        <f ca="1">AVERAGE(OFFSET($CC$3,0,0,'Données projet'!$E$12+1,1))-AVERAGE(OFFSET($H$3,0,0,'Données projet'!$E$12+1,1))</f>
        <v>237.4598967324826</v>
      </c>
      <c r="CE98" s="62">
        <f t="shared" si="94"/>
        <v>218.74305466112406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205.33000726169792</v>
      </c>
      <c r="T99" s="62">
        <f t="shared" si="88"/>
        <v>307.23455947678775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18</v>
      </c>
      <c r="AI99" s="14">
        <f>IF('Données projet'!$A$62&gt;35,AI98+AH99-AQ98,IF(A99&lt;'Données projet'!$A$62,$AF$205^A99,IF(A99='Données projet'!$A$62,'Données projet'!$B$62,AI98+AH99-AQ98)))</f>
        <v>772.99999999999966</v>
      </c>
      <c r="AJ99" s="14">
        <f>AI99*VLOOKUP('Données projet'!$B$10,Paramètres!$A$1:$I$89,3,0)*VLOOKUP('Données projet'!$B$10,Paramètres!$A$1:$I$89,5,0)</f>
        <v>381.86199999999985</v>
      </c>
      <c r="AK99" s="14">
        <f t="shared" si="89"/>
        <v>88.08959185255955</v>
      </c>
      <c r="AL99" s="22">
        <f t="shared" si="58"/>
        <v>818.49902247654097</v>
      </c>
      <c r="AM99" s="62">
        <f t="shared" si="59"/>
        <v>1111.8323558098743</v>
      </c>
      <c r="AN99" s="62">
        <f ca="1">AVERAGE(OFFSET($AM$3,0,0,'Données projet'!$E$10+1,1))-AVERAGE(OFFSET($H$3,0,0,'Données projet'!$E$10+1,1))</f>
        <v>491.47342911047105</v>
      </c>
      <c r="AO99" s="62">
        <f t="shared" si="90"/>
        <v>58.734453933891757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4.7</v>
      </c>
      <c r="BD99" s="13">
        <f>IF('Données projet'!$A$88&gt;35,BD98+BC99-BL98,IF(A99&lt;'Données projet'!$A$88,$BA$205^A99,IF(A99='Données projet'!$A$88,'Données projet'!$B$88,BD98+BC99-BL98)))</f>
        <v>262.69999999999982</v>
      </c>
      <c r="BE99" s="14">
        <f>BD99*VLOOKUP('Données projet'!$B$11,Paramètres!$A$1:$I$89,3,0)*VLOOKUP('Données projet'!$B$11,Paramètres!$A$1:$I$89,5,0)</f>
        <v>221.29847999999987</v>
      </c>
      <c r="BF99" s="14">
        <f t="shared" si="91"/>
        <v>54.397007201397059</v>
      </c>
      <c r="BG99" s="22">
        <f t="shared" si="61"/>
        <v>480.16964020909967</v>
      </c>
      <c r="BH99" s="62">
        <f t="shared" si="62"/>
        <v>773.50297354243298</v>
      </c>
      <c r="BI99" s="62">
        <f ca="1">AVERAGE(OFFSET($BH$3,0,0,'Données projet'!$E$11+1,1))-AVERAGE(OFFSET($H$3,0,0,'Données projet'!$E$11+1,1))</f>
        <v>278.21934231434597</v>
      </c>
      <c r="BJ99" s="62">
        <f t="shared" si="92"/>
        <v>143.57726487417773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3.4106051316484809E-13</v>
      </c>
      <c r="BZ99" s="14">
        <f>BY99*VLOOKUP('Données projet'!$B$12,Paramètres!$A$1:$I$89,3,0)*VLOOKUP('Données projet'!$B$12,Paramètres!$A$1:$I$89,5,0)</f>
        <v>2.7134774427395314E-13</v>
      </c>
      <c r="CA99" s="14">
        <f t="shared" si="93"/>
        <v>3.6292411711343559E-12</v>
      </c>
      <c r="CB99" s="22">
        <f t="shared" si="64"/>
        <v>6.7935256943361388E-12</v>
      </c>
      <c r="CC99" s="62">
        <f t="shared" si="65"/>
        <v>293.33333333334014</v>
      </c>
      <c r="CD99" s="62">
        <f ca="1">AVERAGE(OFFSET($CC$3,0,0,'Données projet'!$E$12+1,1))-AVERAGE(OFFSET($H$3,0,0,'Données projet'!$E$12+1,1))</f>
        <v>237.4598967324826</v>
      </c>
      <c r="CE99" s="62">
        <f t="shared" si="94"/>
        <v>218.74305466112406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205.33000726169792</v>
      </c>
      <c r="T100" s="62">
        <f t="shared" si="88"/>
        <v>307.23455947678775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18</v>
      </c>
      <c r="AI100" s="14">
        <f>IF('Données projet'!$A$62&gt;35,AI99+AH100-AQ99,IF(A100&lt;'Données projet'!$A$62,$AF$205^A100,IF(A100='Données projet'!$A$62,'Données projet'!$B$62,AI99+AH100-AQ99)))</f>
        <v>790.99999999999966</v>
      </c>
      <c r="AJ100" s="14">
        <f>AI100*VLOOKUP('Données projet'!$B$10,Paramètres!$A$1:$I$89,3,0)*VLOOKUP('Données projet'!$B$10,Paramètres!$A$1:$I$89,5,0)</f>
        <v>390.75399999999985</v>
      </c>
      <c r="AK100" s="14">
        <f t="shared" si="89"/>
        <v>89.899636923451169</v>
      </c>
      <c r="AL100" s="22">
        <f t="shared" si="58"/>
        <v>837.13841764167717</v>
      </c>
      <c r="AM100" s="62">
        <f t="shared" si="59"/>
        <v>1130.4717509750105</v>
      </c>
      <c r="AN100" s="62">
        <f ca="1">AVERAGE(OFFSET($AM$3,0,0,'Données projet'!$E$10+1,1))-AVERAGE(OFFSET($H$3,0,0,'Données projet'!$E$10+1,1))</f>
        <v>491.47342911047105</v>
      </c>
      <c r="AO100" s="62">
        <f t="shared" si="90"/>
        <v>58.734453933891757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4.7</v>
      </c>
      <c r="BD100" s="13">
        <f>IF('Données projet'!$A$88&gt;35,BD99+BC100-BL99,IF(A100&lt;'Données projet'!$A$88,$BA$205^A100,IF(A100='Données projet'!$A$88,'Données projet'!$B$88,BD99+BC100-BL99)))</f>
        <v>267.39999999999981</v>
      </c>
      <c r="BE100" s="14">
        <f>BD100*VLOOKUP('Données projet'!$B$11,Paramètres!$A$1:$I$89,3,0)*VLOOKUP('Données projet'!$B$11,Paramètres!$A$1:$I$89,5,0)</f>
        <v>225.25775999999985</v>
      </c>
      <c r="BF100" s="14">
        <f t="shared" si="91"/>
        <v>55.256058371671443</v>
      </c>
      <c r="BG100" s="22">
        <f t="shared" si="61"/>
        <v>488.56156699732747</v>
      </c>
      <c r="BH100" s="62">
        <f t="shared" si="62"/>
        <v>781.89490033066079</v>
      </c>
      <c r="BI100" s="62">
        <f ca="1">AVERAGE(OFFSET($BH$3,0,0,'Données projet'!$E$11+1,1))-AVERAGE(OFFSET($H$3,0,0,'Données projet'!$E$11+1,1))</f>
        <v>278.21934231434597</v>
      </c>
      <c r="BJ100" s="62">
        <f t="shared" si="92"/>
        <v>143.57726487417773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3.4106051316484809E-13</v>
      </c>
      <c r="BZ100" s="14">
        <f>BY100*VLOOKUP('Données projet'!$B$12,Paramètres!$A$1:$I$89,3,0)*VLOOKUP('Données projet'!$B$12,Paramètres!$A$1:$I$89,5,0)</f>
        <v>2.7134774427395314E-13</v>
      </c>
      <c r="CA100" s="14">
        <f t="shared" si="93"/>
        <v>3.6292411711343559E-12</v>
      </c>
      <c r="CB100" s="22">
        <f t="shared" si="64"/>
        <v>6.7935256943361388E-12</v>
      </c>
      <c r="CC100" s="62">
        <f t="shared" si="65"/>
        <v>293.33333333334014</v>
      </c>
      <c r="CD100" s="62">
        <f ca="1">AVERAGE(OFFSET($CC$3,0,0,'Données projet'!$E$12+1,1))-AVERAGE(OFFSET($H$3,0,0,'Données projet'!$E$12+1,1))</f>
        <v>237.4598967324826</v>
      </c>
      <c r="CE100" s="62">
        <f t="shared" si="94"/>
        <v>218.74305466112406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205.33000726169792</v>
      </c>
      <c r="T101" s="62">
        <f t="shared" si="88"/>
        <v>307.23455947678775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18</v>
      </c>
      <c r="AI101" s="14">
        <f>IF('Données projet'!$A$62&gt;35,AI100+AH101-AQ100,IF(A101&lt;'Données projet'!$A$62,$AF$205^A101,IF(A101='Données projet'!$A$62,'Données projet'!$B$62,AI100+AH101-AQ100)))</f>
        <v>808.99999999999966</v>
      </c>
      <c r="AJ101" s="14">
        <f>AI101*VLOOKUP('Données projet'!$B$10,Paramètres!$A$1:$I$89,3,0)*VLOOKUP('Données projet'!$B$10,Paramètres!$A$1:$I$89,5,0)</f>
        <v>399.6459999999999</v>
      </c>
      <c r="AK101" s="14">
        <f t="shared" si="89"/>
        <v>91.704893456140084</v>
      </c>
      <c r="AL101" s="22">
        <f t="shared" si="58"/>
        <v>855.76947276944384</v>
      </c>
      <c r="AM101" s="62">
        <f t="shared" si="59"/>
        <v>1149.1028061027771</v>
      </c>
      <c r="AN101" s="62">
        <f ca="1">AVERAGE(OFFSET($AM$3,0,0,'Données projet'!$E$10+1,1))-AVERAGE(OFFSET($H$3,0,0,'Données projet'!$E$10+1,1))</f>
        <v>491.47342911047105</v>
      </c>
      <c r="AO101" s="62">
        <f t="shared" si="90"/>
        <v>58.734453933891757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4.7</v>
      </c>
      <c r="BD101" s="13">
        <f>IF('Données projet'!$A$88&gt;35,BD100+BC101-BL100,IF(A101&lt;'Données projet'!$A$88,$BA$205^A101,IF(A101='Données projet'!$A$88,'Données projet'!$B$88,BD100+BC101-BL100)))</f>
        <v>272.0999999999998</v>
      </c>
      <c r="BE101" s="14">
        <f>BD101*VLOOKUP('Données projet'!$B$11,Paramètres!$A$1:$I$89,3,0)*VLOOKUP('Données projet'!$B$11,Paramètres!$A$1:$I$89,5,0)</f>
        <v>229.21703999999988</v>
      </c>
      <c r="BF101" s="14">
        <f t="shared" si="91"/>
        <v>56.113353689893408</v>
      </c>
      <c r="BG101" s="22">
        <f t="shared" si="61"/>
        <v>496.95043567656421</v>
      </c>
      <c r="BH101" s="62">
        <f t="shared" si="62"/>
        <v>790.28376900989747</v>
      </c>
      <c r="BI101" s="62">
        <f ca="1">AVERAGE(OFFSET($BH$3,0,0,'Données projet'!$E$11+1,1))-AVERAGE(OFFSET($H$3,0,0,'Données projet'!$E$11+1,1))</f>
        <v>278.21934231434597</v>
      </c>
      <c r="BJ101" s="62">
        <f t="shared" si="92"/>
        <v>143.57726487417773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3.4106051316484809E-13</v>
      </c>
      <c r="BZ101" s="14">
        <f>BY101*VLOOKUP('Données projet'!$B$12,Paramètres!$A$1:$I$89,3,0)*VLOOKUP('Données projet'!$B$12,Paramètres!$A$1:$I$89,5,0)</f>
        <v>2.7134774427395314E-13</v>
      </c>
      <c r="CA101" s="14">
        <f t="shared" si="93"/>
        <v>3.6292411711343559E-12</v>
      </c>
      <c r="CB101" s="22">
        <f t="shared" si="64"/>
        <v>6.7935256943361388E-12</v>
      </c>
      <c r="CC101" s="62">
        <f t="shared" si="65"/>
        <v>293.33333333334014</v>
      </c>
      <c r="CD101" s="62">
        <f ca="1">AVERAGE(OFFSET($CC$3,0,0,'Données projet'!$E$12+1,1))-AVERAGE(OFFSET($H$3,0,0,'Données projet'!$E$12+1,1))</f>
        <v>237.4598967324826</v>
      </c>
      <c r="CE101" s="62">
        <f t="shared" si="94"/>
        <v>218.74305466112406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205.33000726169792</v>
      </c>
      <c r="T102" s="62">
        <f t="shared" si="88"/>
        <v>307.23455947678775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18</v>
      </c>
      <c r="AI102" s="14">
        <f>IF('Données projet'!$A$62&gt;35,AI101+AH102-AQ101,IF(A102&lt;'Données projet'!$A$62,$AF$205^A102,IF(A102='Données projet'!$A$62,'Données projet'!$B$62,AI101+AH102-AQ101)))</f>
        <v>826.99999999999966</v>
      </c>
      <c r="AJ102" s="14">
        <f>AI102*VLOOKUP('Données projet'!$B$10,Paramètres!$A$1:$I$89,3,0)*VLOOKUP('Données projet'!$B$10,Paramètres!$A$1:$I$89,5,0)</f>
        <v>408.53799999999984</v>
      </c>
      <c r="AK102" s="14">
        <f t="shared" si="89"/>
        <v>93.50548026169686</v>
      </c>
      <c r="AL102" s="22">
        <f t="shared" si="58"/>
        <v>874.39239478912168</v>
      </c>
      <c r="AM102" s="62">
        <f t="shared" si="59"/>
        <v>1167.7257281224549</v>
      </c>
      <c r="AN102" s="62">
        <f ca="1">AVERAGE(OFFSET($AM$3,0,0,'Données projet'!$E$10+1,1))-AVERAGE(OFFSET($H$3,0,0,'Données projet'!$E$10+1,1))</f>
        <v>491.47342911047105</v>
      </c>
      <c r="AO102" s="62">
        <f t="shared" si="90"/>
        <v>58.734453933891757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4.7</v>
      </c>
      <c r="BD102" s="13">
        <f>IF('Données projet'!$A$88&gt;35,BD101+BC102-BL101,IF(A102&lt;'Données projet'!$A$88,$BA$205^A102,IF(A102='Données projet'!$A$88,'Données projet'!$B$88,BD101+BC102-BL101)))</f>
        <v>276.79999999999978</v>
      </c>
      <c r="BE102" s="14">
        <f>BD102*VLOOKUP('Données projet'!$B$11,Paramètres!$A$1:$I$89,3,0)*VLOOKUP('Données projet'!$B$11,Paramètres!$A$1:$I$89,5,0)</f>
        <v>233.17631999999983</v>
      </c>
      <c r="BF102" s="14">
        <f t="shared" si="91"/>
        <v>56.968926984666723</v>
      </c>
      <c r="BG102" s="22">
        <f t="shared" si="61"/>
        <v>505.33630516496095</v>
      </c>
      <c r="BH102" s="62">
        <f t="shared" si="62"/>
        <v>798.66963849829426</v>
      </c>
      <c r="BI102" s="62">
        <f ca="1">AVERAGE(OFFSET($BH$3,0,0,'Données projet'!$E$11+1,1))-AVERAGE(OFFSET($H$3,0,0,'Données projet'!$E$11+1,1))</f>
        <v>278.21934231434597</v>
      </c>
      <c r="BJ102" s="62">
        <f t="shared" si="92"/>
        <v>143.57726487417773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3.4106051316484809E-13</v>
      </c>
      <c r="BZ102" s="14">
        <f>BY102*VLOOKUP('Données projet'!$B$12,Paramètres!$A$1:$I$89,3,0)*VLOOKUP('Données projet'!$B$12,Paramètres!$A$1:$I$89,5,0)</f>
        <v>2.7134774427395314E-13</v>
      </c>
      <c r="CA102" s="14">
        <f t="shared" si="93"/>
        <v>3.6292411711343559E-12</v>
      </c>
      <c r="CB102" s="22">
        <f t="shared" si="64"/>
        <v>6.7935256943361388E-12</v>
      </c>
      <c r="CC102" s="62">
        <f t="shared" si="65"/>
        <v>293.33333333334014</v>
      </c>
      <c r="CD102" s="62">
        <f ca="1">AVERAGE(OFFSET($CC$3,0,0,'Données projet'!$E$12+1,1))-AVERAGE(OFFSET($H$3,0,0,'Données projet'!$E$12+1,1))</f>
        <v>237.4598967324826</v>
      </c>
      <c r="CE102" s="62">
        <f t="shared" si="94"/>
        <v>218.74305466112406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205.33000726169792</v>
      </c>
      <c r="T103" s="62">
        <f t="shared" si="88"/>
        <v>307.23455947678775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18</v>
      </c>
      <c r="AI103" s="14">
        <f>IF('Données projet'!$A$62&gt;35,AI102+AH103-AQ102,IF(A103&lt;'Données projet'!$A$62,$AF$205^A103,IF(A103='Données projet'!$A$62,'Données projet'!$B$62,AI102+AH103-AQ102)))</f>
        <v>844.99999999999966</v>
      </c>
      <c r="AJ103" s="14">
        <f>AI103*VLOOKUP('Données projet'!$B$10,Paramètres!$A$1:$I$89,3,0)*VLOOKUP('Données projet'!$B$10,Paramètres!$A$1:$I$89,5,0)</f>
        <v>417.42999999999984</v>
      </c>
      <c r="AK103" s="14">
        <f t="shared" si="89"/>
        <v>95.301510683869935</v>
      </c>
      <c r="AL103" s="22">
        <f t="shared" si="58"/>
        <v>893.00738110773989</v>
      </c>
      <c r="AM103" s="62">
        <f t="shared" si="59"/>
        <v>1186.3407144410733</v>
      </c>
      <c r="AN103" s="62">
        <f ca="1">AVERAGE(OFFSET($AM$3,0,0,'Données projet'!$E$10+1,1))-AVERAGE(OFFSET($H$3,0,0,'Données projet'!$E$10+1,1))</f>
        <v>491.47342911047105</v>
      </c>
      <c r="AO103" s="62">
        <f t="shared" si="90"/>
        <v>58.734453933891757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4.7</v>
      </c>
      <c r="BD103" s="13">
        <f>IF('Données projet'!$A$88&gt;35,BD102+BC103-BL102,IF(A103&lt;'Données projet'!$A$88,$BA$205^A103,IF(A103='Données projet'!$A$88,'Données projet'!$B$88,BD102+BC103-BL102)))</f>
        <v>281.49999999999977</v>
      </c>
      <c r="BE103" s="14">
        <f>BD103*VLOOKUP('Données projet'!$B$11,Paramètres!$A$1:$I$89,3,0)*VLOOKUP('Données projet'!$B$11,Paramètres!$A$1:$I$89,5,0)</f>
        <v>237.13559999999981</v>
      </c>
      <c r="BF103" s="14">
        <f t="shared" si="91"/>
        <v>57.822810869957614</v>
      </c>
      <c r="BG103" s="22">
        <f t="shared" si="61"/>
        <v>513.71923226517583</v>
      </c>
      <c r="BH103" s="62">
        <f t="shared" si="62"/>
        <v>807.05256559850909</v>
      </c>
      <c r="BI103" s="62">
        <f ca="1">AVERAGE(OFFSET($BH$3,0,0,'Données projet'!$E$11+1,1))-AVERAGE(OFFSET($H$3,0,0,'Données projet'!$E$11+1,1))</f>
        <v>278.21934231434597</v>
      </c>
      <c r="BJ103" s="62">
        <f t="shared" si="92"/>
        <v>143.57726487417773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3.4106051316484809E-13</v>
      </c>
      <c r="BZ103" s="14">
        <f>BY103*VLOOKUP('Données projet'!$B$12,Paramètres!$A$1:$I$89,3,0)*VLOOKUP('Données projet'!$B$12,Paramètres!$A$1:$I$89,5,0)</f>
        <v>2.7134774427395314E-13</v>
      </c>
      <c r="CA103" s="14">
        <f t="shared" si="93"/>
        <v>3.6292411711343559E-12</v>
      </c>
      <c r="CB103" s="22">
        <f t="shared" si="64"/>
        <v>6.7935256943361388E-12</v>
      </c>
      <c r="CC103" s="62">
        <f t="shared" si="65"/>
        <v>293.33333333334014</v>
      </c>
      <c r="CD103" s="62">
        <f ca="1">AVERAGE(OFFSET($CC$3,0,0,'Données projet'!$E$12+1,1))-AVERAGE(OFFSET($H$3,0,0,'Données projet'!$E$12+1,1))</f>
        <v>237.4598967324826</v>
      </c>
      <c r="CE103" s="62">
        <f t="shared" si="94"/>
        <v>218.74305466112406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205.33000726169792</v>
      </c>
      <c r="T104" s="62">
        <f t="shared" si="88"/>
        <v>307.23455947678775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18</v>
      </c>
      <c r="AI104" s="14">
        <f>IF('Données projet'!$A$62&gt;35,AI103+AH104-AQ103,IF(A104&lt;'Données projet'!$A$62,$AF$205^A104,IF(A104='Données projet'!$A$62,'Données projet'!$B$62,AI103+AH104-AQ103)))</f>
        <v>862.99999999999966</v>
      </c>
      <c r="AJ104" s="14">
        <f>AI104*VLOOKUP('Données projet'!$B$10,Paramètres!$A$1:$I$89,3,0)*VLOOKUP('Données projet'!$B$10,Paramètres!$A$1:$I$89,5,0)</f>
        <v>426.32199999999989</v>
      </c>
      <c r="AK104" s="14">
        <f t="shared" si="89"/>
        <v>97.093092961692861</v>
      </c>
      <c r="AL104" s="22">
        <f t="shared" si="58"/>
        <v>911.61462024161483</v>
      </c>
      <c r="AM104" s="62">
        <f t="shared" si="59"/>
        <v>1204.9479535749481</v>
      </c>
      <c r="AN104" s="62">
        <f ca="1">AVERAGE(OFFSET($AM$3,0,0,'Données projet'!$E$10+1,1))-AVERAGE(OFFSET($H$3,0,0,'Données projet'!$E$10+1,1))</f>
        <v>491.47342911047105</v>
      </c>
      <c r="AO104" s="62">
        <f t="shared" si="90"/>
        <v>58.734453933891757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4.7</v>
      </c>
      <c r="BD104" s="13">
        <f>IF('Données projet'!$A$88&gt;35,BD103+BC104-BL103,IF(A104&lt;'Données projet'!$A$88,$BA$205^A104,IF(A104='Données projet'!$A$88,'Données projet'!$B$88,BD103+BC104-BL103)))</f>
        <v>286.19999999999976</v>
      </c>
      <c r="BE104" s="14">
        <f>BD104*VLOOKUP('Données projet'!$B$11,Paramètres!$A$1:$I$89,3,0)*VLOOKUP('Données projet'!$B$11,Paramètres!$A$1:$I$89,5,0)</f>
        <v>241.09487999999985</v>
      </c>
      <c r="BF104" s="14">
        <f t="shared" si="91"/>
        <v>58.675036808244307</v>
      </c>
      <c r="BG104" s="22">
        <f t="shared" si="61"/>
        <v>522.0992717743585</v>
      </c>
      <c r="BH104" s="62">
        <f t="shared" si="62"/>
        <v>815.43260510769187</v>
      </c>
      <c r="BI104" s="62">
        <f ca="1">AVERAGE(OFFSET($BH$3,0,0,'Données projet'!$E$11+1,1))-AVERAGE(OFFSET($H$3,0,0,'Données projet'!$E$11+1,1))</f>
        <v>278.21934231434597</v>
      </c>
      <c r="BJ104" s="62">
        <f t="shared" si="92"/>
        <v>143.57726487417773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3.4106051316484809E-13</v>
      </c>
      <c r="BZ104" s="14">
        <f>BY104*VLOOKUP('Données projet'!$B$12,Paramètres!$A$1:$I$89,3,0)*VLOOKUP('Données projet'!$B$12,Paramètres!$A$1:$I$89,5,0)</f>
        <v>2.7134774427395314E-13</v>
      </c>
      <c r="CA104" s="14">
        <f t="shared" si="93"/>
        <v>3.6292411711343559E-12</v>
      </c>
      <c r="CB104" s="22">
        <f t="shared" si="64"/>
        <v>6.7935256943361388E-12</v>
      </c>
      <c r="CC104" s="62">
        <f t="shared" si="65"/>
        <v>293.33333333334014</v>
      </c>
      <c r="CD104" s="62">
        <f ca="1">AVERAGE(OFFSET($CC$3,0,0,'Données projet'!$E$12+1,1))-AVERAGE(OFFSET($H$3,0,0,'Données projet'!$E$12+1,1))</f>
        <v>237.4598967324826</v>
      </c>
      <c r="CE104" s="62">
        <f t="shared" si="94"/>
        <v>218.74305466112406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205.33000726169792</v>
      </c>
      <c r="T105" s="62">
        <f t="shared" si="88"/>
        <v>307.23455947678775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18</v>
      </c>
      <c r="AI105" s="14">
        <f>IF('Données projet'!$A$62&gt;35,AI104+AH105-AQ104,IF(A105&lt;'Données projet'!$A$62,$AF$205^A105,IF(A105='Données projet'!$A$62,'Données projet'!$B$62,AI104+AH105-AQ104)))</f>
        <v>880.99999999999966</v>
      </c>
      <c r="AJ105" s="14">
        <f>AI105*VLOOKUP('Données projet'!$B$10,Paramètres!$A$1:$I$89,3,0)*VLOOKUP('Données projet'!$B$10,Paramètres!$A$1:$I$89,5,0)</f>
        <v>435.21399999999983</v>
      </c>
      <c r="AK105" s="14">
        <f t="shared" si="89"/>
        <v>98.88033056098638</v>
      </c>
      <c r="AL105" s="22">
        <f t="shared" si="58"/>
        <v>930.21429239371764</v>
      </c>
      <c r="AM105" s="62">
        <f t="shared" si="59"/>
        <v>1223.5476257270509</v>
      </c>
      <c r="AN105" s="62">
        <f ca="1">AVERAGE(OFFSET($AM$3,0,0,'Données projet'!$E$10+1,1))-AVERAGE(OFFSET($H$3,0,0,'Données projet'!$E$10+1,1))</f>
        <v>491.47342911047105</v>
      </c>
      <c r="AO105" s="62">
        <f t="shared" si="90"/>
        <v>58.734453933891757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4.7</v>
      </c>
      <c r="BD105" s="13">
        <f>IF('Données projet'!$A$88&gt;35,BD104+BC105-BL104,IF(A105&lt;'Données projet'!$A$88,$BA$205^A105,IF(A105='Données projet'!$A$88,'Données projet'!$B$88,BD104+BC105-BL104)))</f>
        <v>290.89999999999975</v>
      </c>
      <c r="BE105" s="14">
        <f>BD105*VLOOKUP('Données projet'!$B$11,Paramètres!$A$1:$I$89,3,0)*VLOOKUP('Données projet'!$B$11,Paramètres!$A$1:$I$89,5,0)</f>
        <v>245.0541599999998</v>
      </c>
      <c r="BF105" s="14">
        <f t="shared" si="91"/>
        <v>59.525635169402783</v>
      </c>
      <c r="BG105" s="22">
        <f t="shared" si="61"/>
        <v>530.47647658670951</v>
      </c>
      <c r="BH105" s="62">
        <f t="shared" si="62"/>
        <v>823.80980992004288</v>
      </c>
      <c r="BI105" s="62">
        <f ca="1">AVERAGE(OFFSET($BH$3,0,0,'Données projet'!$E$11+1,1))-AVERAGE(OFFSET($H$3,0,0,'Données projet'!$E$11+1,1))</f>
        <v>278.21934231434597</v>
      </c>
      <c r="BJ105" s="62">
        <f t="shared" si="92"/>
        <v>143.57726487417773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3.4106051316484809E-13</v>
      </c>
      <c r="BZ105" s="14">
        <f>BY105*VLOOKUP('Données projet'!$B$12,Paramètres!$A$1:$I$89,3,0)*VLOOKUP('Données projet'!$B$12,Paramètres!$A$1:$I$89,5,0)</f>
        <v>2.7134774427395314E-13</v>
      </c>
      <c r="CA105" s="14">
        <f t="shared" si="93"/>
        <v>3.6292411711343559E-12</v>
      </c>
      <c r="CB105" s="22">
        <f t="shared" si="64"/>
        <v>6.7935256943361388E-12</v>
      </c>
      <c r="CC105" s="62">
        <f t="shared" si="65"/>
        <v>293.33333333334014</v>
      </c>
      <c r="CD105" s="62">
        <f ca="1">AVERAGE(OFFSET($CC$3,0,0,'Données projet'!$E$12+1,1))-AVERAGE(OFFSET($H$3,0,0,'Données projet'!$E$12+1,1))</f>
        <v>237.4598967324826</v>
      </c>
      <c r="CE105" s="62">
        <f t="shared" si="94"/>
        <v>218.74305466112406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205.33000726169792</v>
      </c>
      <c r="T106" s="62">
        <f t="shared" si="88"/>
        <v>307.23455947678775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18</v>
      </c>
      <c r="AI106" s="14">
        <f>IF('Données projet'!$A$62&gt;35,AI105+AH106-AQ105,IF(A106&lt;'Données projet'!$A$62,$AF$205^A106,IF(A106='Données projet'!$A$62,'Données projet'!$B$62,AI105+AH106-AQ105)))</f>
        <v>898.99999999999966</v>
      </c>
      <c r="AJ106" s="14">
        <f>AI106*VLOOKUP('Données projet'!$B$10,Paramètres!$A$1:$I$89,3,0)*VLOOKUP('Données projet'!$B$10,Paramètres!$A$1:$I$89,5,0)</f>
        <v>444.10599999999988</v>
      </c>
      <c r="AK106" s="14">
        <f t="shared" si="89"/>
        <v>100.66332247800246</v>
      </c>
      <c r="AL106" s="22">
        <f t="shared" si="58"/>
        <v>948.80656998252061</v>
      </c>
      <c r="AM106" s="62">
        <f t="shared" si="59"/>
        <v>1242.1399033158539</v>
      </c>
      <c r="AN106" s="62">
        <f ca="1">AVERAGE(OFFSET($AM$3,0,0,'Données projet'!$E$10+1,1))-AVERAGE(OFFSET($H$3,0,0,'Données projet'!$E$10+1,1))</f>
        <v>491.47342911047105</v>
      </c>
      <c r="AO106" s="62">
        <f t="shared" si="90"/>
        <v>58.734453933891757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4.7</v>
      </c>
      <c r="BD106" s="13">
        <f>IF('Données projet'!$A$88&gt;35,BD105+BC106-BL105,IF(A106&lt;'Données projet'!$A$88,$BA$205^A106,IF(A106='Données projet'!$A$88,'Données projet'!$B$88,BD105+BC106-BL105)))</f>
        <v>295.59999999999974</v>
      </c>
      <c r="BE106" s="14">
        <f>BD106*VLOOKUP('Données projet'!$B$11,Paramètres!$A$1:$I$89,3,0)*VLOOKUP('Données projet'!$B$11,Paramètres!$A$1:$I$89,5,0)</f>
        <v>249.01343999999983</v>
      </c>
      <c r="BF106" s="14">
        <f t="shared" si="91"/>
        <v>60.374635285677527</v>
      </c>
      <c r="BG106" s="22">
        <f t="shared" si="61"/>
        <v>538.85089778922145</v>
      </c>
      <c r="BH106" s="62">
        <f t="shared" si="62"/>
        <v>832.18423112255482</v>
      </c>
      <c r="BI106" s="62">
        <f ca="1">AVERAGE(OFFSET($BH$3,0,0,'Données projet'!$E$11+1,1))-AVERAGE(OFFSET($H$3,0,0,'Données projet'!$E$11+1,1))</f>
        <v>278.21934231434597</v>
      </c>
      <c r="BJ106" s="62">
        <f t="shared" si="92"/>
        <v>143.57726487417773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3.4106051316484809E-13</v>
      </c>
      <c r="BZ106" s="14">
        <f>BY106*VLOOKUP('Données projet'!$B$12,Paramètres!$A$1:$I$89,3,0)*VLOOKUP('Données projet'!$B$12,Paramètres!$A$1:$I$89,5,0)</f>
        <v>2.7134774427395314E-13</v>
      </c>
      <c r="CA106" s="14">
        <f t="shared" si="93"/>
        <v>3.6292411711343559E-12</v>
      </c>
      <c r="CB106" s="22">
        <f t="shared" si="64"/>
        <v>6.7935256943361388E-12</v>
      </c>
      <c r="CC106" s="62">
        <f t="shared" si="65"/>
        <v>293.33333333334014</v>
      </c>
      <c r="CD106" s="62">
        <f ca="1">AVERAGE(OFFSET($CC$3,0,0,'Données projet'!$E$12+1,1))-AVERAGE(OFFSET($H$3,0,0,'Données projet'!$E$12+1,1))</f>
        <v>237.4598967324826</v>
      </c>
      <c r="CE106" s="62">
        <f t="shared" si="94"/>
        <v>218.74305466112406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205.33000726169792</v>
      </c>
      <c r="T107" s="62">
        <f t="shared" si="88"/>
        <v>307.23455947678775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18</v>
      </c>
      <c r="AI107" s="14">
        <f>IF('Données projet'!$A$62&gt;35,AI106+AH107-AQ106,IF(A107&lt;'Données projet'!$A$62,$AF$205^A107,IF(A107='Données projet'!$A$62,'Données projet'!$B$62,AI106+AH107-AQ106)))</f>
        <v>916.99999999999966</v>
      </c>
      <c r="AJ107" s="14">
        <f>AI107*VLOOKUP('Données projet'!$B$10,Paramètres!$A$1:$I$89,3,0)*VLOOKUP('Données projet'!$B$10,Paramètres!$A$1:$I$89,5,0)</f>
        <v>452.99799999999982</v>
      </c>
      <c r="AK107" s="14">
        <f t="shared" si="89"/>
        <v>102.44216351806307</v>
      </c>
      <c r="AL107" s="22">
        <f t="shared" si="58"/>
        <v>967.39161812729299</v>
      </c>
      <c r="AM107" s="62">
        <f t="shared" si="59"/>
        <v>1260.7249514606262</v>
      </c>
      <c r="AN107" s="62">
        <f ca="1">AVERAGE(OFFSET($AM$3,0,0,'Données projet'!$E$10+1,1))-AVERAGE(OFFSET($H$3,0,0,'Données projet'!$E$10+1,1))</f>
        <v>491.47342911047105</v>
      </c>
      <c r="AO107" s="62">
        <f t="shared" si="90"/>
        <v>58.734453933891757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4.7</v>
      </c>
      <c r="BD107" s="13">
        <f>IF('Données projet'!$A$88&gt;35,BD106+BC107-BL106,IF(A107&lt;'Données projet'!$A$88,$BA$205^A107,IF(A107='Données projet'!$A$88,'Données projet'!$B$88,BD106+BC107-BL106)))</f>
        <v>300.29999999999973</v>
      </c>
      <c r="BE107" s="14">
        <f>BD107*VLOOKUP('Données projet'!$B$11,Paramètres!$A$1:$I$89,3,0)*VLOOKUP('Données projet'!$B$11,Paramètres!$A$1:$I$89,5,0)</f>
        <v>252.97271999999981</v>
      </c>
      <c r="BF107" s="14">
        <f t="shared" si="91"/>
        <v>61.222065503057934</v>
      </c>
      <c r="BG107" s="22">
        <f t="shared" si="61"/>
        <v>547.22258475115893</v>
      </c>
      <c r="BH107" s="62">
        <f t="shared" si="62"/>
        <v>840.5559180844923</v>
      </c>
      <c r="BI107" s="62">
        <f ca="1">AVERAGE(OFFSET($BH$3,0,0,'Données projet'!$E$11+1,1))-AVERAGE(OFFSET($H$3,0,0,'Données projet'!$E$11+1,1))</f>
        <v>278.21934231434597</v>
      </c>
      <c r="BJ107" s="62">
        <f t="shared" si="92"/>
        <v>143.57726487417773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3.4106051316484809E-13</v>
      </c>
      <c r="BZ107" s="14">
        <f>BY107*VLOOKUP('Données projet'!$B$12,Paramètres!$A$1:$I$89,3,0)*VLOOKUP('Données projet'!$B$12,Paramètres!$A$1:$I$89,5,0)</f>
        <v>2.7134774427395314E-13</v>
      </c>
      <c r="CA107" s="14">
        <f t="shared" si="93"/>
        <v>3.6292411711343559E-12</v>
      </c>
      <c r="CB107" s="22">
        <f t="shared" si="64"/>
        <v>6.7935256943361388E-12</v>
      </c>
      <c r="CC107" s="62">
        <f t="shared" si="65"/>
        <v>293.33333333334014</v>
      </c>
      <c r="CD107" s="62">
        <f ca="1">AVERAGE(OFFSET($CC$3,0,0,'Données projet'!$E$12+1,1))-AVERAGE(OFFSET($H$3,0,0,'Données projet'!$E$12+1,1))</f>
        <v>237.4598967324826</v>
      </c>
      <c r="CE107" s="62">
        <f t="shared" si="94"/>
        <v>218.74305466112406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205.33000726169792</v>
      </c>
      <c r="T108" s="62">
        <f t="shared" si="88"/>
        <v>307.23455947678775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935</v>
      </c>
      <c r="AG108" s="13">
        <f>VLOOKUP(A108,'Données projet'!$A$61:$I$81,9,0)</f>
        <v>18</v>
      </c>
      <c r="AH108" s="13">
        <f t="array" ref="AH108">INDEX(AG:AG,MIN(IF(ISNUMBER(AG108:AG304),ROW(AG108:AG304),"")))</f>
        <v>18</v>
      </c>
      <c r="AI108" s="14">
        <f>IF('Données projet'!$A$62&gt;35,AI107+AH108-AQ107,IF(A108&lt;'Données projet'!$A$62,$AF$205^A108,IF(A108='Données projet'!$A$62,'Données projet'!$B$62,AI107+AH108-AQ107)))</f>
        <v>934.99999999999966</v>
      </c>
      <c r="AJ108" s="14">
        <f>AI108*VLOOKUP('Données projet'!$B$10,Paramètres!$A$1:$I$89,3,0)*VLOOKUP('Données projet'!$B$10,Paramètres!$A$1:$I$89,5,0)</f>
        <v>461.88999999999987</v>
      </c>
      <c r="AK108" s="14">
        <f t="shared" si="89"/>
        <v>104.21694455170348</v>
      </c>
      <c r="AL108" s="22">
        <f t="shared" si="58"/>
        <v>985.96959509421652</v>
      </c>
      <c r="AM108" s="62">
        <f t="shared" si="59"/>
        <v>1279.3029284275499</v>
      </c>
      <c r="AN108" s="62">
        <f ca="1">AVERAGE(OFFSET($AM$3,0,0,'Données projet'!$E$10+1,1))-AVERAGE(OFFSET($H$3,0,0,'Données projet'!$E$10+1,1))</f>
        <v>491.47342911047105</v>
      </c>
      <c r="AO108" s="62">
        <f t="shared" si="90"/>
        <v>58.734453933891757</v>
      </c>
      <c r="AP108" s="16">
        <f>IF(ISNA(VLOOKUP(A108,'Données projet'!$A$61:$I$81,3,0)),0,VLOOKUP(A108,'Données projet'!$A$61:$I$81,3,0))</f>
        <v>4</v>
      </c>
      <c r="AQ108" s="16">
        <f>IF(ISNA(VLOOKUP(A108,'Données projet'!$A$61:$I$81,4,0)),0,VLOOKUP(A108,'Données projet'!$A$61:$I$81,4,0))</f>
        <v>184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305</v>
      </c>
      <c r="BB108" s="13">
        <f>VLOOKUP(A108,'Données projet'!$A$87:$I$107,9,0)</f>
        <v>4.7</v>
      </c>
      <c r="BC108" s="13">
        <f t="array" ref="BC108">INDEX(BB:BB,MIN(IF(ISNUMBER(BB108:BB304),ROW(BB108:BB304),"")))</f>
        <v>4.7</v>
      </c>
      <c r="BD108" s="13">
        <f>IF('Données projet'!$A$88&gt;35,BD107+BC108-BL107,IF(A108&lt;'Données projet'!$A$88,$BA$205^A108,IF(A108='Données projet'!$A$88,'Données projet'!$B$88,BD107+BC108-BL107)))</f>
        <v>304.99999999999972</v>
      </c>
      <c r="BE108" s="14">
        <f>BD108*VLOOKUP('Données projet'!$B$11,Paramètres!$A$1:$I$89,3,0)*VLOOKUP('Données projet'!$B$11,Paramètres!$A$1:$I$89,5,0)</f>
        <v>256.93199999999979</v>
      </c>
      <c r="BF108" s="14">
        <f t="shared" si="91"/>
        <v>62.067953229346557</v>
      </c>
      <c r="BG108" s="22">
        <f t="shared" si="61"/>
        <v>555.59158520777828</v>
      </c>
      <c r="BH108" s="62">
        <f t="shared" si="62"/>
        <v>848.92491854111154</v>
      </c>
      <c r="BI108" s="62">
        <f ca="1">AVERAGE(OFFSET($BH$3,0,0,'Données projet'!$E$11+1,1))-AVERAGE(OFFSET($H$3,0,0,'Données projet'!$E$11+1,1))</f>
        <v>278.21934231434597</v>
      </c>
      <c r="BJ108" s="62">
        <f t="shared" si="92"/>
        <v>143.57726487417773</v>
      </c>
      <c r="BK108" s="16">
        <f>IF(ISNA(VLOOKUP(A108,'Données projet'!$A$87:$I$107,3,0)),0,VLOOKUP(A108,'Données projet'!$A$87:$I$107,3,0))</f>
        <v>9</v>
      </c>
      <c r="BL108" s="16">
        <f>IF(ISNA(VLOOKUP(A108,'Données projet'!$A$87:$I$107,4,0)),0,VLOOKUP(A108,'Données projet'!$A$87:$I$107,4,0))</f>
        <v>41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3.4106051316484809E-13</v>
      </c>
      <c r="BZ108" s="14">
        <f>BY108*VLOOKUP('Données projet'!$B$12,Paramètres!$A$1:$I$89,3,0)*VLOOKUP('Données projet'!$B$12,Paramètres!$A$1:$I$89,5,0)</f>
        <v>2.7134774427395314E-13</v>
      </c>
      <c r="CA108" s="14">
        <f t="shared" si="93"/>
        <v>3.6292411711343559E-12</v>
      </c>
      <c r="CB108" s="22">
        <f t="shared" si="64"/>
        <v>6.7935256943361388E-12</v>
      </c>
      <c r="CC108" s="62">
        <f t="shared" si="65"/>
        <v>293.33333333334014</v>
      </c>
      <c r="CD108" s="62">
        <f ca="1">AVERAGE(OFFSET($CC$3,0,0,'Données projet'!$E$12+1,1))-AVERAGE(OFFSET($H$3,0,0,'Données projet'!$E$12+1,1))</f>
        <v>237.4598967324826</v>
      </c>
      <c r="CE108" s="62">
        <f t="shared" si="94"/>
        <v>218.74305466112406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205.33000726169792</v>
      </c>
      <c r="T109" s="62">
        <f t="shared" si="88"/>
        <v>307.23455947678775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13.2</v>
      </c>
      <c r="AI109" s="14">
        <f>IF('Données projet'!$A$62&gt;35,AI108+AH109-AQ108,IF(A109&lt;'Données projet'!$A$62,$AF$205^A109,IF(A109='Données projet'!$A$62,'Données projet'!$B$62,AI108+AH109-AQ108)))</f>
        <v>764.1999999999997</v>
      </c>
      <c r="AJ109" s="14">
        <f>AI109*VLOOKUP('Données projet'!$B$10,Paramètres!$A$1:$I$89,3,0)*VLOOKUP('Données projet'!$B$10,Paramètres!$A$1:$I$89,5,0)</f>
        <v>377.51479999999987</v>
      </c>
      <c r="AK109" s="14">
        <f t="shared" si="89"/>
        <v>87.202900730173567</v>
      </c>
      <c r="AL109" s="22">
        <f t="shared" si="58"/>
        <v>809.38332877171854</v>
      </c>
      <c r="AM109" s="62">
        <f t="shared" si="59"/>
        <v>1102.7166621050519</v>
      </c>
      <c r="AN109" s="62">
        <f ca="1">AVERAGE(OFFSET($AM$3,0,0,'Données projet'!$E$10+1,1))-AVERAGE(OFFSET($H$3,0,0,'Données projet'!$E$10+1,1))</f>
        <v>491.47342911047105</v>
      </c>
      <c r="AO109" s="62">
        <f t="shared" si="90"/>
        <v>58.734453933891757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</v>
      </c>
      <c r="BD109" s="13">
        <f>IF('Données projet'!$A$88&gt;35,BD108+BC109-BL108,IF(A109&lt;'Données projet'!$A$88,$BA$205^A109,IF(A109='Données projet'!$A$88,'Données projet'!$B$88,BD108+BC109-BL108)))</f>
        <v>267.99999999999972</v>
      </c>
      <c r="BE109" s="14">
        <f>BD109*VLOOKUP('Données projet'!$B$11,Paramètres!$A$1:$I$89,3,0)*VLOOKUP('Données projet'!$B$11,Paramètres!$A$1:$I$89,5,0)</f>
        <v>225.76319999999978</v>
      </c>
      <c r="BF109" s="14">
        <f t="shared" si="91"/>
        <v>55.365597375021352</v>
      </c>
      <c r="BG109" s="22">
        <f t="shared" si="61"/>
        <v>489.6326554281618</v>
      </c>
      <c r="BH109" s="62">
        <f t="shared" si="62"/>
        <v>782.96598876149505</v>
      </c>
      <c r="BI109" s="62">
        <f ca="1">AVERAGE(OFFSET($BH$3,0,0,'Données projet'!$E$11+1,1))-AVERAGE(OFFSET($H$3,0,0,'Données projet'!$E$11+1,1))</f>
        <v>278.21934231434597</v>
      </c>
      <c r="BJ109" s="62">
        <f t="shared" si="92"/>
        <v>143.57726487417773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3.4106051316484809E-13</v>
      </c>
      <c r="BZ109" s="14">
        <f>BY109*VLOOKUP('Données projet'!$B$12,Paramètres!$A$1:$I$89,3,0)*VLOOKUP('Données projet'!$B$12,Paramètres!$A$1:$I$89,5,0)</f>
        <v>2.7134774427395314E-13</v>
      </c>
      <c r="CA109" s="14">
        <f t="shared" si="93"/>
        <v>3.6292411711343559E-12</v>
      </c>
      <c r="CB109" s="22">
        <f t="shared" si="64"/>
        <v>6.7935256943361388E-12</v>
      </c>
      <c r="CC109" s="62">
        <f t="shared" si="65"/>
        <v>293.33333333334014</v>
      </c>
      <c r="CD109" s="62">
        <f ca="1">AVERAGE(OFFSET($CC$3,0,0,'Données projet'!$E$12+1,1))-AVERAGE(OFFSET($H$3,0,0,'Données projet'!$E$12+1,1))</f>
        <v>237.4598967324826</v>
      </c>
      <c r="CE109" s="62">
        <f t="shared" si="94"/>
        <v>218.74305466112406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205.33000726169792</v>
      </c>
      <c r="T110" s="62">
        <f t="shared" si="88"/>
        <v>307.23455947678775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13.2</v>
      </c>
      <c r="AI110" s="14">
        <f>IF('Données projet'!$A$62&gt;35,AI109+AH110-AQ109,IF(A110&lt;'Données projet'!$A$62,$AF$205^A110,IF(A110='Données projet'!$A$62,'Données projet'!$B$62,AI109+AH110-AQ109)))</f>
        <v>777.39999999999975</v>
      </c>
      <c r="AJ110" s="14">
        <f>AI110*VLOOKUP('Données projet'!$B$10,Paramètres!$A$1:$I$89,3,0)*VLOOKUP('Données projet'!$B$10,Paramètres!$A$1:$I$89,5,0)</f>
        <v>384.03559999999993</v>
      </c>
      <c r="AK110" s="14">
        <f t="shared" si="89"/>
        <v>88.532496150041936</v>
      </c>
      <c r="AL110" s="22">
        <f t="shared" si="58"/>
        <v>823.05610079465623</v>
      </c>
      <c r="AM110" s="62">
        <f t="shared" si="59"/>
        <v>1116.3894341279895</v>
      </c>
      <c r="AN110" s="62">
        <f ca="1">AVERAGE(OFFSET($AM$3,0,0,'Données projet'!$E$10+1,1))-AVERAGE(OFFSET($H$3,0,0,'Données projet'!$E$10+1,1))</f>
        <v>491.47342911047105</v>
      </c>
      <c r="AO110" s="62">
        <f t="shared" si="90"/>
        <v>58.734453933891757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</v>
      </c>
      <c r="BD110" s="13">
        <f>IF('Données projet'!$A$88&gt;35,BD109+BC110-BL109,IF(A110&lt;'Données projet'!$A$88,$BA$205^A110,IF(A110='Données projet'!$A$88,'Données projet'!$B$88,BD109+BC110-BL109)))</f>
        <v>271.99999999999972</v>
      </c>
      <c r="BE110" s="14">
        <f>BD110*VLOOKUP('Données projet'!$B$11,Paramètres!$A$1:$I$89,3,0)*VLOOKUP('Données projet'!$B$11,Paramètres!$A$1:$I$89,5,0)</f>
        <v>229.13279999999978</v>
      </c>
      <c r="BF110" s="14">
        <f t="shared" si="91"/>
        <v>56.095131411326882</v>
      </c>
      <c r="BG110" s="22">
        <f t="shared" si="61"/>
        <v>496.77198054139399</v>
      </c>
      <c r="BH110" s="62">
        <f t="shared" si="62"/>
        <v>790.10531387472724</v>
      </c>
      <c r="BI110" s="62">
        <f ca="1">AVERAGE(OFFSET($BH$3,0,0,'Données projet'!$E$11+1,1))-AVERAGE(OFFSET($H$3,0,0,'Données projet'!$E$11+1,1))</f>
        <v>278.21934231434597</v>
      </c>
      <c r="BJ110" s="62">
        <f t="shared" si="92"/>
        <v>143.57726487417773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3.4106051316484809E-13</v>
      </c>
      <c r="BZ110" s="14">
        <f>BY110*VLOOKUP('Données projet'!$B$12,Paramètres!$A$1:$I$89,3,0)*VLOOKUP('Données projet'!$B$12,Paramètres!$A$1:$I$89,5,0)</f>
        <v>2.7134774427395314E-13</v>
      </c>
      <c r="CA110" s="14">
        <f t="shared" si="93"/>
        <v>3.6292411711343559E-12</v>
      </c>
      <c r="CB110" s="22">
        <f t="shared" si="64"/>
        <v>6.7935256943361388E-12</v>
      </c>
      <c r="CC110" s="62">
        <f t="shared" si="65"/>
        <v>293.33333333334014</v>
      </c>
      <c r="CD110" s="62">
        <f ca="1">AVERAGE(OFFSET($CC$3,0,0,'Données projet'!$E$12+1,1))-AVERAGE(OFFSET($H$3,0,0,'Données projet'!$E$12+1,1))</f>
        <v>237.4598967324826</v>
      </c>
      <c r="CE110" s="62">
        <f t="shared" si="94"/>
        <v>218.74305466112406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205.33000726169792</v>
      </c>
      <c r="T111" s="62">
        <f t="shared" si="88"/>
        <v>307.23455947678775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13.2</v>
      </c>
      <c r="AI111" s="14">
        <f>IF('Données projet'!$A$62&gt;35,AI110+AH111-AQ110,IF(A111&lt;'Données projet'!$A$62,$AF$205^A111,IF(A111='Données projet'!$A$62,'Données projet'!$B$62,AI110+AH111-AQ110)))</f>
        <v>790.5999999999998</v>
      </c>
      <c r="AJ111" s="14">
        <f>AI111*VLOOKUP('Données projet'!$B$10,Paramètres!$A$1:$I$89,3,0)*VLOOKUP('Données projet'!$B$10,Paramètres!$A$1:$I$89,5,0)</f>
        <v>390.55639999999994</v>
      </c>
      <c r="AK111" s="14">
        <f t="shared" si="89"/>
        <v>89.859466173770002</v>
      </c>
      <c r="AL111" s="22">
        <f t="shared" si="58"/>
        <v>836.7243002526493</v>
      </c>
      <c r="AM111" s="62">
        <f t="shared" si="59"/>
        <v>1130.0576335859826</v>
      </c>
      <c r="AN111" s="62">
        <f ca="1">AVERAGE(OFFSET($AM$3,0,0,'Données projet'!$E$10+1,1))-AVERAGE(OFFSET($H$3,0,0,'Données projet'!$E$10+1,1))</f>
        <v>491.47342911047105</v>
      </c>
      <c r="AO111" s="62">
        <f t="shared" si="90"/>
        <v>58.734453933891757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</v>
      </c>
      <c r="BD111" s="13">
        <f>IF('Données projet'!$A$88&gt;35,BD110+BC111-BL110,IF(A111&lt;'Données projet'!$A$88,$BA$205^A111,IF(A111='Données projet'!$A$88,'Données projet'!$B$88,BD110+BC111-BL110)))</f>
        <v>275.99999999999972</v>
      </c>
      <c r="BE111" s="14">
        <f>BD111*VLOOKUP('Données projet'!$B$11,Paramètres!$A$1:$I$89,3,0)*VLOOKUP('Données projet'!$B$11,Paramètres!$A$1:$I$89,5,0)</f>
        <v>232.50239999999977</v>
      </c>
      <c r="BF111" s="14">
        <f t="shared" si="91"/>
        <v>56.823417677671891</v>
      </c>
      <c r="BG111" s="22">
        <f t="shared" si="61"/>
        <v>503.9091324552781</v>
      </c>
      <c r="BH111" s="62">
        <f t="shared" si="62"/>
        <v>797.24246578861141</v>
      </c>
      <c r="BI111" s="62">
        <f ca="1">AVERAGE(OFFSET($BH$3,0,0,'Données projet'!$E$11+1,1))-AVERAGE(OFFSET($H$3,0,0,'Données projet'!$E$11+1,1))</f>
        <v>278.21934231434597</v>
      </c>
      <c r="BJ111" s="62">
        <f t="shared" si="92"/>
        <v>143.57726487417773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3.4106051316484809E-13</v>
      </c>
      <c r="BZ111" s="14">
        <f>BY111*VLOOKUP('Données projet'!$B$12,Paramètres!$A$1:$I$89,3,0)*VLOOKUP('Données projet'!$B$12,Paramètres!$A$1:$I$89,5,0)</f>
        <v>2.7134774427395314E-13</v>
      </c>
      <c r="CA111" s="14">
        <f t="shared" si="93"/>
        <v>3.6292411711343559E-12</v>
      </c>
      <c r="CB111" s="22">
        <f t="shared" si="64"/>
        <v>6.7935256943361388E-12</v>
      </c>
      <c r="CC111" s="62">
        <f t="shared" si="65"/>
        <v>293.33333333334014</v>
      </c>
      <c r="CD111" s="62">
        <f ca="1">AVERAGE(OFFSET($CC$3,0,0,'Données projet'!$E$12+1,1))-AVERAGE(OFFSET($H$3,0,0,'Données projet'!$E$12+1,1))</f>
        <v>237.4598967324826</v>
      </c>
      <c r="CE111" s="62">
        <f t="shared" si="94"/>
        <v>218.74305466112406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205.33000726169792</v>
      </c>
      <c r="T112" s="62">
        <f t="shared" si="88"/>
        <v>307.23455947678775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13.2</v>
      </c>
      <c r="AI112" s="14">
        <f>IF('Données projet'!$A$62&gt;35,AI111+AH112-AQ111,IF(A112&lt;'Données projet'!$A$62,$AF$205^A112,IF(A112='Données projet'!$A$62,'Données projet'!$B$62,AI111+AH112-AQ111)))</f>
        <v>803.79999999999984</v>
      </c>
      <c r="AJ112" s="14">
        <f>AI112*VLOOKUP('Données projet'!$B$10,Paramètres!$A$1:$I$89,3,0)*VLOOKUP('Données projet'!$B$10,Paramètres!$A$1:$I$89,5,0)</f>
        <v>397.07719999999995</v>
      </c>
      <c r="AK112" s="14">
        <f t="shared" si="89"/>
        <v>91.183859694788524</v>
      </c>
      <c r="AL112" s="22">
        <f t="shared" si="58"/>
        <v>850.38801230175648</v>
      </c>
      <c r="AM112" s="62">
        <f t="shared" si="59"/>
        <v>1143.7213456350898</v>
      </c>
      <c r="AN112" s="62">
        <f ca="1">AVERAGE(OFFSET($AM$3,0,0,'Données projet'!$E$10+1,1))-AVERAGE(OFFSET($H$3,0,0,'Données projet'!$E$10+1,1))</f>
        <v>491.47342911047105</v>
      </c>
      <c r="AO112" s="62">
        <f t="shared" si="90"/>
        <v>58.734453933891757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</v>
      </c>
      <c r="BD112" s="13">
        <f>IF('Données projet'!$A$88&gt;35,BD111+BC112-BL111,IF(A112&lt;'Données projet'!$A$88,$BA$205^A112,IF(A112='Données projet'!$A$88,'Données projet'!$B$88,BD111+BC112-BL111)))</f>
        <v>279.99999999999972</v>
      </c>
      <c r="BE112" s="14">
        <f>BD112*VLOOKUP('Données projet'!$B$11,Paramètres!$A$1:$I$89,3,0)*VLOOKUP('Données projet'!$B$11,Paramètres!$A$1:$I$89,5,0)</f>
        <v>235.87199999999976</v>
      </c>
      <c r="BF112" s="14">
        <f t="shared" si="91"/>
        <v>57.55047634701522</v>
      </c>
      <c r="BG112" s="22">
        <f t="shared" si="61"/>
        <v>511.04414630438441</v>
      </c>
      <c r="BH112" s="62">
        <f t="shared" si="62"/>
        <v>804.37747963771767</v>
      </c>
      <c r="BI112" s="62">
        <f ca="1">AVERAGE(OFFSET($BH$3,0,0,'Données projet'!$E$11+1,1))-AVERAGE(OFFSET($H$3,0,0,'Données projet'!$E$11+1,1))</f>
        <v>278.21934231434597</v>
      </c>
      <c r="BJ112" s="62">
        <f t="shared" si="92"/>
        <v>143.57726487417773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3.4106051316484809E-13</v>
      </c>
      <c r="BZ112" s="14">
        <f>BY112*VLOOKUP('Données projet'!$B$12,Paramètres!$A$1:$I$89,3,0)*VLOOKUP('Données projet'!$B$12,Paramètres!$A$1:$I$89,5,0)</f>
        <v>2.7134774427395314E-13</v>
      </c>
      <c r="CA112" s="14">
        <f t="shared" si="93"/>
        <v>3.6292411711343559E-12</v>
      </c>
      <c r="CB112" s="22">
        <f t="shared" si="64"/>
        <v>6.7935256943361388E-12</v>
      </c>
      <c r="CC112" s="62">
        <f t="shared" si="65"/>
        <v>293.33333333334014</v>
      </c>
      <c r="CD112" s="62">
        <f ca="1">AVERAGE(OFFSET($CC$3,0,0,'Données projet'!$E$12+1,1))-AVERAGE(OFFSET($H$3,0,0,'Données projet'!$E$12+1,1))</f>
        <v>237.4598967324826</v>
      </c>
      <c r="CE112" s="62">
        <f t="shared" si="94"/>
        <v>218.74305466112406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205.33000726169792</v>
      </c>
      <c r="T113" s="62">
        <f t="shared" si="88"/>
        <v>307.23455947678775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13.2</v>
      </c>
      <c r="AI113" s="14">
        <f>IF('Données projet'!$A$62&gt;35,AI112+AH113-AQ112,IF(A113&lt;'Données projet'!$A$62,$AF$205^A113,IF(A113='Données projet'!$A$62,'Données projet'!$B$62,AI112+AH113-AQ112)))</f>
        <v>816.99999999999989</v>
      </c>
      <c r="AJ113" s="14">
        <f>AI113*VLOOKUP('Données projet'!$B$10,Paramètres!$A$1:$I$89,3,0)*VLOOKUP('Données projet'!$B$10,Paramètres!$A$1:$I$89,5,0)</f>
        <v>403.59800000000001</v>
      </c>
      <c r="AK113" s="14">
        <f t="shared" si="89"/>
        <v>92.505723908606683</v>
      </c>
      <c r="AL113" s="22">
        <f t="shared" si="58"/>
        <v>864.04731914082333</v>
      </c>
      <c r="AM113" s="62">
        <f t="shared" si="59"/>
        <v>1157.3806524741567</v>
      </c>
      <c r="AN113" s="62">
        <f ca="1">AVERAGE(OFFSET($AM$3,0,0,'Données projet'!$E$10+1,1))-AVERAGE(OFFSET($H$3,0,0,'Données projet'!$E$10+1,1))</f>
        <v>491.47342911047105</v>
      </c>
      <c r="AO113" s="62">
        <f t="shared" si="90"/>
        <v>58.734453933891757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4</v>
      </c>
      <c r="BD113" s="13">
        <f>IF('Données projet'!$A$88&gt;35,BD112+BC113-BL112,IF(A113&lt;'Données projet'!$A$88,$BA$205^A113,IF(A113='Données projet'!$A$88,'Données projet'!$B$88,BD112+BC113-BL112)))</f>
        <v>283.99999999999972</v>
      </c>
      <c r="BE113" s="14">
        <f>BD113*VLOOKUP('Données projet'!$B$11,Paramètres!$A$1:$I$89,3,0)*VLOOKUP('Données projet'!$B$11,Paramètres!$A$1:$I$89,5,0)</f>
        <v>239.24159999999975</v>
      </c>
      <c r="BF113" s="14">
        <f t="shared" si="91"/>
        <v>58.276326982845781</v>
      </c>
      <c r="BG113" s="22">
        <f t="shared" si="61"/>
        <v>518.17705616178932</v>
      </c>
      <c r="BH113" s="62">
        <f t="shared" si="62"/>
        <v>811.51038949512258</v>
      </c>
      <c r="BI113" s="62">
        <f ca="1">AVERAGE(OFFSET($BH$3,0,0,'Données projet'!$E$11+1,1))-AVERAGE(OFFSET($H$3,0,0,'Données projet'!$E$11+1,1))</f>
        <v>278.21934231434597</v>
      </c>
      <c r="BJ113" s="62">
        <f t="shared" si="92"/>
        <v>143.57726487417773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3.4106051316484809E-13</v>
      </c>
      <c r="BZ113" s="14">
        <f>BY113*VLOOKUP('Données projet'!$B$12,Paramètres!$A$1:$I$89,3,0)*VLOOKUP('Données projet'!$B$12,Paramètres!$A$1:$I$89,5,0)</f>
        <v>2.7134774427395314E-13</v>
      </c>
      <c r="CA113" s="14">
        <f t="shared" si="93"/>
        <v>3.6292411711343559E-12</v>
      </c>
      <c r="CB113" s="22">
        <f t="shared" si="64"/>
        <v>6.7935256943361388E-12</v>
      </c>
      <c r="CC113" s="62">
        <f t="shared" si="65"/>
        <v>293.33333333334014</v>
      </c>
      <c r="CD113" s="62">
        <f ca="1">AVERAGE(OFFSET($CC$3,0,0,'Données projet'!$E$12+1,1))-AVERAGE(OFFSET($H$3,0,0,'Données projet'!$E$12+1,1))</f>
        <v>237.4598967324826</v>
      </c>
      <c r="CE113" s="62">
        <f t="shared" si="94"/>
        <v>218.74305466112406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205.33000726169792</v>
      </c>
      <c r="T114" s="62">
        <f t="shared" si="88"/>
        <v>307.23455947678775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13.2</v>
      </c>
      <c r="AI114" s="14">
        <f>IF('Données projet'!$A$62&gt;35,AI113+AH114-AQ113,IF(A114&lt;'Données projet'!$A$62,$AF$205^A114,IF(A114='Données projet'!$A$62,'Données projet'!$B$62,AI113+AH114-AQ113)))</f>
        <v>830.19999999999993</v>
      </c>
      <c r="AJ114" s="14">
        <f>AI114*VLOOKUP('Données projet'!$B$10,Paramètres!$A$1:$I$89,3,0)*VLOOKUP('Données projet'!$B$10,Paramètres!$A$1:$I$89,5,0)</f>
        <v>410.11880000000002</v>
      </c>
      <c r="AK114" s="14">
        <f t="shared" si="89"/>
        <v>93.82510439823875</v>
      </c>
      <c r="AL114" s="22">
        <f t="shared" si="58"/>
        <v>877.70230016026574</v>
      </c>
      <c r="AM114" s="62">
        <f t="shared" si="59"/>
        <v>1171.0356334935991</v>
      </c>
      <c r="AN114" s="62">
        <f ca="1">AVERAGE(OFFSET($AM$3,0,0,'Données projet'!$E$10+1,1))-AVERAGE(OFFSET($H$3,0,0,'Données projet'!$E$10+1,1))</f>
        <v>491.47342911047105</v>
      </c>
      <c r="AO114" s="62">
        <f t="shared" si="90"/>
        <v>58.734453933891757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</v>
      </c>
      <c r="BD114" s="13">
        <f>IF('Données projet'!$A$88&gt;35,BD113+BC114-BL113,IF(A114&lt;'Données projet'!$A$88,$BA$205^A114,IF(A114='Données projet'!$A$88,'Données projet'!$B$88,BD113+BC114-BL113)))</f>
        <v>287.99999999999972</v>
      </c>
      <c r="BE114" s="14">
        <f>BD114*VLOOKUP('Données projet'!$B$11,Paramètres!$A$1:$I$89,3,0)*VLOOKUP('Données projet'!$B$11,Paramètres!$A$1:$I$89,5,0)</f>
        <v>242.6111999999998</v>
      </c>
      <c r="BF114" s="14">
        <f t="shared" si="91"/>
        <v>59.000988565915527</v>
      </c>
      <c r="BG114" s="22">
        <f t="shared" si="61"/>
        <v>525.30789508563589</v>
      </c>
      <c r="BH114" s="62">
        <f t="shared" si="62"/>
        <v>818.64122841896915</v>
      </c>
      <c r="BI114" s="62">
        <f ca="1">AVERAGE(OFFSET($BH$3,0,0,'Données projet'!$E$11+1,1))-AVERAGE(OFFSET($H$3,0,0,'Données projet'!$E$11+1,1))</f>
        <v>278.21934231434597</v>
      </c>
      <c r="BJ114" s="62">
        <f t="shared" si="92"/>
        <v>143.57726487417773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3.4106051316484809E-13</v>
      </c>
      <c r="BZ114" s="14">
        <f>BY114*VLOOKUP('Données projet'!$B$12,Paramètres!$A$1:$I$89,3,0)*VLOOKUP('Données projet'!$B$12,Paramètres!$A$1:$I$89,5,0)</f>
        <v>2.7134774427395314E-13</v>
      </c>
      <c r="CA114" s="14">
        <f t="shared" si="93"/>
        <v>3.6292411711343559E-12</v>
      </c>
      <c r="CB114" s="22">
        <f t="shared" si="64"/>
        <v>6.7935256943361388E-12</v>
      </c>
      <c r="CC114" s="62">
        <f t="shared" si="65"/>
        <v>293.33333333334014</v>
      </c>
      <c r="CD114" s="62">
        <f ca="1">AVERAGE(OFFSET($CC$3,0,0,'Données projet'!$E$12+1,1))-AVERAGE(OFFSET($H$3,0,0,'Données projet'!$E$12+1,1))</f>
        <v>237.4598967324826</v>
      </c>
      <c r="CE114" s="62">
        <f t="shared" si="94"/>
        <v>218.74305466112406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205.33000726169792</v>
      </c>
      <c r="T115" s="62">
        <f t="shared" si="88"/>
        <v>307.23455947678775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13.2</v>
      </c>
      <c r="AI115" s="14">
        <f>IF('Données projet'!$A$62&gt;35,AI114+AH115-AQ114,IF(A115&lt;'Données projet'!$A$62,$AF$205^A115,IF(A115='Données projet'!$A$62,'Données projet'!$B$62,AI114+AH115-AQ114)))</f>
        <v>843.4</v>
      </c>
      <c r="AJ115" s="14">
        <f>AI115*VLOOKUP('Données projet'!$B$10,Paramètres!$A$1:$I$89,3,0)*VLOOKUP('Données projet'!$B$10,Paramètres!$A$1:$I$89,5,0)</f>
        <v>416.63960000000003</v>
      </c>
      <c r="AK115" s="14">
        <f t="shared" si="89"/>
        <v>95.142045214042383</v>
      </c>
      <c r="AL115" s="22">
        <f t="shared" si="58"/>
        <v>891.35303208112384</v>
      </c>
      <c r="AM115" s="62">
        <f t="shared" si="59"/>
        <v>1184.6863654144572</v>
      </c>
      <c r="AN115" s="62">
        <f ca="1">AVERAGE(OFFSET($AM$3,0,0,'Données projet'!$E$10+1,1))-AVERAGE(OFFSET($H$3,0,0,'Données projet'!$E$10+1,1))</f>
        <v>491.47342911047105</v>
      </c>
      <c r="AO115" s="62">
        <f t="shared" si="90"/>
        <v>58.734453933891757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</v>
      </c>
      <c r="BD115" s="13">
        <f>IF('Données projet'!$A$88&gt;35,BD114+BC115-BL114,IF(A115&lt;'Données projet'!$A$88,$BA$205^A115,IF(A115='Données projet'!$A$88,'Données projet'!$B$88,BD114+BC115-BL114)))</f>
        <v>291.99999999999972</v>
      </c>
      <c r="BE115" s="14">
        <f>BD115*VLOOKUP('Données projet'!$B$11,Paramètres!$A$1:$I$89,3,0)*VLOOKUP('Données projet'!$B$11,Paramètres!$A$1:$I$89,5,0)</f>
        <v>245.98079999999979</v>
      </c>
      <c r="BF115" s="14">
        <f t="shared" si="91"/>
        <v>59.724479519444813</v>
      </c>
      <c r="BG115" s="22">
        <f t="shared" si="61"/>
        <v>532.4366951630326</v>
      </c>
      <c r="BH115" s="62">
        <f t="shared" si="62"/>
        <v>825.77002849636597</v>
      </c>
      <c r="BI115" s="62">
        <f ca="1">AVERAGE(OFFSET($BH$3,0,0,'Données projet'!$E$11+1,1))-AVERAGE(OFFSET($H$3,0,0,'Données projet'!$E$11+1,1))</f>
        <v>278.21934231434597</v>
      </c>
      <c r="BJ115" s="62">
        <f t="shared" si="92"/>
        <v>143.57726487417773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3.4106051316484809E-13</v>
      </c>
      <c r="BZ115" s="14">
        <f>BY115*VLOOKUP('Données projet'!$B$12,Paramètres!$A$1:$I$89,3,0)*VLOOKUP('Données projet'!$B$12,Paramètres!$A$1:$I$89,5,0)</f>
        <v>2.7134774427395314E-13</v>
      </c>
      <c r="CA115" s="14">
        <f t="shared" si="93"/>
        <v>3.6292411711343559E-12</v>
      </c>
      <c r="CB115" s="22">
        <f t="shared" si="64"/>
        <v>6.7935256943361388E-12</v>
      </c>
      <c r="CC115" s="62">
        <f t="shared" si="65"/>
        <v>293.33333333334014</v>
      </c>
      <c r="CD115" s="62">
        <f ca="1">AVERAGE(OFFSET($CC$3,0,0,'Données projet'!$E$12+1,1))-AVERAGE(OFFSET($H$3,0,0,'Données projet'!$E$12+1,1))</f>
        <v>237.4598967324826</v>
      </c>
      <c r="CE115" s="62">
        <f t="shared" si="94"/>
        <v>218.74305466112406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205.33000726169792</v>
      </c>
      <c r="T116" s="62">
        <f t="shared" si="88"/>
        <v>307.23455947678775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13.2</v>
      </c>
      <c r="AI116" s="14">
        <f>IF('Données projet'!$A$62&gt;35,AI115+AH116-AQ115,IF(A116&lt;'Données projet'!$A$62,$AF$205^A116,IF(A116='Données projet'!$A$62,'Données projet'!$B$62,AI115+AH116-AQ115)))</f>
        <v>856.6</v>
      </c>
      <c r="AJ116" s="14">
        <f>AI116*VLOOKUP('Données projet'!$B$10,Paramètres!$A$1:$I$89,3,0)*VLOOKUP('Données projet'!$B$10,Paramètres!$A$1:$I$89,5,0)</f>
        <v>423.16040000000004</v>
      </c>
      <c r="AK116" s="14">
        <f t="shared" si="89"/>
        <v>96.456588948417291</v>
      </c>
      <c r="AL116" s="22">
        <f t="shared" si="58"/>
        <v>904.9995890851601</v>
      </c>
      <c r="AM116" s="62">
        <f t="shared" si="59"/>
        <v>1198.3329224184934</v>
      </c>
      <c r="AN116" s="62">
        <f ca="1">AVERAGE(OFFSET($AM$3,0,0,'Données projet'!$E$10+1,1))-AVERAGE(OFFSET($H$3,0,0,'Données projet'!$E$10+1,1))</f>
        <v>491.47342911047105</v>
      </c>
      <c r="AO116" s="62">
        <f t="shared" si="90"/>
        <v>58.734453933891757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</v>
      </c>
      <c r="BD116" s="13">
        <f>IF('Données projet'!$A$88&gt;35,BD115+BC116-BL115,IF(A116&lt;'Données projet'!$A$88,$BA$205^A116,IF(A116='Données projet'!$A$88,'Données projet'!$B$88,BD115+BC116-BL115)))</f>
        <v>295.99999999999972</v>
      </c>
      <c r="BE116" s="14">
        <f>BD116*VLOOKUP('Données projet'!$B$11,Paramètres!$A$1:$I$89,3,0)*VLOOKUP('Données projet'!$B$11,Paramètres!$A$1:$I$89,5,0)</f>
        <v>249.35039999999978</v>
      </c>
      <c r="BF116" s="14">
        <f t="shared" si="91"/>
        <v>60.446817732908109</v>
      </c>
      <c r="BG116" s="22">
        <f t="shared" si="61"/>
        <v>539.56348755148122</v>
      </c>
      <c r="BH116" s="62">
        <f t="shared" si="62"/>
        <v>832.89682088481459</v>
      </c>
      <c r="BI116" s="62">
        <f ca="1">AVERAGE(OFFSET($BH$3,0,0,'Données projet'!$E$11+1,1))-AVERAGE(OFFSET($H$3,0,0,'Données projet'!$E$11+1,1))</f>
        <v>278.21934231434597</v>
      </c>
      <c r="BJ116" s="62">
        <f t="shared" si="92"/>
        <v>143.57726487417773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3.4106051316484809E-13</v>
      </c>
      <c r="BZ116" s="14">
        <f>BY116*VLOOKUP('Données projet'!$B$12,Paramètres!$A$1:$I$89,3,0)*VLOOKUP('Données projet'!$B$12,Paramètres!$A$1:$I$89,5,0)</f>
        <v>2.7134774427395314E-13</v>
      </c>
      <c r="CA116" s="14">
        <f t="shared" si="93"/>
        <v>3.6292411711343559E-12</v>
      </c>
      <c r="CB116" s="22">
        <f t="shared" si="64"/>
        <v>6.7935256943361388E-12</v>
      </c>
      <c r="CC116" s="62">
        <f t="shared" si="65"/>
        <v>293.33333333334014</v>
      </c>
      <c r="CD116" s="62">
        <f ca="1">AVERAGE(OFFSET($CC$3,0,0,'Données projet'!$E$12+1,1))-AVERAGE(OFFSET($H$3,0,0,'Données projet'!$E$12+1,1))</f>
        <v>237.4598967324826</v>
      </c>
      <c r="CE116" s="62">
        <f t="shared" si="94"/>
        <v>218.74305466112406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205.33000726169792</v>
      </c>
      <c r="T117" s="62">
        <f t="shared" si="88"/>
        <v>307.23455947678775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13.2</v>
      </c>
      <c r="AI117" s="14">
        <f>IF('Données projet'!$A$62&gt;35,AI116+AH117-AQ116,IF(A117&lt;'Données projet'!$A$62,$AF$205^A117,IF(A117='Données projet'!$A$62,'Données projet'!$B$62,AI116+AH117-AQ116)))</f>
        <v>869.80000000000007</v>
      </c>
      <c r="AJ117" s="14">
        <f>AI117*VLOOKUP('Données projet'!$B$10,Paramètres!$A$1:$I$89,3,0)*VLOOKUP('Données projet'!$B$10,Paramètres!$A$1:$I$89,5,0)</f>
        <v>429.6812000000001</v>
      </c>
      <c r="AK117" s="14">
        <f t="shared" si="89"/>
        <v>97.768776805769406</v>
      </c>
      <c r="AL117" s="22">
        <f t="shared" si="58"/>
        <v>918.64204293671526</v>
      </c>
      <c r="AM117" s="62">
        <f t="shared" si="59"/>
        <v>1211.9753762700486</v>
      </c>
      <c r="AN117" s="62">
        <f ca="1">AVERAGE(OFFSET($AM$3,0,0,'Données projet'!$E$10+1,1))-AVERAGE(OFFSET($H$3,0,0,'Données projet'!$E$10+1,1))</f>
        <v>491.47342911047105</v>
      </c>
      <c r="AO117" s="62">
        <f t="shared" si="90"/>
        <v>58.734453933891757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</v>
      </c>
      <c r="BD117" s="13">
        <f>IF('Données projet'!$A$88&gt;35,BD116+BC117-BL116,IF(A117&lt;'Données projet'!$A$88,$BA$205^A117,IF(A117='Données projet'!$A$88,'Données projet'!$B$88,BD116+BC117-BL116)))</f>
        <v>299.99999999999972</v>
      </c>
      <c r="BE117" s="14">
        <f>BD117*VLOOKUP('Données projet'!$B$11,Paramètres!$A$1:$I$89,3,0)*VLOOKUP('Données projet'!$B$11,Paramètres!$A$1:$I$89,5,0)</f>
        <v>252.7199999999998</v>
      </c>
      <c r="BF117" s="14">
        <f t="shared" si="91"/>
        <v>61.168020584496766</v>
      </c>
      <c r="BG117" s="22">
        <f t="shared" si="61"/>
        <v>546.6883025179983</v>
      </c>
      <c r="BH117" s="62">
        <f t="shared" si="62"/>
        <v>840.02163585133167</v>
      </c>
      <c r="BI117" s="62">
        <f ca="1">AVERAGE(OFFSET($BH$3,0,0,'Données projet'!$E$11+1,1))-AVERAGE(OFFSET($H$3,0,0,'Données projet'!$E$11+1,1))</f>
        <v>278.21934231434597</v>
      </c>
      <c r="BJ117" s="62">
        <f t="shared" si="92"/>
        <v>143.57726487417773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3.4106051316484809E-13</v>
      </c>
      <c r="BZ117" s="14">
        <f>BY117*VLOOKUP('Données projet'!$B$12,Paramètres!$A$1:$I$89,3,0)*VLOOKUP('Données projet'!$B$12,Paramètres!$A$1:$I$89,5,0)</f>
        <v>2.7134774427395314E-13</v>
      </c>
      <c r="CA117" s="14">
        <f t="shared" si="93"/>
        <v>3.6292411711343559E-12</v>
      </c>
      <c r="CB117" s="22">
        <f t="shared" si="64"/>
        <v>6.7935256943361388E-12</v>
      </c>
      <c r="CC117" s="62">
        <f t="shared" si="65"/>
        <v>293.33333333334014</v>
      </c>
      <c r="CD117" s="62">
        <f ca="1">AVERAGE(OFFSET($CC$3,0,0,'Données projet'!$E$12+1,1))-AVERAGE(OFFSET($H$3,0,0,'Données projet'!$E$12+1,1))</f>
        <v>237.4598967324826</v>
      </c>
      <c r="CE117" s="62">
        <f t="shared" si="94"/>
        <v>218.74305466112406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205.33000726169792</v>
      </c>
      <c r="T118" s="62">
        <f t="shared" si="88"/>
        <v>307.23455947678775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13.2</v>
      </c>
      <c r="AI118" s="14">
        <f>IF('Données projet'!$A$62&gt;35,AI117+AH118-AQ117,IF(A118&lt;'Données projet'!$A$62,$AF$205^A118,IF(A118='Données projet'!$A$62,'Données projet'!$B$62,AI117+AH118-AQ117)))</f>
        <v>883.00000000000011</v>
      </c>
      <c r="AJ118" s="14">
        <f>AI118*VLOOKUP('Données projet'!$B$10,Paramètres!$A$1:$I$89,3,0)*VLOOKUP('Données projet'!$B$10,Paramètres!$A$1:$I$89,5,0)</f>
        <v>436.20200000000006</v>
      </c>
      <c r="AK118" s="14">
        <f t="shared" si="89"/>
        <v>99.07864866810641</v>
      </c>
      <c r="AL118" s="22">
        <f t="shared" si="58"/>
        <v>932.28046309695208</v>
      </c>
      <c r="AM118" s="62">
        <f t="shared" si="59"/>
        <v>1225.6137964302854</v>
      </c>
      <c r="AN118" s="62">
        <f ca="1">AVERAGE(OFFSET($AM$3,0,0,'Données projet'!$E$10+1,1))-AVERAGE(OFFSET($H$3,0,0,'Données projet'!$E$10+1,1))</f>
        <v>491.47342911047105</v>
      </c>
      <c r="AO118" s="62">
        <f t="shared" si="90"/>
        <v>58.734453933891757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304</v>
      </c>
      <c r="BB118" s="13">
        <f>VLOOKUP(A118,'Données projet'!$A$87:$I$107,9,0)</f>
        <v>4</v>
      </c>
      <c r="BC118" s="13">
        <f t="array" ref="BC118">INDEX(BB:BB,MIN(IF(ISNUMBER(BB118:BB314),ROW(BB118:BB314),"")))</f>
        <v>4</v>
      </c>
      <c r="BD118" s="13">
        <f>IF('Données projet'!$A$88&gt;35,BD117+BC118-BL117,IF(A118&lt;'Données projet'!$A$88,$BA$205^A118,IF(A118='Données projet'!$A$88,'Données projet'!$B$88,BD117+BC118-BL117)))</f>
        <v>303.99999999999972</v>
      </c>
      <c r="BE118" s="14">
        <f>BD118*VLOOKUP('Données projet'!$B$11,Paramètres!$A$1:$I$89,3,0)*VLOOKUP('Données projet'!$B$11,Paramètres!$A$1:$I$89,5,0)</f>
        <v>256.08959999999979</v>
      </c>
      <c r="BF118" s="14">
        <f t="shared" si="91"/>
        <v>61.888104962349715</v>
      </c>
      <c r="BG118" s="22">
        <f t="shared" si="61"/>
        <v>553.811169476092</v>
      </c>
      <c r="BH118" s="62">
        <f t="shared" si="62"/>
        <v>847.14450280942538</v>
      </c>
      <c r="BI118" s="62">
        <f ca="1">AVERAGE(OFFSET($BH$3,0,0,'Données projet'!$E$11+1,1))-AVERAGE(OFFSET($H$3,0,0,'Données projet'!$E$11+1,1))</f>
        <v>278.21934231434597</v>
      </c>
      <c r="BJ118" s="62">
        <f t="shared" si="92"/>
        <v>143.57726487417773</v>
      </c>
      <c r="BK118" s="16">
        <f>IF(ISNA(VLOOKUP(A118,'Données projet'!$A$87:$I$107,3,0)),0,VLOOKUP(A118,'Données projet'!$A$87:$I$107,3,0))</f>
        <v>10</v>
      </c>
      <c r="BL118" s="16">
        <f>IF(ISNA(VLOOKUP(A118,'Données projet'!$A$87:$I$107,4,0)),0,VLOOKUP(A118,'Données projet'!$A$87:$I$107,4,0))</f>
        <v>37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3.4106051316484809E-13</v>
      </c>
      <c r="BZ118" s="14">
        <f>BY118*VLOOKUP('Données projet'!$B$12,Paramètres!$A$1:$I$89,3,0)*VLOOKUP('Données projet'!$B$12,Paramètres!$A$1:$I$89,5,0)</f>
        <v>2.7134774427395314E-13</v>
      </c>
      <c r="CA118" s="14">
        <f t="shared" si="93"/>
        <v>3.6292411711343559E-12</v>
      </c>
      <c r="CB118" s="22">
        <f t="shared" si="64"/>
        <v>6.7935256943361388E-12</v>
      </c>
      <c r="CC118" s="62">
        <f t="shared" si="65"/>
        <v>293.33333333334014</v>
      </c>
      <c r="CD118" s="62">
        <f ca="1">AVERAGE(OFFSET($CC$3,0,0,'Données projet'!$E$12+1,1))-AVERAGE(OFFSET($H$3,0,0,'Données projet'!$E$12+1,1))</f>
        <v>237.4598967324826</v>
      </c>
      <c r="CE118" s="62">
        <f t="shared" si="94"/>
        <v>218.74305466112406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205.33000726169792</v>
      </c>
      <c r="T119" s="62">
        <f t="shared" si="88"/>
        <v>307.23455947678775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13.2</v>
      </c>
      <c r="AI119" s="14">
        <f>IF('Données projet'!$A$62&gt;35,AI118+AH119-AQ118,IF(A119&lt;'Données projet'!$A$62,$AF$205^A119,IF(A119='Données projet'!$A$62,'Données projet'!$B$62,AI118+AH119-AQ118)))</f>
        <v>896.20000000000016</v>
      </c>
      <c r="AJ119" s="14">
        <f>AI119*VLOOKUP('Données projet'!$B$10,Paramètres!$A$1:$I$89,3,0)*VLOOKUP('Données projet'!$B$10,Paramètres!$A$1:$I$89,5,0)</f>
        <v>442.72280000000006</v>
      </c>
      <c r="AK119" s="14">
        <f t="shared" si="89"/>
        <v>100.3862431566005</v>
      </c>
      <c r="AL119" s="22">
        <f t="shared" si="58"/>
        <v>945.91491683107927</v>
      </c>
      <c r="AM119" s="62">
        <f t="shared" si="59"/>
        <v>1239.2482501644126</v>
      </c>
      <c r="AN119" s="62">
        <f ca="1">AVERAGE(OFFSET($AM$3,0,0,'Données projet'!$E$10+1,1))-AVERAGE(OFFSET($H$3,0,0,'Données projet'!$E$10+1,1))</f>
        <v>491.47342911047105</v>
      </c>
      <c r="AO119" s="62">
        <f t="shared" si="90"/>
        <v>58.734453933891757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3.4</v>
      </c>
      <c r="BD119" s="13">
        <f>IF('Données projet'!$A$88&gt;35,BD118+BC119-BL118,IF(A119&lt;'Données projet'!$A$88,$BA$205^A119,IF(A119='Données projet'!$A$88,'Données projet'!$B$88,BD118+BC119-BL118)))</f>
        <v>270.39999999999969</v>
      </c>
      <c r="BE119" s="14">
        <f>BD119*VLOOKUP('Données projet'!$B$11,Paramètres!$A$1:$I$89,3,0)*VLOOKUP('Données projet'!$B$11,Paramètres!$A$1:$I$89,5,0)</f>
        <v>227.78495999999978</v>
      </c>
      <c r="BF119" s="14">
        <f t="shared" si="91"/>
        <v>55.803468680001693</v>
      </c>
      <c r="BG119" s="22">
        <f t="shared" si="61"/>
        <v>493.91651328433591</v>
      </c>
      <c r="BH119" s="62">
        <f t="shared" si="62"/>
        <v>787.24984661766916</v>
      </c>
      <c r="BI119" s="62">
        <f ca="1">AVERAGE(OFFSET($BH$3,0,0,'Données projet'!$E$11+1,1))-AVERAGE(OFFSET($H$3,0,0,'Données projet'!$E$11+1,1))</f>
        <v>278.21934231434597</v>
      </c>
      <c r="BJ119" s="62">
        <f t="shared" si="92"/>
        <v>143.57726487417773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3.4106051316484809E-13</v>
      </c>
      <c r="BZ119" s="14">
        <f>BY119*VLOOKUP('Données projet'!$B$12,Paramètres!$A$1:$I$89,3,0)*VLOOKUP('Données projet'!$B$12,Paramètres!$A$1:$I$89,5,0)</f>
        <v>2.7134774427395314E-13</v>
      </c>
      <c r="CA119" s="14">
        <f t="shared" si="93"/>
        <v>3.6292411711343559E-12</v>
      </c>
      <c r="CB119" s="22">
        <f t="shared" si="64"/>
        <v>6.7935256943361388E-12</v>
      </c>
      <c r="CC119" s="62">
        <f t="shared" si="65"/>
        <v>293.33333333334014</v>
      </c>
      <c r="CD119" s="62">
        <f ca="1">AVERAGE(OFFSET($CC$3,0,0,'Données projet'!$E$12+1,1))-AVERAGE(OFFSET($H$3,0,0,'Données projet'!$E$12+1,1))</f>
        <v>237.4598967324826</v>
      </c>
      <c r="CE119" s="62">
        <f t="shared" si="94"/>
        <v>218.74305466112406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205.33000726169792</v>
      </c>
      <c r="T120" s="62">
        <f t="shared" si="88"/>
        <v>307.23455947678775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13.2</v>
      </c>
      <c r="AI120" s="14">
        <f>IF('Données projet'!$A$62&gt;35,AI119+AH120-AQ119,IF(A120&lt;'Données projet'!$A$62,$AF$205^A120,IF(A120='Données projet'!$A$62,'Données projet'!$B$62,AI119+AH120-AQ119)))</f>
        <v>909.4000000000002</v>
      </c>
      <c r="AJ120" s="14">
        <f>AI120*VLOOKUP('Données projet'!$B$10,Paramètres!$A$1:$I$89,3,0)*VLOOKUP('Données projet'!$B$10,Paramètres!$A$1:$I$89,5,0)</f>
        <v>449.24360000000007</v>
      </c>
      <c r="AK120" s="14">
        <f t="shared" si="89"/>
        <v>101.69159768942042</v>
      </c>
      <c r="AL120" s="22">
        <f t="shared" si="58"/>
        <v>959.54546930907406</v>
      </c>
      <c r="AM120" s="62">
        <f t="shared" si="59"/>
        <v>1252.8788026424074</v>
      </c>
      <c r="AN120" s="62">
        <f ca="1">AVERAGE(OFFSET($AM$3,0,0,'Données projet'!$E$10+1,1))-AVERAGE(OFFSET($H$3,0,0,'Données projet'!$E$10+1,1))</f>
        <v>491.47342911047105</v>
      </c>
      <c r="AO120" s="62">
        <f t="shared" si="90"/>
        <v>58.734453933891757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3.4</v>
      </c>
      <c r="BD120" s="13">
        <f>IF('Données projet'!$A$88&gt;35,BD119+BC120-BL119,IF(A120&lt;'Données projet'!$A$88,$BA$205^A120,IF(A120='Données projet'!$A$88,'Données projet'!$B$88,BD119+BC120-BL119)))</f>
        <v>273.79999999999967</v>
      </c>
      <c r="BE120" s="14">
        <f>BD120*VLOOKUP('Données projet'!$B$11,Paramètres!$A$1:$I$89,3,0)*VLOOKUP('Données projet'!$B$11,Paramètres!$A$1:$I$89,5,0)</f>
        <v>230.64911999999975</v>
      </c>
      <c r="BF120" s="14">
        <f t="shared" si="91"/>
        <v>56.423013421666532</v>
      </c>
      <c r="BG120" s="22">
        <f t="shared" si="61"/>
        <v>499.98396570940207</v>
      </c>
      <c r="BH120" s="62">
        <f t="shared" si="62"/>
        <v>793.31729904273539</v>
      </c>
      <c r="BI120" s="62">
        <f ca="1">AVERAGE(OFFSET($BH$3,0,0,'Données projet'!$E$11+1,1))-AVERAGE(OFFSET($H$3,0,0,'Données projet'!$E$11+1,1))</f>
        <v>278.21934231434597</v>
      </c>
      <c r="BJ120" s="62">
        <f t="shared" si="92"/>
        <v>143.57726487417773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3.4106051316484809E-13</v>
      </c>
      <c r="BZ120" s="14">
        <f>BY120*VLOOKUP('Données projet'!$B$12,Paramètres!$A$1:$I$89,3,0)*VLOOKUP('Données projet'!$B$12,Paramètres!$A$1:$I$89,5,0)</f>
        <v>2.7134774427395314E-13</v>
      </c>
      <c r="CA120" s="14">
        <f t="shared" si="93"/>
        <v>3.6292411711343559E-12</v>
      </c>
      <c r="CB120" s="22">
        <f t="shared" si="64"/>
        <v>6.7935256943361388E-12</v>
      </c>
      <c r="CC120" s="62">
        <f t="shared" si="65"/>
        <v>293.33333333334014</v>
      </c>
      <c r="CD120" s="62">
        <f ca="1">AVERAGE(OFFSET($CC$3,0,0,'Données projet'!$E$12+1,1))-AVERAGE(OFFSET($H$3,0,0,'Données projet'!$E$12+1,1))</f>
        <v>237.4598967324826</v>
      </c>
      <c r="CE120" s="62">
        <f t="shared" si="94"/>
        <v>218.74305466112406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205.33000726169792</v>
      </c>
      <c r="T121" s="62">
        <f t="shared" si="88"/>
        <v>307.23455947678775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13.2</v>
      </c>
      <c r="AI121" s="14">
        <f>IF('Données projet'!$A$62&gt;35,AI120+AH121-AQ120,IF(A121&lt;'Données projet'!$A$62,$AF$205^A121,IF(A121='Données projet'!$A$62,'Données projet'!$B$62,AI120+AH121-AQ120)))</f>
        <v>922.60000000000025</v>
      </c>
      <c r="AJ121" s="14">
        <f>AI121*VLOOKUP('Données projet'!$B$10,Paramètres!$A$1:$I$89,3,0)*VLOOKUP('Données projet'!$B$10,Paramètres!$A$1:$I$89,5,0)</f>
        <v>455.76440000000014</v>
      </c>
      <c r="AK121" s="14">
        <f t="shared" si="89"/>
        <v>102.9947485361111</v>
      </c>
      <c r="AL121" s="22">
        <f t="shared" si="58"/>
        <v>973.17218370039382</v>
      </c>
      <c r="AM121" s="62">
        <f t="shared" si="59"/>
        <v>1266.5055170337271</v>
      </c>
      <c r="AN121" s="62">
        <f ca="1">AVERAGE(OFFSET($AM$3,0,0,'Données projet'!$E$10+1,1))-AVERAGE(OFFSET($H$3,0,0,'Données projet'!$E$10+1,1))</f>
        <v>491.47342911047105</v>
      </c>
      <c r="AO121" s="62">
        <f t="shared" si="90"/>
        <v>58.734453933891757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3.4</v>
      </c>
      <c r="BD121" s="13">
        <f>IF('Données projet'!$A$88&gt;35,BD120+BC121-BL120,IF(A121&lt;'Données projet'!$A$88,$BA$205^A121,IF(A121='Données projet'!$A$88,'Données projet'!$B$88,BD120+BC121-BL120)))</f>
        <v>277.19999999999965</v>
      </c>
      <c r="BE121" s="14">
        <f>BD121*VLOOKUP('Données projet'!$B$11,Paramètres!$A$1:$I$89,3,0)*VLOOKUP('Données projet'!$B$11,Paramètres!$A$1:$I$89,5,0)</f>
        <v>233.51327999999972</v>
      </c>
      <c r="BF121" s="14">
        <f t="shared" si="91"/>
        <v>57.041663274479788</v>
      </c>
      <c r="BG121" s="22">
        <f t="shared" si="61"/>
        <v>506.04985953638516</v>
      </c>
      <c r="BH121" s="62">
        <f t="shared" si="62"/>
        <v>799.38319286971841</v>
      </c>
      <c r="BI121" s="62">
        <f ca="1">AVERAGE(OFFSET($BH$3,0,0,'Données projet'!$E$11+1,1))-AVERAGE(OFFSET($H$3,0,0,'Données projet'!$E$11+1,1))</f>
        <v>278.21934231434597</v>
      </c>
      <c r="BJ121" s="62">
        <f t="shared" si="92"/>
        <v>143.57726487417773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3.4106051316484809E-13</v>
      </c>
      <c r="BZ121" s="14">
        <f>BY121*VLOOKUP('Données projet'!$B$12,Paramètres!$A$1:$I$89,3,0)*VLOOKUP('Données projet'!$B$12,Paramètres!$A$1:$I$89,5,0)</f>
        <v>2.7134774427395314E-13</v>
      </c>
      <c r="CA121" s="14">
        <f t="shared" si="93"/>
        <v>3.6292411711343559E-12</v>
      </c>
      <c r="CB121" s="22">
        <f t="shared" si="64"/>
        <v>6.7935256943361388E-12</v>
      </c>
      <c r="CC121" s="62">
        <f t="shared" si="65"/>
        <v>293.33333333334014</v>
      </c>
      <c r="CD121" s="62">
        <f ca="1">AVERAGE(OFFSET($CC$3,0,0,'Données projet'!$E$12+1,1))-AVERAGE(OFFSET($H$3,0,0,'Données projet'!$E$12+1,1))</f>
        <v>237.4598967324826</v>
      </c>
      <c r="CE121" s="62">
        <f t="shared" si="94"/>
        <v>218.74305466112406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205.33000726169792</v>
      </c>
      <c r="T122" s="62">
        <f t="shared" si="88"/>
        <v>307.23455947678775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13.2</v>
      </c>
      <c r="AI122" s="14">
        <f>IF('Données projet'!$A$62&gt;35,AI121+AH122-AQ121,IF(A122&lt;'Données projet'!$A$62,$AF$205^A122,IF(A122='Données projet'!$A$62,'Données projet'!$B$62,AI121+AH122-AQ121)))</f>
        <v>935.8000000000003</v>
      </c>
      <c r="AJ122" s="14">
        <f>AI122*VLOOKUP('Données projet'!$B$10,Paramètres!$A$1:$I$89,3,0)*VLOOKUP('Données projet'!$B$10,Paramètres!$A$1:$I$89,5,0)</f>
        <v>462.28520000000015</v>
      </c>
      <c r="AK122" s="14">
        <f t="shared" si="89"/>
        <v>104.29573086877164</v>
      </c>
      <c r="AL122" s="22">
        <f t="shared" si="58"/>
        <v>986.7951212631109</v>
      </c>
      <c r="AM122" s="62">
        <f t="shared" si="59"/>
        <v>1280.1284545964443</v>
      </c>
      <c r="AN122" s="62">
        <f ca="1">AVERAGE(OFFSET($AM$3,0,0,'Données projet'!$E$10+1,1))-AVERAGE(OFFSET($H$3,0,0,'Données projet'!$E$10+1,1))</f>
        <v>491.47342911047105</v>
      </c>
      <c r="AO122" s="62">
        <f t="shared" si="90"/>
        <v>58.734453933891757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3.4</v>
      </c>
      <c r="BD122" s="13">
        <f>IF('Données projet'!$A$88&gt;35,BD121+BC122-BL121,IF(A122&lt;'Données projet'!$A$88,$BA$205^A122,IF(A122='Données projet'!$A$88,'Données projet'!$B$88,BD121+BC122-BL121)))</f>
        <v>280.59999999999962</v>
      </c>
      <c r="BE122" s="14">
        <f>BD122*VLOOKUP('Données projet'!$B$11,Paramètres!$A$1:$I$89,3,0)*VLOOKUP('Données projet'!$B$11,Paramètres!$A$1:$I$89,5,0)</f>
        <v>236.37743999999969</v>
      </c>
      <c r="BF122" s="14">
        <f t="shared" si="91"/>
        <v>57.659430484223719</v>
      </c>
      <c r="BG122" s="22">
        <f t="shared" si="61"/>
        <v>512.11421609335571</v>
      </c>
      <c r="BH122" s="62">
        <f t="shared" si="62"/>
        <v>805.44754942668897</v>
      </c>
      <c r="BI122" s="62">
        <f ca="1">AVERAGE(OFFSET($BH$3,0,0,'Données projet'!$E$11+1,1))-AVERAGE(OFFSET($H$3,0,0,'Données projet'!$E$11+1,1))</f>
        <v>278.21934231434597</v>
      </c>
      <c r="BJ122" s="62">
        <f t="shared" si="92"/>
        <v>143.57726487417773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3.4106051316484809E-13</v>
      </c>
      <c r="BZ122" s="14">
        <f>BY122*VLOOKUP('Données projet'!$B$12,Paramètres!$A$1:$I$89,3,0)*VLOOKUP('Données projet'!$B$12,Paramètres!$A$1:$I$89,5,0)</f>
        <v>2.7134774427395314E-13</v>
      </c>
      <c r="CA122" s="14">
        <f t="shared" si="93"/>
        <v>3.6292411711343559E-12</v>
      </c>
      <c r="CB122" s="22">
        <f t="shared" si="64"/>
        <v>6.7935256943361388E-12</v>
      </c>
      <c r="CC122" s="62">
        <f t="shared" si="65"/>
        <v>293.33333333334014</v>
      </c>
      <c r="CD122" s="62">
        <f ca="1">AVERAGE(OFFSET($CC$3,0,0,'Données projet'!$E$12+1,1))-AVERAGE(OFFSET($H$3,0,0,'Données projet'!$E$12+1,1))</f>
        <v>237.4598967324826</v>
      </c>
      <c r="CE122" s="62">
        <f t="shared" si="94"/>
        <v>218.74305466112406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205.33000726169792</v>
      </c>
      <c r="T123" s="62">
        <f t="shared" si="88"/>
        <v>307.23455947678775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949</v>
      </c>
      <c r="AG123" s="13">
        <f>VLOOKUP(A123,'Données projet'!$A$61:$I$81,9,0)</f>
        <v>13.2</v>
      </c>
      <c r="AH123" s="13">
        <f t="array" ref="AH123">INDEX(AG:AG,MIN(IF(ISNUMBER(AG123:AG319),ROW(AG123:AG319),"")))</f>
        <v>13.2</v>
      </c>
      <c r="AI123" s="14">
        <f>IF('Données projet'!$A$62&gt;35,AI122+AH123-AQ122,IF(A123&lt;'Données projet'!$A$62,$AF$205^A123,IF(A123='Données projet'!$A$62,'Données projet'!$B$62,AI122+AH123-AQ122)))</f>
        <v>949.00000000000034</v>
      </c>
      <c r="AJ123" s="14">
        <f>AI123*VLOOKUP('Données projet'!$B$10,Paramètres!$A$1:$I$89,3,0)*VLOOKUP('Données projet'!$B$10,Paramètres!$A$1:$I$89,5,0)</f>
        <v>468.80600000000015</v>
      </c>
      <c r="AK123" s="14">
        <f t="shared" si="89"/>
        <v>105.59457881026492</v>
      </c>
      <c r="AL123" s="22">
        <f t="shared" si="58"/>
        <v>1000.4143414278782</v>
      </c>
      <c r="AM123" s="62">
        <f t="shared" si="59"/>
        <v>1293.7476747612116</v>
      </c>
      <c r="AN123" s="62">
        <f ca="1">AVERAGE(OFFSET($AM$3,0,0,'Données projet'!$E$10+1,1))-AVERAGE(OFFSET($H$3,0,0,'Données projet'!$E$10+1,1))</f>
        <v>491.47342911047105</v>
      </c>
      <c r="AO123" s="62">
        <f t="shared" si="90"/>
        <v>58.734453933891757</v>
      </c>
      <c r="AP123" s="16">
        <f>IF(ISNA(VLOOKUP(A123,'Données projet'!$A$61:$I$81,3,0)),0,VLOOKUP(A123,'Données projet'!$A$61:$I$81,3,0))</f>
        <v>5</v>
      </c>
      <c r="AQ123" s="16">
        <f>IF(ISNA(VLOOKUP(A123,'Données projet'!$A$61:$I$81,4,0)),0,VLOOKUP(A123,'Données projet'!$A$61:$I$81,4,0))</f>
        <v>156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3.4</v>
      </c>
      <c r="BD123" s="13">
        <f>IF('Données projet'!$A$88&gt;35,BD122+BC123-BL122,IF(A123&lt;'Données projet'!$A$88,$BA$205^A123,IF(A123='Données projet'!$A$88,'Données projet'!$B$88,BD122+BC123-BL122)))</f>
        <v>283.9999999999996</v>
      </c>
      <c r="BE123" s="14">
        <f>BD123*VLOOKUP('Données projet'!$B$11,Paramètres!$A$1:$I$89,3,0)*VLOOKUP('Données projet'!$B$11,Paramètres!$A$1:$I$89,5,0)</f>
        <v>239.24159999999966</v>
      </c>
      <c r="BF123" s="14">
        <f t="shared" si="91"/>
        <v>58.276326982845781</v>
      </c>
      <c r="BG123" s="22">
        <f t="shared" si="61"/>
        <v>518.1770561617891</v>
      </c>
      <c r="BH123" s="62">
        <f t="shared" si="62"/>
        <v>811.51038949512235</v>
      </c>
      <c r="BI123" s="62">
        <f ca="1">AVERAGE(OFFSET($BH$3,0,0,'Données projet'!$E$11+1,1))-AVERAGE(OFFSET($H$3,0,0,'Données projet'!$E$11+1,1))</f>
        <v>278.21934231434597</v>
      </c>
      <c r="BJ123" s="62">
        <f t="shared" si="92"/>
        <v>143.57726487417773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3.4106051316484809E-13</v>
      </c>
      <c r="BZ123" s="14">
        <f>BY123*VLOOKUP('Données projet'!$B$12,Paramètres!$A$1:$I$89,3,0)*VLOOKUP('Données projet'!$B$12,Paramètres!$A$1:$I$89,5,0)</f>
        <v>2.7134774427395314E-13</v>
      </c>
      <c r="CA123" s="14">
        <f t="shared" si="93"/>
        <v>3.6292411711343559E-12</v>
      </c>
      <c r="CB123" s="22">
        <f t="shared" si="64"/>
        <v>6.7935256943361388E-12</v>
      </c>
      <c r="CC123" s="62">
        <f t="shared" si="65"/>
        <v>293.33333333334014</v>
      </c>
      <c r="CD123" s="62">
        <f ca="1">AVERAGE(OFFSET($CC$3,0,0,'Données projet'!$E$12+1,1))-AVERAGE(OFFSET($H$3,0,0,'Données projet'!$E$12+1,1))</f>
        <v>237.4598967324826</v>
      </c>
      <c r="CE123" s="62">
        <f t="shared" si="94"/>
        <v>218.74305466112406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205.33000726169792</v>
      </c>
      <c r="T124" s="62">
        <f t="shared" si="88"/>
        <v>307.23455947678775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10.533333333333333</v>
      </c>
      <c r="AI124" s="14">
        <f>IF('Données projet'!$A$62&gt;35,AI123+AH124-AQ123,IF(A124&lt;'Données projet'!$A$62,$AF$205^A124,IF(A124='Données projet'!$A$62,'Données projet'!$B$62,AI123+AH124-AQ123)))</f>
        <v>803.53333333333364</v>
      </c>
      <c r="AJ124" s="14">
        <f>AI124*VLOOKUP('Données projet'!$B$10,Paramètres!$A$1:$I$89,3,0)*VLOOKUP('Données projet'!$B$10,Paramètres!$A$1:$I$89,5,0)</f>
        <v>396.94546666666685</v>
      </c>
      <c r="AK124" s="14">
        <f t="shared" si="89"/>
        <v>91.157129458647461</v>
      </c>
      <c r="AL124" s="22">
        <f t="shared" si="58"/>
        <v>850.11202158492245</v>
      </c>
      <c r="AM124" s="62">
        <f t="shared" si="59"/>
        <v>1143.4453549182558</v>
      </c>
      <c r="AN124" s="62">
        <f ca="1">AVERAGE(OFFSET($AM$3,0,0,'Données projet'!$E$10+1,1))-AVERAGE(OFFSET($H$3,0,0,'Données projet'!$E$10+1,1))</f>
        <v>491.47342911047105</v>
      </c>
      <c r="AO124" s="62">
        <f t="shared" si="90"/>
        <v>58.734453933891757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3.4</v>
      </c>
      <c r="BD124" s="13">
        <f>IF('Données projet'!$A$88&gt;35,BD123+BC124-BL123,IF(A124&lt;'Données projet'!$A$88,$BA$205^A124,IF(A124='Données projet'!$A$88,'Données projet'!$B$88,BD123+BC124-BL123)))</f>
        <v>287.39999999999958</v>
      </c>
      <c r="BE124" s="14">
        <f>BD124*VLOOKUP('Données projet'!$B$11,Paramètres!$A$1:$I$89,3,0)*VLOOKUP('Données projet'!$B$11,Paramètres!$A$1:$I$89,5,0)</f>
        <v>242.10575999999966</v>
      </c>
      <c r="BF124" s="14">
        <f t="shared" si="91"/>
        <v>58.892364400160623</v>
      </c>
      <c r="BG124" s="22">
        <f t="shared" si="61"/>
        <v>524.23839999694576</v>
      </c>
      <c r="BH124" s="62">
        <f t="shared" si="62"/>
        <v>817.57173333027913</v>
      </c>
      <c r="BI124" s="62">
        <f ca="1">AVERAGE(OFFSET($BH$3,0,0,'Données projet'!$E$11+1,1))-AVERAGE(OFFSET($H$3,0,0,'Données projet'!$E$11+1,1))</f>
        <v>278.21934231434597</v>
      </c>
      <c r="BJ124" s="62">
        <f t="shared" si="92"/>
        <v>143.57726487417773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3.4106051316484809E-13</v>
      </c>
      <c r="BZ124" s="14">
        <f>BY124*VLOOKUP('Données projet'!$B$12,Paramètres!$A$1:$I$89,3,0)*VLOOKUP('Données projet'!$B$12,Paramètres!$A$1:$I$89,5,0)</f>
        <v>2.7134774427395314E-13</v>
      </c>
      <c r="CA124" s="14">
        <f t="shared" si="93"/>
        <v>3.6292411711343559E-12</v>
      </c>
      <c r="CB124" s="22">
        <f t="shared" si="64"/>
        <v>6.7935256943361388E-12</v>
      </c>
      <c r="CC124" s="62">
        <f t="shared" si="65"/>
        <v>293.33333333334014</v>
      </c>
      <c r="CD124" s="62">
        <f ca="1">AVERAGE(OFFSET($CC$3,0,0,'Données projet'!$E$12+1,1))-AVERAGE(OFFSET($H$3,0,0,'Données projet'!$E$12+1,1))</f>
        <v>237.4598967324826</v>
      </c>
      <c r="CE124" s="62">
        <f t="shared" si="94"/>
        <v>218.74305466112406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205.33000726169792</v>
      </c>
      <c r="T125" s="62">
        <f t="shared" si="88"/>
        <v>307.23455947678775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10.533333333333333</v>
      </c>
      <c r="AI125" s="14">
        <f>IF('Données projet'!$A$62&gt;35,AI124+AH125-AQ124,IF(A125&lt;'Données projet'!$A$62,$AF$205^A125,IF(A125='Données projet'!$A$62,'Données projet'!$B$62,AI124+AH125-AQ124)))</f>
        <v>814.06666666666695</v>
      </c>
      <c r="AJ125" s="14">
        <f>AI125*VLOOKUP('Données projet'!$B$10,Paramètres!$A$1:$I$89,3,0)*VLOOKUP('Données projet'!$B$10,Paramètres!$A$1:$I$89,5,0)</f>
        <v>402.14893333333345</v>
      </c>
      <c r="AK125" s="14">
        <f t="shared" si="89"/>
        <v>92.212192528734747</v>
      </c>
      <c r="AL125" s="22">
        <f t="shared" si="58"/>
        <v>861.01229420976881</v>
      </c>
      <c r="AM125" s="62">
        <f t="shared" si="59"/>
        <v>1154.3456275431022</v>
      </c>
      <c r="AN125" s="62">
        <f ca="1">AVERAGE(OFFSET($AM$3,0,0,'Données projet'!$E$10+1,1))-AVERAGE(OFFSET($H$3,0,0,'Données projet'!$E$10+1,1))</f>
        <v>491.47342911047105</v>
      </c>
      <c r="AO125" s="62">
        <f t="shared" si="90"/>
        <v>58.734453933891757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3.4</v>
      </c>
      <c r="BD125" s="13">
        <f>IF('Données projet'!$A$88&gt;35,BD124+BC125-BL124,IF(A125&lt;'Données projet'!$A$88,$BA$205^A125,IF(A125='Données projet'!$A$88,'Données projet'!$B$88,BD124+BC125-BL124)))</f>
        <v>290.79999999999956</v>
      </c>
      <c r="BE125" s="14">
        <f>BD125*VLOOKUP('Données projet'!$B$11,Paramètres!$A$1:$I$89,3,0)*VLOOKUP('Données projet'!$B$11,Paramètres!$A$1:$I$89,5,0)</f>
        <v>244.96991999999966</v>
      </c>
      <c r="BF125" s="14">
        <f t="shared" si="91"/>
        <v>59.507554074982316</v>
      </c>
      <c r="BG125" s="22">
        <f t="shared" si="61"/>
        <v>530.29826734726021</v>
      </c>
      <c r="BH125" s="62">
        <f t="shared" si="62"/>
        <v>823.63160068059346</v>
      </c>
      <c r="BI125" s="62">
        <f ca="1">AVERAGE(OFFSET($BH$3,0,0,'Données projet'!$E$11+1,1))-AVERAGE(OFFSET($H$3,0,0,'Données projet'!$E$11+1,1))</f>
        <v>278.21934231434597</v>
      </c>
      <c r="BJ125" s="62">
        <f t="shared" si="92"/>
        <v>143.57726487417773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3.4106051316484809E-13</v>
      </c>
      <c r="BZ125" s="14">
        <f>BY125*VLOOKUP('Données projet'!$B$12,Paramètres!$A$1:$I$89,3,0)*VLOOKUP('Données projet'!$B$12,Paramètres!$A$1:$I$89,5,0)</f>
        <v>2.7134774427395314E-13</v>
      </c>
      <c r="CA125" s="14">
        <f t="shared" si="93"/>
        <v>3.6292411711343559E-12</v>
      </c>
      <c r="CB125" s="22">
        <f t="shared" si="64"/>
        <v>6.7935256943361388E-12</v>
      </c>
      <c r="CC125" s="62">
        <f t="shared" si="65"/>
        <v>293.33333333334014</v>
      </c>
      <c r="CD125" s="62">
        <f ca="1">AVERAGE(OFFSET($CC$3,0,0,'Données projet'!$E$12+1,1))-AVERAGE(OFFSET($H$3,0,0,'Données projet'!$E$12+1,1))</f>
        <v>237.4598967324826</v>
      </c>
      <c r="CE125" s="62">
        <f t="shared" si="94"/>
        <v>218.74305466112406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205.33000726169792</v>
      </c>
      <c r="T126" s="62">
        <f t="shared" si="88"/>
        <v>307.23455947678775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10.533333333333333</v>
      </c>
      <c r="AI126" s="14">
        <f>IF('Données projet'!$A$62&gt;35,AI125+AH126-AQ125,IF(A126&lt;'Données projet'!$A$62,$AF$205^A126,IF(A126='Données projet'!$A$62,'Données projet'!$B$62,AI125+AH126-AQ125)))</f>
        <v>824.60000000000025</v>
      </c>
      <c r="AJ126" s="14">
        <f>AI126*VLOOKUP('Données projet'!$B$10,Paramètres!$A$1:$I$89,3,0)*VLOOKUP('Données projet'!$B$10,Paramètres!$A$1:$I$89,5,0)</f>
        <v>407.35240000000016</v>
      </c>
      <c r="AK126" s="14">
        <f t="shared" si="89"/>
        <v>93.26566769913002</v>
      </c>
      <c r="AL126" s="22">
        <f t="shared" si="58"/>
        <v>871.90980124265172</v>
      </c>
      <c r="AM126" s="62">
        <f t="shared" si="59"/>
        <v>1165.2431345759851</v>
      </c>
      <c r="AN126" s="62">
        <f ca="1">AVERAGE(OFFSET($AM$3,0,0,'Données projet'!$E$10+1,1))-AVERAGE(OFFSET($H$3,0,0,'Données projet'!$E$10+1,1))</f>
        <v>491.47342911047105</v>
      </c>
      <c r="AO126" s="62">
        <f t="shared" si="90"/>
        <v>58.734453933891757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3.4</v>
      </c>
      <c r="BD126" s="13">
        <f>IF('Données projet'!$A$88&gt;35,BD125+BC126-BL125,IF(A126&lt;'Données projet'!$A$88,$BA$205^A126,IF(A126='Données projet'!$A$88,'Données projet'!$B$88,BD125+BC126-BL125)))</f>
        <v>294.19999999999953</v>
      </c>
      <c r="BE126" s="14">
        <f>BD126*VLOOKUP('Données projet'!$B$11,Paramètres!$A$1:$I$89,3,0)*VLOOKUP('Données projet'!$B$11,Paramètres!$A$1:$I$89,5,0)</f>
        <v>247.83407999999966</v>
      </c>
      <c r="BF126" s="14">
        <f t="shared" si="91"/>
        <v>60.121907065721174</v>
      </c>
      <c r="BG126" s="22">
        <f t="shared" si="61"/>
        <v>536.35667747279706</v>
      </c>
      <c r="BH126" s="62">
        <f t="shared" si="62"/>
        <v>829.69001080613043</v>
      </c>
      <c r="BI126" s="62">
        <f ca="1">AVERAGE(OFFSET($BH$3,0,0,'Données projet'!$E$11+1,1))-AVERAGE(OFFSET($H$3,0,0,'Données projet'!$E$11+1,1))</f>
        <v>278.21934231434597</v>
      </c>
      <c r="BJ126" s="62">
        <f t="shared" si="92"/>
        <v>143.57726487417773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3.4106051316484809E-13</v>
      </c>
      <c r="BZ126" s="14">
        <f>BY126*VLOOKUP('Données projet'!$B$12,Paramètres!$A$1:$I$89,3,0)*VLOOKUP('Données projet'!$B$12,Paramètres!$A$1:$I$89,5,0)</f>
        <v>2.7134774427395314E-13</v>
      </c>
      <c r="CA126" s="14">
        <f t="shared" si="93"/>
        <v>3.6292411711343559E-12</v>
      </c>
      <c r="CB126" s="22">
        <f t="shared" si="64"/>
        <v>6.7935256943361388E-12</v>
      </c>
      <c r="CC126" s="62">
        <f t="shared" si="65"/>
        <v>293.33333333334014</v>
      </c>
      <c r="CD126" s="62">
        <f ca="1">AVERAGE(OFFSET($CC$3,0,0,'Données projet'!$E$12+1,1))-AVERAGE(OFFSET($H$3,0,0,'Données projet'!$E$12+1,1))</f>
        <v>237.4598967324826</v>
      </c>
      <c r="CE126" s="62">
        <f t="shared" si="94"/>
        <v>218.74305466112406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205.33000726169792</v>
      </c>
      <c r="T127" s="62">
        <f t="shared" si="88"/>
        <v>307.23455947678775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10.533333333333333</v>
      </c>
      <c r="AI127" s="14">
        <f>IF('Données projet'!$A$62&gt;35,AI126+AH127-AQ126,IF(A127&lt;'Données projet'!$A$62,$AF$205^A127,IF(A127='Données projet'!$A$62,'Données projet'!$B$62,AI126+AH127-AQ126)))</f>
        <v>835.13333333333355</v>
      </c>
      <c r="AJ127" s="14">
        <f>AI127*VLOOKUP('Données projet'!$B$10,Paramètres!$A$1:$I$89,3,0)*VLOOKUP('Données projet'!$B$10,Paramètres!$A$1:$I$89,5,0)</f>
        <v>412.55586666666682</v>
      </c>
      <c r="AK127" s="14">
        <f t="shared" si="89"/>
        <v>94.317577598883204</v>
      </c>
      <c r="AL127" s="22">
        <f t="shared" si="58"/>
        <v>882.80458209583287</v>
      </c>
      <c r="AM127" s="62">
        <f t="shared" si="59"/>
        <v>1176.1379154291662</v>
      </c>
      <c r="AN127" s="62">
        <f ca="1">AVERAGE(OFFSET($AM$3,0,0,'Données projet'!$E$10+1,1))-AVERAGE(OFFSET($H$3,0,0,'Données projet'!$E$10+1,1))</f>
        <v>491.47342911047105</v>
      </c>
      <c r="AO127" s="62">
        <f t="shared" si="90"/>
        <v>58.734453933891757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3.4</v>
      </c>
      <c r="BD127" s="13">
        <f>IF('Données projet'!$A$88&gt;35,BD126+BC127-BL126,IF(A127&lt;'Données projet'!$A$88,$BA$205^A127,IF(A127='Données projet'!$A$88,'Données projet'!$B$88,BD126+BC127-BL126)))</f>
        <v>297.59999999999951</v>
      </c>
      <c r="BE127" s="14">
        <f>BD127*VLOOKUP('Données projet'!$B$11,Paramètres!$A$1:$I$89,3,0)*VLOOKUP('Données projet'!$B$11,Paramètres!$A$1:$I$89,5,0)</f>
        <v>250.69823999999963</v>
      </c>
      <c r="BF127" s="14">
        <f t="shared" si="91"/>
        <v>60.735434160476636</v>
      </c>
      <c r="BG127" s="22">
        <f t="shared" si="61"/>
        <v>542.41364916282942</v>
      </c>
      <c r="BH127" s="62">
        <f t="shared" si="62"/>
        <v>835.74698249616267</v>
      </c>
      <c r="BI127" s="62">
        <f ca="1">AVERAGE(OFFSET($BH$3,0,0,'Données projet'!$E$11+1,1))-AVERAGE(OFFSET($H$3,0,0,'Données projet'!$E$11+1,1))</f>
        <v>278.21934231434597</v>
      </c>
      <c r="BJ127" s="62">
        <f t="shared" si="92"/>
        <v>143.57726487417773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3.4106051316484809E-13</v>
      </c>
      <c r="BZ127" s="14">
        <f>BY127*VLOOKUP('Données projet'!$B$12,Paramètres!$A$1:$I$89,3,0)*VLOOKUP('Données projet'!$B$12,Paramètres!$A$1:$I$89,5,0)</f>
        <v>2.7134774427395314E-13</v>
      </c>
      <c r="CA127" s="14">
        <f t="shared" si="93"/>
        <v>3.6292411711343559E-12</v>
      </c>
      <c r="CB127" s="22">
        <f t="shared" si="64"/>
        <v>6.7935256943361388E-12</v>
      </c>
      <c r="CC127" s="62">
        <f t="shared" si="65"/>
        <v>293.33333333334014</v>
      </c>
      <c r="CD127" s="62">
        <f ca="1">AVERAGE(OFFSET($CC$3,0,0,'Données projet'!$E$12+1,1))-AVERAGE(OFFSET($H$3,0,0,'Données projet'!$E$12+1,1))</f>
        <v>237.4598967324826</v>
      </c>
      <c r="CE127" s="62">
        <f t="shared" si="94"/>
        <v>218.74305466112406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205.33000726169792</v>
      </c>
      <c r="T128" s="62">
        <f t="shared" si="88"/>
        <v>307.23455947678775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10.533333333333333</v>
      </c>
      <c r="AI128" s="14">
        <f>IF('Données projet'!$A$62&gt;35,AI127+AH128-AQ127,IF(A128&lt;'Données projet'!$A$62,$AF$205^A128,IF(A128='Données projet'!$A$62,'Données projet'!$B$62,AI127+AH128-AQ127)))</f>
        <v>845.66666666666686</v>
      </c>
      <c r="AJ128" s="14">
        <f>AI128*VLOOKUP('Données projet'!$B$10,Paramètres!$A$1:$I$89,3,0)*VLOOKUP('Données projet'!$B$10,Paramètres!$A$1:$I$89,5,0)</f>
        <v>417.75933333333347</v>
      </c>
      <c r="AK128" s="14">
        <f t="shared" si="89"/>
        <v>95.367944253387662</v>
      </c>
      <c r="AL128" s="22">
        <f t="shared" si="58"/>
        <v>893.69667513020579</v>
      </c>
      <c r="AM128" s="62">
        <f t="shared" si="59"/>
        <v>1187.0300084635392</v>
      </c>
      <c r="AN128" s="62">
        <f ca="1">AVERAGE(OFFSET($AM$3,0,0,'Données projet'!$E$10+1,1))-AVERAGE(OFFSET($H$3,0,0,'Données projet'!$E$10+1,1))</f>
        <v>491.47342911047105</v>
      </c>
      <c r="AO128" s="62">
        <f t="shared" si="90"/>
        <v>58.734453933891757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>
        <f>VLOOKUP(A128,'Données projet'!$A$87:$I$107,2,0)</f>
        <v>301</v>
      </c>
      <c r="BB128" s="13">
        <f>VLOOKUP(A128,'Données projet'!$A$87:$I$107,9,0)</f>
        <v>3.4</v>
      </c>
      <c r="BC128" s="13">
        <f t="array" ref="BC128">INDEX(BB:BB,MIN(IF(ISNUMBER(BB128:BB324),ROW(BB128:BB324),"")))</f>
        <v>3.4</v>
      </c>
      <c r="BD128" s="13">
        <f>IF('Données projet'!$A$88&gt;35,BD127+BC128-BL127,IF(A128&lt;'Données projet'!$A$88,$BA$205^A128,IF(A128='Données projet'!$A$88,'Données projet'!$B$88,BD127+BC128-BL127)))</f>
        <v>300.99999999999949</v>
      </c>
      <c r="BE128" s="14">
        <f>BD128*VLOOKUP('Données projet'!$B$11,Paramètres!$A$1:$I$89,3,0)*VLOOKUP('Données projet'!$B$11,Paramètres!$A$1:$I$89,5,0)</f>
        <v>253.5623999999996</v>
      </c>
      <c r="BF128" s="14">
        <f t="shared" si="91"/>
        <v>61.348145886656127</v>
      </c>
      <c r="BG128" s="22">
        <f t="shared" si="61"/>
        <v>548.46920075259197</v>
      </c>
      <c r="BH128" s="62">
        <f t="shared" si="62"/>
        <v>841.80253408592534</v>
      </c>
      <c r="BI128" s="62">
        <f ca="1">AVERAGE(OFFSET($BH$3,0,0,'Données projet'!$E$11+1,1))-AVERAGE(OFFSET($H$3,0,0,'Données projet'!$E$11+1,1))</f>
        <v>278.21934231434597</v>
      </c>
      <c r="BJ128" s="62">
        <f t="shared" si="92"/>
        <v>143.57726487417773</v>
      </c>
      <c r="BK128" s="16">
        <f>IF(ISNA(VLOOKUP(A128,'Données projet'!$A$87:$I$107,3,0)),0,VLOOKUP(A128,'Données projet'!$A$87:$I$107,3,0))</f>
        <v>11</v>
      </c>
      <c r="BL128" s="16">
        <f>IF(ISNA(VLOOKUP(A128,'Données projet'!$A$87:$I$107,4,0)),0,VLOOKUP(A128,'Données projet'!$A$87:$I$107,4,0))</f>
        <v>33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3.4106051316484809E-13</v>
      </c>
      <c r="BZ128" s="14">
        <f>BY128*VLOOKUP('Données projet'!$B$12,Paramètres!$A$1:$I$89,3,0)*VLOOKUP('Données projet'!$B$12,Paramètres!$A$1:$I$89,5,0)</f>
        <v>2.7134774427395314E-13</v>
      </c>
      <c r="CA128" s="14">
        <f t="shared" si="93"/>
        <v>3.6292411711343559E-12</v>
      </c>
      <c r="CB128" s="22">
        <f t="shared" si="64"/>
        <v>6.7935256943361388E-12</v>
      </c>
      <c r="CC128" s="62">
        <f t="shared" si="65"/>
        <v>293.33333333334014</v>
      </c>
      <c r="CD128" s="62">
        <f ca="1">AVERAGE(OFFSET($CC$3,0,0,'Données projet'!$E$12+1,1))-AVERAGE(OFFSET($H$3,0,0,'Données projet'!$E$12+1,1))</f>
        <v>237.4598967324826</v>
      </c>
      <c r="CE128" s="62">
        <f t="shared" si="94"/>
        <v>218.74305466112406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205.33000726169792</v>
      </c>
      <c r="T129" s="62">
        <f t="shared" si="88"/>
        <v>307.23455947678775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10.533333333333333</v>
      </c>
      <c r="AI129" s="14">
        <f>IF('Données projet'!$A$62&gt;35,AI128+AH129-AQ128,IF(A129&lt;'Données projet'!$A$62,$AF$205^A129,IF(A129='Données projet'!$A$62,'Données projet'!$B$62,AI128+AH129-AQ128)))</f>
        <v>856.20000000000016</v>
      </c>
      <c r="AJ129" s="14">
        <f>AI129*VLOOKUP('Données projet'!$B$10,Paramètres!$A$1:$I$89,3,0)*VLOOKUP('Données projet'!$B$10,Paramètres!$A$1:$I$89,5,0)</f>
        <v>422.96280000000007</v>
      </c>
      <c r="AK129" s="14">
        <f t="shared" si="89"/>
        <v>96.416789107798522</v>
      </c>
      <c r="AL129" s="22">
        <f t="shared" si="58"/>
        <v>904.5861176960824</v>
      </c>
      <c r="AM129" s="62">
        <f t="shared" si="59"/>
        <v>1197.9194510294158</v>
      </c>
      <c r="AN129" s="62">
        <f ca="1">AVERAGE(OFFSET($AM$3,0,0,'Données projet'!$E$10+1,1))-AVERAGE(OFFSET($H$3,0,0,'Données projet'!$E$10+1,1))</f>
        <v>491.47342911047105</v>
      </c>
      <c r="AO129" s="62">
        <f t="shared" si="90"/>
        <v>58.734453933891757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</v>
      </c>
      <c r="BD129" s="13">
        <f>IF('Données projet'!$A$88&gt;35,BD128+BC129-BL128,IF(A129&lt;'Données projet'!$A$88,$BA$205^A129,IF(A129='Données projet'!$A$88,'Données projet'!$B$88,BD128+BC129-BL128)))</f>
        <v>270.99999999999949</v>
      </c>
      <c r="BE129" s="14">
        <f>BD129*VLOOKUP('Données projet'!$B$11,Paramètres!$A$1:$I$89,3,0)*VLOOKUP('Données projet'!$B$11,Paramètres!$A$1:$I$89,5,0)</f>
        <v>228.29039999999958</v>
      </c>
      <c r="BF129" s="14">
        <f t="shared" si="91"/>
        <v>55.912865682480266</v>
      </c>
      <c r="BG129" s="22">
        <f t="shared" si="61"/>
        <v>494.98735439698572</v>
      </c>
      <c r="BH129" s="62">
        <f t="shared" si="62"/>
        <v>788.32068773031904</v>
      </c>
      <c r="BI129" s="62">
        <f ca="1">AVERAGE(OFFSET($BH$3,0,0,'Données projet'!$E$11+1,1))-AVERAGE(OFFSET($H$3,0,0,'Données projet'!$E$11+1,1))</f>
        <v>278.21934231434597</v>
      </c>
      <c r="BJ129" s="62">
        <f t="shared" si="92"/>
        <v>143.57726487417773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3.4106051316484809E-13</v>
      </c>
      <c r="BZ129" s="14">
        <f>BY129*VLOOKUP('Données projet'!$B$12,Paramètres!$A$1:$I$89,3,0)*VLOOKUP('Données projet'!$B$12,Paramètres!$A$1:$I$89,5,0)</f>
        <v>2.7134774427395314E-13</v>
      </c>
      <c r="CA129" s="14">
        <f t="shared" si="93"/>
        <v>3.6292411711343559E-12</v>
      </c>
      <c r="CB129" s="22">
        <f t="shared" si="64"/>
        <v>6.7935256943361388E-12</v>
      </c>
      <c r="CC129" s="62">
        <f t="shared" si="65"/>
        <v>293.33333333334014</v>
      </c>
      <c r="CD129" s="62">
        <f ca="1">AVERAGE(OFFSET($CC$3,0,0,'Données projet'!$E$12+1,1))-AVERAGE(OFFSET($H$3,0,0,'Données projet'!$E$12+1,1))</f>
        <v>237.4598967324826</v>
      </c>
      <c r="CE129" s="62">
        <f t="shared" si="94"/>
        <v>218.74305466112406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205.33000726169792</v>
      </c>
      <c r="T130" s="62">
        <f t="shared" si="88"/>
        <v>307.23455947678775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10.533333333333333</v>
      </c>
      <c r="AI130" s="14">
        <f>IF('Données projet'!$A$62&gt;35,AI129+AH130-AQ129,IF(A130&lt;'Données projet'!$A$62,$AF$205^A130,IF(A130='Données projet'!$A$62,'Données projet'!$B$62,AI129+AH130-AQ129)))</f>
        <v>866.73333333333346</v>
      </c>
      <c r="AJ130" s="14">
        <f>AI130*VLOOKUP('Données projet'!$B$10,Paramètres!$A$1:$I$89,3,0)*VLOOKUP('Données projet'!$B$10,Paramètres!$A$1:$I$89,5,0)</f>
        <v>428.16626666666673</v>
      </c>
      <c r="AK130" s="14">
        <f t="shared" si="89"/>
        <v>97.464133049264021</v>
      </c>
      <c r="AL130" s="22">
        <f t="shared" si="58"/>
        <v>915.47294617191267</v>
      </c>
      <c r="AM130" s="62">
        <f t="shared" si="59"/>
        <v>1208.806279505246</v>
      </c>
      <c r="AN130" s="62">
        <f ca="1">AVERAGE(OFFSET($AM$3,0,0,'Données projet'!$E$10+1,1))-AVERAGE(OFFSET($H$3,0,0,'Données projet'!$E$10+1,1))</f>
        <v>491.47342911047105</v>
      </c>
      <c r="AO130" s="62">
        <f t="shared" si="90"/>
        <v>58.734453933891757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</v>
      </c>
      <c r="BD130" s="13">
        <f>IF('Données projet'!$A$88&gt;35,BD129+BC130-BL129,IF(A130&lt;'Données projet'!$A$88,$BA$205^A130,IF(A130='Données projet'!$A$88,'Données projet'!$B$88,BD129+BC130-BL129)))</f>
        <v>273.99999999999949</v>
      </c>
      <c r="BE130" s="14">
        <f>BD130*VLOOKUP('Données projet'!$B$11,Paramètres!$A$1:$I$89,3,0)*VLOOKUP('Données projet'!$B$11,Paramètres!$A$1:$I$89,5,0)</f>
        <v>230.81759999999957</v>
      </c>
      <c r="BF130" s="14">
        <f t="shared" si="91"/>
        <v>56.45942924032579</v>
      </c>
      <c r="BG130" s="22">
        <f t="shared" si="61"/>
        <v>500.34082592689998</v>
      </c>
      <c r="BH130" s="62">
        <f t="shared" si="62"/>
        <v>793.6741592602333</v>
      </c>
      <c r="BI130" s="62">
        <f ca="1">AVERAGE(OFFSET($BH$3,0,0,'Données projet'!$E$11+1,1))-AVERAGE(OFFSET($H$3,0,0,'Données projet'!$E$11+1,1))</f>
        <v>278.21934231434597</v>
      </c>
      <c r="BJ130" s="62">
        <f t="shared" si="92"/>
        <v>143.57726487417773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3.4106051316484809E-13</v>
      </c>
      <c r="BZ130" s="14">
        <f>BY130*VLOOKUP('Données projet'!$B$12,Paramètres!$A$1:$I$89,3,0)*VLOOKUP('Données projet'!$B$12,Paramètres!$A$1:$I$89,5,0)</f>
        <v>2.7134774427395314E-13</v>
      </c>
      <c r="CA130" s="14">
        <f t="shared" si="93"/>
        <v>3.6292411711343559E-12</v>
      </c>
      <c r="CB130" s="22">
        <f t="shared" si="64"/>
        <v>6.7935256943361388E-12</v>
      </c>
      <c r="CC130" s="62">
        <f t="shared" si="65"/>
        <v>293.33333333334014</v>
      </c>
      <c r="CD130" s="62">
        <f ca="1">AVERAGE(OFFSET($CC$3,0,0,'Données projet'!$E$12+1,1))-AVERAGE(OFFSET($H$3,0,0,'Données projet'!$E$12+1,1))</f>
        <v>237.4598967324826</v>
      </c>
      <c r="CE130" s="62">
        <f t="shared" si="94"/>
        <v>218.74305466112406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205.33000726169792</v>
      </c>
      <c r="T131" s="62">
        <f t="shared" si="88"/>
        <v>307.23455947678775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10.533333333333333</v>
      </c>
      <c r="AI131" s="14">
        <f>IF('Données projet'!$A$62&gt;35,AI130+AH131-AQ130,IF(A131&lt;'Données projet'!$A$62,$AF$205^A131,IF(A131='Données projet'!$A$62,'Données projet'!$B$62,AI130+AH131-AQ130)))</f>
        <v>877.26666666666677</v>
      </c>
      <c r="AJ131" s="14">
        <f>AI131*VLOOKUP('Données projet'!$B$10,Paramètres!$A$1:$I$89,3,0)*VLOOKUP('Données projet'!$B$10,Paramètres!$A$1:$I$89,5,0)</f>
        <v>433.36973333333344</v>
      </c>
      <c r="AK131" s="14">
        <f t="shared" si="89"/>
        <v>98.509996428046747</v>
      </c>
      <c r="AL131" s="22">
        <f t="shared" si="58"/>
        <v>926.35719600107041</v>
      </c>
      <c r="AM131" s="62">
        <f t="shared" si="59"/>
        <v>1219.6905293344037</v>
      </c>
      <c r="AN131" s="62">
        <f ca="1">AVERAGE(OFFSET($AM$3,0,0,'Données projet'!$E$10+1,1))-AVERAGE(OFFSET($H$3,0,0,'Données projet'!$E$10+1,1))</f>
        <v>491.47342911047105</v>
      </c>
      <c r="AO131" s="62">
        <f t="shared" si="90"/>
        <v>58.734453933891757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</v>
      </c>
      <c r="BD131" s="13">
        <f>IF('Données projet'!$A$88&gt;35,BD130+BC131-BL130,IF(A131&lt;'Données projet'!$A$88,$BA$205^A131,IF(A131='Données projet'!$A$88,'Données projet'!$B$88,BD130+BC131-BL130)))</f>
        <v>276.99999999999949</v>
      </c>
      <c r="BE131" s="14">
        <f>BD131*VLOOKUP('Données projet'!$B$11,Paramètres!$A$1:$I$89,3,0)*VLOOKUP('Données projet'!$B$11,Paramètres!$A$1:$I$89,5,0)</f>
        <v>233.34479999999959</v>
      </c>
      <c r="BF131" s="14">
        <f t="shared" si="91"/>
        <v>57.005296657823251</v>
      </c>
      <c r="BG131" s="22">
        <f t="shared" si="61"/>
        <v>505.69308501237475</v>
      </c>
      <c r="BH131" s="62">
        <f t="shared" si="62"/>
        <v>799.02641834570807</v>
      </c>
      <c r="BI131" s="62">
        <f ca="1">AVERAGE(OFFSET($BH$3,0,0,'Données projet'!$E$11+1,1))-AVERAGE(OFFSET($H$3,0,0,'Données projet'!$E$11+1,1))</f>
        <v>278.21934231434597</v>
      </c>
      <c r="BJ131" s="62">
        <f t="shared" si="92"/>
        <v>143.57726487417773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3.4106051316484809E-13</v>
      </c>
      <c r="BZ131" s="14">
        <f>BY131*VLOOKUP('Données projet'!$B$12,Paramètres!$A$1:$I$89,3,0)*VLOOKUP('Données projet'!$B$12,Paramètres!$A$1:$I$89,5,0)</f>
        <v>2.7134774427395314E-13</v>
      </c>
      <c r="CA131" s="14">
        <f t="shared" si="93"/>
        <v>3.6292411711343559E-12</v>
      </c>
      <c r="CB131" s="22">
        <f t="shared" si="64"/>
        <v>6.7935256943361388E-12</v>
      </c>
      <c r="CC131" s="62">
        <f t="shared" si="65"/>
        <v>293.33333333334014</v>
      </c>
      <c r="CD131" s="62">
        <f ca="1">AVERAGE(OFFSET($CC$3,0,0,'Données projet'!$E$12+1,1))-AVERAGE(OFFSET($H$3,0,0,'Données projet'!$E$12+1,1))</f>
        <v>237.4598967324826</v>
      </c>
      <c r="CE131" s="62">
        <f t="shared" si="94"/>
        <v>218.74305466112406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205.33000726169792</v>
      </c>
      <c r="T132" s="62">
        <f t="shared" si="88"/>
        <v>307.23455947678775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10.533333333333333</v>
      </c>
      <c r="AI132" s="14">
        <f>IF('Données projet'!$A$62&gt;35,AI131+AH132-AQ131,IF(A132&lt;'Données projet'!$A$62,$AF$205^A132,IF(A132='Données projet'!$A$62,'Données projet'!$B$62,AI131+AH132-AQ131)))</f>
        <v>887.80000000000007</v>
      </c>
      <c r="AJ132" s="14">
        <f>AI132*VLOOKUP('Données projet'!$B$10,Paramètres!$A$1:$I$89,3,0)*VLOOKUP('Données projet'!$B$10,Paramètres!$A$1:$I$89,5,0)</f>
        <v>438.57320000000004</v>
      </c>
      <c r="AK132" s="14">
        <f t="shared" si="89"/>
        <v>99.554399077601062</v>
      </c>
      <c r="AL132" s="22">
        <f t="shared" ref="AL132:AL153" si="112">(AJ132+AK132)*0.475*44/12</f>
        <v>937.23890172682184</v>
      </c>
      <c r="AM132" s="62">
        <f t="shared" ref="AM132:AM195" si="113">AL132+(AD132+AE132)*44/12</f>
        <v>1230.5722350601552</v>
      </c>
      <c r="AN132" s="62">
        <f ca="1">AVERAGE(OFFSET($AM$3,0,0,'Données projet'!$E$10+1,1))-AVERAGE(OFFSET($H$3,0,0,'Données projet'!$E$10+1,1))</f>
        <v>491.47342911047105</v>
      </c>
      <c r="AO132" s="62">
        <f t="shared" si="90"/>
        <v>58.734453933891757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</v>
      </c>
      <c r="BD132" s="13">
        <f>IF('Données projet'!$A$88&gt;35,BD131+BC132-BL131,IF(A132&lt;'Données projet'!$A$88,$BA$205^A132,IF(A132='Données projet'!$A$88,'Données projet'!$B$88,BD131+BC132-BL131)))</f>
        <v>279.99999999999949</v>
      </c>
      <c r="BE132" s="14">
        <f>BD132*VLOOKUP('Données projet'!$B$11,Paramètres!$A$1:$I$89,3,0)*VLOOKUP('Données projet'!$B$11,Paramètres!$A$1:$I$89,5,0)</f>
        <v>235.87199999999959</v>
      </c>
      <c r="BF132" s="14">
        <f t="shared" si="91"/>
        <v>57.55047634701517</v>
      </c>
      <c r="BG132" s="22">
        <f t="shared" ref="BG132:BG153" si="115">(BE132+BF132)*0.475*44/12</f>
        <v>511.04414630438401</v>
      </c>
      <c r="BH132" s="62">
        <f t="shared" ref="BH132:BH195" si="116">BG132+(AY132+AZ132)*44/12</f>
        <v>804.37747963771733</v>
      </c>
      <c r="BI132" s="62">
        <f ca="1">AVERAGE(OFFSET($BH$3,0,0,'Données projet'!$E$11+1,1))-AVERAGE(OFFSET($H$3,0,0,'Données projet'!$E$11+1,1))</f>
        <v>278.21934231434597</v>
      </c>
      <c r="BJ132" s="62">
        <f t="shared" si="92"/>
        <v>143.57726487417773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3.4106051316484809E-13</v>
      </c>
      <c r="BZ132" s="14">
        <f>BY132*VLOOKUP('Données projet'!$B$12,Paramètres!$A$1:$I$89,3,0)*VLOOKUP('Données projet'!$B$12,Paramètres!$A$1:$I$89,5,0)</f>
        <v>2.7134774427395314E-13</v>
      </c>
      <c r="CA132" s="14">
        <f t="shared" si="93"/>
        <v>3.6292411711343559E-12</v>
      </c>
      <c r="CB132" s="22">
        <f t="shared" ref="CB132:CB153" si="118">(BZ132+CA132)*0.475*44/12</f>
        <v>6.7935256943361388E-12</v>
      </c>
      <c r="CC132" s="62">
        <f t="shared" ref="CC132:CC195" si="119">CB132+(BT132+BU132)*44/12</f>
        <v>293.33333333334014</v>
      </c>
      <c r="CD132" s="62">
        <f ca="1">AVERAGE(OFFSET($CC$3,0,0,'Données projet'!$E$12+1,1))-AVERAGE(OFFSET($H$3,0,0,'Données projet'!$E$12+1,1))</f>
        <v>237.4598967324826</v>
      </c>
      <c r="CE132" s="62">
        <f t="shared" si="94"/>
        <v>218.74305466112406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205.33000726169792</v>
      </c>
      <c r="T133" s="62">
        <f t="shared" ref="T133:T196" si="142">$T$3</f>
        <v>307.23455947678775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10.533333333333333</v>
      </c>
      <c r="AI133" s="14">
        <f>IF('Données projet'!$A$62&gt;35,AI132+AH133-AQ132,IF(A133&lt;'Données projet'!$A$62,$AF$205^A133,IF(A133='Données projet'!$A$62,'Données projet'!$B$62,AI132+AH133-AQ132)))</f>
        <v>898.33333333333337</v>
      </c>
      <c r="AJ133" s="14">
        <f>AI133*VLOOKUP('Données projet'!$B$10,Paramètres!$A$1:$I$89,3,0)*VLOOKUP('Données projet'!$B$10,Paramètres!$A$1:$I$89,5,0)</f>
        <v>443.7766666666667</v>
      </c>
      <c r="AK133" s="14">
        <f t="shared" ref="AK133:AK153" si="143">EXP(-1.0587+0.8836*LN(AJ133)+0.284)</f>
        <v>100.59736033366998</v>
      </c>
      <c r="AL133" s="22">
        <f t="shared" si="112"/>
        <v>948.11809702558639</v>
      </c>
      <c r="AM133" s="62">
        <f t="shared" si="113"/>
        <v>1241.4514303589197</v>
      </c>
      <c r="AN133" s="62">
        <f ca="1">AVERAGE(OFFSET($AM$3,0,0,'Données projet'!$E$10+1,1))-AVERAGE(OFFSET($H$3,0,0,'Données projet'!$E$10+1,1))</f>
        <v>491.47342911047105</v>
      </c>
      <c r="AO133" s="62">
        <f t="shared" ref="AO133:AO196" si="144">$AO$3</f>
        <v>58.734453933891757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3</v>
      </c>
      <c r="BD133" s="13">
        <f>IF('Données projet'!$A$88&gt;35,BD132+BC133-BL132,IF(A133&lt;'Données projet'!$A$88,$BA$205^A133,IF(A133='Données projet'!$A$88,'Données projet'!$B$88,BD132+BC133-BL132)))</f>
        <v>282.99999999999949</v>
      </c>
      <c r="BE133" s="14">
        <f>BD133*VLOOKUP('Données projet'!$B$11,Paramètres!$A$1:$I$89,3,0)*VLOOKUP('Données projet'!$B$11,Paramètres!$A$1:$I$89,5,0)</f>
        <v>238.39919999999961</v>
      </c>
      <c r="BF133" s="14">
        <f t="shared" ref="BF133:BF153" si="145">EXP(-1.0587+0.8836*LN(BE133)+0.284)</f>
        <v>58.094976529303302</v>
      </c>
      <c r="BG133" s="22">
        <f t="shared" si="115"/>
        <v>516.39402412186928</v>
      </c>
      <c r="BH133" s="62">
        <f t="shared" si="116"/>
        <v>809.72735745520254</v>
      </c>
      <c r="BI133" s="62">
        <f ca="1">AVERAGE(OFFSET($BH$3,0,0,'Données projet'!$E$11+1,1))-AVERAGE(OFFSET($H$3,0,0,'Données projet'!$E$11+1,1))</f>
        <v>278.21934231434597</v>
      </c>
      <c r="BJ133" s="62">
        <f t="shared" ref="BJ133:BJ196" si="146">$BJ$3</f>
        <v>143.57726487417773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3.4106051316484809E-13</v>
      </c>
      <c r="BZ133" s="14">
        <f>BY133*VLOOKUP('Données projet'!$B$12,Paramètres!$A$1:$I$89,3,0)*VLOOKUP('Données projet'!$B$12,Paramètres!$A$1:$I$89,5,0)</f>
        <v>2.7134774427395314E-13</v>
      </c>
      <c r="CA133" s="14">
        <f t="shared" ref="CA133:CA153" si="147">EXP(-1.0587+0.8836*LN(BZ133)+0.284)</f>
        <v>3.6292411711343559E-12</v>
      </c>
      <c r="CB133" s="22">
        <f t="shared" si="118"/>
        <v>6.7935256943361388E-12</v>
      </c>
      <c r="CC133" s="62">
        <f t="shared" si="119"/>
        <v>293.33333333334014</v>
      </c>
      <c r="CD133" s="62">
        <f ca="1">AVERAGE(OFFSET($CC$3,0,0,'Données projet'!$E$12+1,1))-AVERAGE(OFFSET($H$3,0,0,'Données projet'!$E$12+1,1))</f>
        <v>237.4598967324826</v>
      </c>
      <c r="CE133" s="62">
        <f t="shared" ref="CE133:CE196" si="148">$CE$3</f>
        <v>218.74305466112406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205.33000726169792</v>
      </c>
      <c r="T134" s="62">
        <f t="shared" si="142"/>
        <v>307.23455947678775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10.533333333333333</v>
      </c>
      <c r="AI134" s="14">
        <f>IF('Données projet'!$A$62&gt;35,AI133+AH134-AQ133,IF(A134&lt;'Données projet'!$A$62,$AF$205^A134,IF(A134='Données projet'!$A$62,'Données projet'!$B$62,AI133+AH134-AQ133)))</f>
        <v>908.86666666666667</v>
      </c>
      <c r="AJ134" s="14">
        <f>AI134*VLOOKUP('Données projet'!$B$10,Paramètres!$A$1:$I$89,3,0)*VLOOKUP('Données projet'!$B$10,Paramètres!$A$1:$I$89,5,0)</f>
        <v>448.9801333333333</v>
      </c>
      <c r="AK134" s="14">
        <f t="shared" si="143"/>
        <v>101.63889905246181</v>
      </c>
      <c r="AL134" s="22">
        <f t="shared" si="112"/>
        <v>958.99481473859305</v>
      </c>
      <c r="AM134" s="62">
        <f t="shared" si="113"/>
        <v>1252.3281480719263</v>
      </c>
      <c r="AN134" s="62">
        <f ca="1">AVERAGE(OFFSET($AM$3,0,0,'Données projet'!$E$10+1,1))-AVERAGE(OFFSET($H$3,0,0,'Données projet'!$E$10+1,1))</f>
        <v>491.47342911047105</v>
      </c>
      <c r="AO134" s="62">
        <f t="shared" si="144"/>
        <v>58.734453933891757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3</v>
      </c>
      <c r="BD134" s="13">
        <f>IF('Données projet'!$A$88&gt;35,BD133+BC134-BL133,IF(A134&lt;'Données projet'!$A$88,$BA$205^A134,IF(A134='Données projet'!$A$88,'Données projet'!$B$88,BD133+BC134-BL133)))</f>
        <v>285.99999999999949</v>
      </c>
      <c r="BE134" s="14">
        <f>BD134*VLOOKUP('Données projet'!$B$11,Paramètres!$A$1:$I$89,3,0)*VLOOKUP('Données projet'!$B$11,Paramètres!$A$1:$I$89,5,0)</f>
        <v>240.9263999999996</v>
      </c>
      <c r="BF134" s="14">
        <f t="shared" si="145"/>
        <v>58.638805241742716</v>
      </c>
      <c r="BG134" s="22">
        <f t="shared" si="115"/>
        <v>521.74273246270116</v>
      </c>
      <c r="BH134" s="62">
        <f t="shared" si="116"/>
        <v>815.07606579603453</v>
      </c>
      <c r="BI134" s="62">
        <f ca="1">AVERAGE(OFFSET($BH$3,0,0,'Données projet'!$E$11+1,1))-AVERAGE(OFFSET($H$3,0,0,'Données projet'!$E$11+1,1))</f>
        <v>278.21934231434597</v>
      </c>
      <c r="BJ134" s="62">
        <f t="shared" si="146"/>
        <v>143.57726487417773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3.4106051316484809E-13</v>
      </c>
      <c r="BZ134" s="14">
        <f>BY134*VLOOKUP('Données projet'!$B$12,Paramètres!$A$1:$I$89,3,0)*VLOOKUP('Données projet'!$B$12,Paramètres!$A$1:$I$89,5,0)</f>
        <v>2.7134774427395314E-13</v>
      </c>
      <c r="CA134" s="14">
        <f t="shared" si="147"/>
        <v>3.6292411711343559E-12</v>
      </c>
      <c r="CB134" s="22">
        <f t="shared" si="118"/>
        <v>6.7935256943361388E-12</v>
      </c>
      <c r="CC134" s="62">
        <f t="shared" si="119"/>
        <v>293.33333333334014</v>
      </c>
      <c r="CD134" s="62">
        <f ca="1">AVERAGE(OFFSET($CC$3,0,0,'Données projet'!$E$12+1,1))-AVERAGE(OFFSET($H$3,0,0,'Données projet'!$E$12+1,1))</f>
        <v>237.4598967324826</v>
      </c>
      <c r="CE134" s="62">
        <f t="shared" si="148"/>
        <v>218.74305466112406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205.33000726169792</v>
      </c>
      <c r="T135" s="62">
        <f t="shared" si="142"/>
        <v>307.23455947678775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10.533333333333333</v>
      </c>
      <c r="AI135" s="14">
        <f>IF('Données projet'!$A$62&gt;35,AI134+AH135-AQ134,IF(A135&lt;'Données projet'!$A$62,$AF$205^A135,IF(A135='Données projet'!$A$62,'Données projet'!$B$62,AI134+AH135-AQ134)))</f>
        <v>919.4</v>
      </c>
      <c r="AJ135" s="14">
        <f>AI135*VLOOKUP('Données projet'!$B$10,Paramètres!$A$1:$I$89,3,0)*VLOOKUP('Données projet'!$B$10,Paramètres!$A$1:$I$89,5,0)</f>
        <v>454.18360000000001</v>
      </c>
      <c r="AK135" s="14">
        <f t="shared" si="143"/>
        <v>102.67903362795968</v>
      </c>
      <c r="AL135" s="22">
        <f t="shared" si="112"/>
        <v>969.86908690202961</v>
      </c>
      <c r="AM135" s="62">
        <f t="shared" si="113"/>
        <v>1263.202420235363</v>
      </c>
      <c r="AN135" s="62">
        <f ca="1">AVERAGE(OFFSET($AM$3,0,0,'Données projet'!$E$10+1,1))-AVERAGE(OFFSET($H$3,0,0,'Données projet'!$E$10+1,1))</f>
        <v>491.47342911047105</v>
      </c>
      <c r="AO135" s="62">
        <f t="shared" si="144"/>
        <v>58.734453933891757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3</v>
      </c>
      <c r="BD135" s="13">
        <f>IF('Données projet'!$A$88&gt;35,BD134+BC135-BL134,IF(A135&lt;'Données projet'!$A$88,$BA$205^A135,IF(A135='Données projet'!$A$88,'Données projet'!$B$88,BD134+BC135-BL134)))</f>
        <v>288.99999999999949</v>
      </c>
      <c r="BE135" s="14">
        <f>BD135*VLOOKUP('Données projet'!$B$11,Paramètres!$A$1:$I$89,3,0)*VLOOKUP('Données projet'!$B$11,Paramètres!$A$1:$I$89,5,0)</f>
        <v>243.45359999999962</v>
      </c>
      <c r="BF135" s="14">
        <f t="shared" si="145"/>
        <v>59.18197034306521</v>
      </c>
      <c r="BG135" s="22">
        <f t="shared" si="115"/>
        <v>527.09028501417129</v>
      </c>
      <c r="BH135" s="62">
        <f t="shared" si="116"/>
        <v>820.42361834750454</v>
      </c>
      <c r="BI135" s="62">
        <f ca="1">AVERAGE(OFFSET($BH$3,0,0,'Données projet'!$E$11+1,1))-AVERAGE(OFFSET($H$3,0,0,'Données projet'!$E$11+1,1))</f>
        <v>278.21934231434597</v>
      </c>
      <c r="BJ135" s="62">
        <f t="shared" si="146"/>
        <v>143.57726487417773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3.4106051316484809E-13</v>
      </c>
      <c r="BZ135" s="14">
        <f>BY135*VLOOKUP('Données projet'!$B$12,Paramètres!$A$1:$I$89,3,0)*VLOOKUP('Données projet'!$B$12,Paramètres!$A$1:$I$89,5,0)</f>
        <v>2.7134774427395314E-13</v>
      </c>
      <c r="CA135" s="14">
        <f t="shared" si="147"/>
        <v>3.6292411711343559E-12</v>
      </c>
      <c r="CB135" s="22">
        <f t="shared" si="118"/>
        <v>6.7935256943361388E-12</v>
      </c>
      <c r="CC135" s="62">
        <f t="shared" si="119"/>
        <v>293.33333333334014</v>
      </c>
      <c r="CD135" s="62">
        <f ca="1">AVERAGE(OFFSET($CC$3,0,0,'Données projet'!$E$12+1,1))-AVERAGE(OFFSET($H$3,0,0,'Données projet'!$E$12+1,1))</f>
        <v>237.4598967324826</v>
      </c>
      <c r="CE135" s="62">
        <f t="shared" si="148"/>
        <v>218.74305466112406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205.33000726169792</v>
      </c>
      <c r="T136" s="62">
        <f t="shared" si="142"/>
        <v>307.23455947678775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10.533333333333333</v>
      </c>
      <c r="AI136" s="14">
        <f>IF('Données projet'!$A$62&gt;35,AI135+AH136-AQ135,IF(A136&lt;'Données projet'!$A$62,$AF$205^A136,IF(A136='Données projet'!$A$62,'Données projet'!$B$62,AI135+AH136-AQ135)))</f>
        <v>929.93333333333328</v>
      </c>
      <c r="AJ136" s="14">
        <f>AI136*VLOOKUP('Données projet'!$B$10,Paramètres!$A$1:$I$89,3,0)*VLOOKUP('Données projet'!$B$10,Paramètres!$A$1:$I$89,5,0)</f>
        <v>459.38706666666667</v>
      </c>
      <c r="AK136" s="14">
        <f t="shared" si="143"/>
        <v>103.71778200841439</v>
      </c>
      <c r="AL136" s="22">
        <f t="shared" si="112"/>
        <v>980.74094477576602</v>
      </c>
      <c r="AM136" s="62">
        <f t="shared" si="113"/>
        <v>1274.0742781090994</v>
      </c>
      <c r="AN136" s="62">
        <f ca="1">AVERAGE(OFFSET($AM$3,0,0,'Données projet'!$E$10+1,1))-AVERAGE(OFFSET($H$3,0,0,'Données projet'!$E$10+1,1))</f>
        <v>491.47342911047105</v>
      </c>
      <c r="AO136" s="62">
        <f t="shared" si="144"/>
        <v>58.734453933891757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3</v>
      </c>
      <c r="BD136" s="13">
        <f>IF('Données projet'!$A$88&gt;35,BD135+BC136-BL135,IF(A136&lt;'Données projet'!$A$88,$BA$205^A136,IF(A136='Données projet'!$A$88,'Données projet'!$B$88,BD135+BC136-BL135)))</f>
        <v>291.99999999999949</v>
      </c>
      <c r="BE136" s="14">
        <f>BD136*VLOOKUP('Données projet'!$B$11,Paramètres!$A$1:$I$89,3,0)*VLOOKUP('Données projet'!$B$11,Paramètres!$A$1:$I$89,5,0)</f>
        <v>245.98079999999956</v>
      </c>
      <c r="BF136" s="14">
        <f t="shared" si="145"/>
        <v>59.724479519444756</v>
      </c>
      <c r="BG136" s="22">
        <f t="shared" si="115"/>
        <v>532.43669516303225</v>
      </c>
      <c r="BH136" s="62">
        <f t="shared" si="116"/>
        <v>825.77002849636551</v>
      </c>
      <c r="BI136" s="62">
        <f ca="1">AVERAGE(OFFSET($BH$3,0,0,'Données projet'!$E$11+1,1))-AVERAGE(OFFSET($H$3,0,0,'Données projet'!$E$11+1,1))</f>
        <v>278.21934231434597</v>
      </c>
      <c r="BJ136" s="62">
        <f t="shared" si="146"/>
        <v>143.57726487417773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3.4106051316484809E-13</v>
      </c>
      <c r="BZ136" s="14">
        <f>BY136*VLOOKUP('Données projet'!$B$12,Paramètres!$A$1:$I$89,3,0)*VLOOKUP('Données projet'!$B$12,Paramètres!$A$1:$I$89,5,0)</f>
        <v>2.7134774427395314E-13</v>
      </c>
      <c r="CA136" s="14">
        <f t="shared" si="147"/>
        <v>3.6292411711343559E-12</v>
      </c>
      <c r="CB136" s="22">
        <f t="shared" si="118"/>
        <v>6.7935256943361388E-12</v>
      </c>
      <c r="CC136" s="62">
        <f t="shared" si="119"/>
        <v>293.33333333334014</v>
      </c>
      <c r="CD136" s="62">
        <f ca="1">AVERAGE(OFFSET($CC$3,0,0,'Données projet'!$E$12+1,1))-AVERAGE(OFFSET($H$3,0,0,'Données projet'!$E$12+1,1))</f>
        <v>237.4598967324826</v>
      </c>
      <c r="CE136" s="62">
        <f t="shared" si="148"/>
        <v>218.74305466112406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205.33000726169792</v>
      </c>
      <c r="T137" s="62">
        <f t="shared" si="142"/>
        <v>307.23455947678775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10.533333333333333</v>
      </c>
      <c r="AI137" s="14">
        <f>IF('Données projet'!$A$62&gt;35,AI136+AH137-AQ136,IF(A137&lt;'Données projet'!$A$62,$AF$205^A137,IF(A137='Données projet'!$A$62,'Données projet'!$B$62,AI136+AH137-AQ136)))</f>
        <v>940.46666666666658</v>
      </c>
      <c r="AJ137" s="14">
        <f>AI137*VLOOKUP('Données projet'!$B$10,Paramètres!$A$1:$I$89,3,0)*VLOOKUP('Données projet'!$B$10,Paramètres!$A$1:$I$89,5,0)</f>
        <v>464.59053333333333</v>
      </c>
      <c r="AK137" s="14">
        <f t="shared" si="143"/>
        <v>104.75516171207076</v>
      </c>
      <c r="AL137" s="22">
        <f t="shared" si="112"/>
        <v>991.61041887074555</v>
      </c>
      <c r="AM137" s="62">
        <f t="shared" si="113"/>
        <v>1284.9437522040789</v>
      </c>
      <c r="AN137" s="62">
        <f ca="1">AVERAGE(OFFSET($AM$3,0,0,'Données projet'!$E$10+1,1))-AVERAGE(OFFSET($H$3,0,0,'Données projet'!$E$10+1,1))</f>
        <v>491.47342911047105</v>
      </c>
      <c r="AO137" s="62">
        <f t="shared" si="144"/>
        <v>58.734453933891757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3</v>
      </c>
      <c r="BD137" s="13">
        <f>IF('Données projet'!$A$88&gt;35,BD136+BC137-BL136,IF(A137&lt;'Données projet'!$A$88,$BA$205^A137,IF(A137='Données projet'!$A$88,'Données projet'!$B$88,BD136+BC137-BL136)))</f>
        <v>294.99999999999949</v>
      </c>
      <c r="BE137" s="14">
        <f>BD137*VLOOKUP('Données projet'!$B$11,Paramètres!$A$1:$I$89,3,0)*VLOOKUP('Données projet'!$B$11,Paramètres!$A$1:$I$89,5,0)</f>
        <v>248.50799999999958</v>
      </c>
      <c r="BF137" s="14">
        <f t="shared" si="145"/>
        <v>60.266340290019563</v>
      </c>
      <c r="BG137" s="22">
        <f t="shared" si="115"/>
        <v>537.78197600511669</v>
      </c>
      <c r="BH137" s="62">
        <f t="shared" si="116"/>
        <v>831.11530933845006</v>
      </c>
      <c r="BI137" s="62">
        <f ca="1">AVERAGE(OFFSET($BH$3,0,0,'Données projet'!$E$11+1,1))-AVERAGE(OFFSET($H$3,0,0,'Données projet'!$E$11+1,1))</f>
        <v>278.21934231434597</v>
      </c>
      <c r="BJ137" s="62">
        <f t="shared" si="146"/>
        <v>143.57726487417773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3.4106051316484809E-13</v>
      </c>
      <c r="BZ137" s="14">
        <f>BY137*VLOOKUP('Données projet'!$B$12,Paramètres!$A$1:$I$89,3,0)*VLOOKUP('Données projet'!$B$12,Paramètres!$A$1:$I$89,5,0)</f>
        <v>2.7134774427395314E-13</v>
      </c>
      <c r="CA137" s="14">
        <f t="shared" si="147"/>
        <v>3.6292411711343559E-12</v>
      </c>
      <c r="CB137" s="22">
        <f t="shared" si="118"/>
        <v>6.7935256943361388E-12</v>
      </c>
      <c r="CC137" s="62">
        <f t="shared" si="119"/>
        <v>293.33333333334014</v>
      </c>
      <c r="CD137" s="62">
        <f ca="1">AVERAGE(OFFSET($CC$3,0,0,'Données projet'!$E$12+1,1))-AVERAGE(OFFSET($H$3,0,0,'Données projet'!$E$12+1,1))</f>
        <v>237.4598967324826</v>
      </c>
      <c r="CE137" s="62">
        <f t="shared" si="148"/>
        <v>218.74305466112406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205.33000726169792</v>
      </c>
      <c r="T138" s="62">
        <f t="shared" si="142"/>
        <v>307.23455947678775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951</v>
      </c>
      <c r="AG138" s="13">
        <f>VLOOKUP(A138,'Données projet'!$A$61:$I$81,9,0)</f>
        <v>10.533333333333333</v>
      </c>
      <c r="AH138" s="13">
        <f t="array" ref="AH138">INDEX(AG:AG,MIN(IF(ISNUMBER(AG138:AG334),ROW(AG138:AG334),"")))</f>
        <v>10.533333333333333</v>
      </c>
      <c r="AI138" s="14">
        <f>IF('Données projet'!$A$62&gt;35,AI137+AH138-AQ137,IF(A138&lt;'Données projet'!$A$62,$AF$205^A138,IF(A138='Données projet'!$A$62,'Données projet'!$B$62,AI137+AH138-AQ137)))</f>
        <v>950.99999999999989</v>
      </c>
      <c r="AJ138" s="14">
        <f>AI138*VLOOKUP('Données projet'!$B$10,Paramètres!$A$1:$I$89,3,0)*VLOOKUP('Données projet'!$B$10,Paramètres!$A$1:$I$89,5,0)</f>
        <v>469.79399999999993</v>
      </c>
      <c r="AK138" s="14">
        <f t="shared" si="143"/>
        <v>105.7911898421666</v>
      </c>
      <c r="AL138" s="22">
        <f t="shared" si="112"/>
        <v>1002.4775389751067</v>
      </c>
      <c r="AM138" s="62">
        <f t="shared" si="113"/>
        <v>1295.8108723084399</v>
      </c>
      <c r="AN138" s="62">
        <f ca="1">AVERAGE(OFFSET($AM$3,0,0,'Données projet'!$E$10+1,1))-AVERAGE(OFFSET($H$3,0,0,'Données projet'!$E$10+1,1))</f>
        <v>491.47342911047105</v>
      </c>
      <c r="AO138" s="62">
        <f t="shared" si="144"/>
        <v>58.734453933891757</v>
      </c>
      <c r="AP138" s="16">
        <f>IF(ISNA(VLOOKUP(A138,'Données projet'!$A$61:$I$81,3,0)),0,VLOOKUP(A138,'Données projet'!$A$61:$I$81,3,0))</f>
        <v>6</v>
      </c>
      <c r="AQ138" s="16">
        <f>IF(ISNA(VLOOKUP(A138,'Données projet'!$A$61:$I$81,4,0)),0,VLOOKUP(A138,'Données projet'!$A$61:$I$81,4,0))</f>
        <v>135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>
        <f>VLOOKUP(A138,'Données projet'!$A$87:$I$107,2,0)</f>
        <v>298</v>
      </c>
      <c r="BB138" s="13">
        <f>VLOOKUP(A138,'Données projet'!$A$87:$I$107,9,0)</f>
        <v>3</v>
      </c>
      <c r="BC138" s="13">
        <f t="array" ref="BC138">INDEX(BB:BB,MIN(IF(ISNUMBER(BB138:BB334),ROW(BB138:BB334),"")))</f>
        <v>3</v>
      </c>
      <c r="BD138" s="13">
        <f>IF('Données projet'!$A$88&gt;35,BD137+BC138-BL137,IF(A138&lt;'Données projet'!$A$88,$BA$205^A138,IF(A138='Données projet'!$A$88,'Données projet'!$B$88,BD137+BC138-BL137)))</f>
        <v>297.99999999999949</v>
      </c>
      <c r="BE138" s="14">
        <f>BD138*VLOOKUP('Données projet'!$B$11,Paramètres!$A$1:$I$89,3,0)*VLOOKUP('Données projet'!$B$11,Paramètres!$A$1:$I$89,5,0)</f>
        <v>251.03519999999958</v>
      </c>
      <c r="BF138" s="14">
        <f t="shared" si="145"/>
        <v>60.807560012183245</v>
      </c>
      <c r="BG138" s="22">
        <f t="shared" si="115"/>
        <v>543.12614035455169</v>
      </c>
      <c r="BH138" s="62">
        <f t="shared" si="116"/>
        <v>836.45947368788507</v>
      </c>
      <c r="BI138" s="62">
        <f ca="1">AVERAGE(OFFSET($BH$3,0,0,'Données projet'!$E$11+1,1))-AVERAGE(OFFSET($H$3,0,0,'Données projet'!$E$11+1,1))</f>
        <v>278.21934231434597</v>
      </c>
      <c r="BJ138" s="62">
        <f t="shared" si="146"/>
        <v>143.57726487417773</v>
      </c>
      <c r="BK138" s="16">
        <f>IF(ISNA(VLOOKUP(A138,'Données projet'!$A$87:$I$107,3,0)),0,VLOOKUP(A138,'Données projet'!$A$87:$I$107,3,0))</f>
        <v>12</v>
      </c>
      <c r="BL138" s="16">
        <f>IF(ISNA(VLOOKUP(A138,'Données projet'!$A$87:$I$107,4,0)),0,VLOOKUP(A138,'Données projet'!$A$87:$I$107,4,0))</f>
        <v>29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3.4106051316484809E-13</v>
      </c>
      <c r="BZ138" s="14">
        <f>BY138*VLOOKUP('Données projet'!$B$12,Paramètres!$A$1:$I$89,3,0)*VLOOKUP('Données projet'!$B$12,Paramètres!$A$1:$I$89,5,0)</f>
        <v>2.7134774427395314E-13</v>
      </c>
      <c r="CA138" s="14">
        <f t="shared" si="147"/>
        <v>3.6292411711343559E-12</v>
      </c>
      <c r="CB138" s="22">
        <f t="shared" si="118"/>
        <v>6.7935256943361388E-12</v>
      </c>
      <c r="CC138" s="62">
        <f t="shared" si="119"/>
        <v>293.33333333334014</v>
      </c>
      <c r="CD138" s="62">
        <f ca="1">AVERAGE(OFFSET($CC$3,0,0,'Données projet'!$E$12+1,1))-AVERAGE(OFFSET($H$3,0,0,'Données projet'!$E$12+1,1))</f>
        <v>237.4598967324826</v>
      </c>
      <c r="CE138" s="62">
        <f t="shared" si="148"/>
        <v>218.74305466112406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205.33000726169792</v>
      </c>
      <c r="T139" s="62">
        <f t="shared" si="142"/>
        <v>307.23455947678775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8.8666666666666671</v>
      </c>
      <c r="AI139" s="14">
        <f>IF('Données projet'!$A$62&gt;35,AI138+AH139-AQ138,IF(A139&lt;'Données projet'!$A$62,$AF$205^A139,IF(A139='Données projet'!$A$62,'Données projet'!$B$62,AI138+AH139-AQ138)))</f>
        <v>824.86666666666656</v>
      </c>
      <c r="AJ139" s="14">
        <f>AI139*VLOOKUP('Données projet'!$B$10,Paramètres!$A$1:$I$89,3,0)*VLOOKUP('Données projet'!$B$10,Paramètres!$A$1:$I$89,5,0)</f>
        <v>407.48413333333332</v>
      </c>
      <c r="AK139" s="14">
        <f t="shared" si="143"/>
        <v>93.292317547336097</v>
      </c>
      <c r="AL139" s="22">
        <f t="shared" si="112"/>
        <v>872.18565195049916</v>
      </c>
      <c r="AM139" s="62">
        <f t="shared" si="113"/>
        <v>1165.5189852838325</v>
      </c>
      <c r="AN139" s="62">
        <f ca="1">AVERAGE(OFFSET($AM$3,0,0,'Données projet'!$E$10+1,1))-AVERAGE(OFFSET($H$3,0,0,'Données projet'!$E$10+1,1))</f>
        <v>491.47342911047105</v>
      </c>
      <c r="AO139" s="62">
        <f t="shared" si="144"/>
        <v>58.734453933891757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2.4666666666666668</v>
      </c>
      <c r="BD139" s="13">
        <f>IF('Données projet'!$A$88&gt;35,BD138+BC139-BL138,IF(A139&lt;'Données projet'!$A$88,$BA$205^A139,IF(A139='Données projet'!$A$88,'Données projet'!$B$88,BD138+BC139-BL138)))</f>
        <v>271.46666666666613</v>
      </c>
      <c r="BE139" s="14">
        <f>BD139*VLOOKUP('Données projet'!$B$11,Paramètres!$A$1:$I$89,3,0)*VLOOKUP('Données projet'!$B$11,Paramètres!$A$1:$I$89,5,0)</f>
        <v>228.68351999999959</v>
      </c>
      <c r="BF139" s="14">
        <f t="shared" si="145"/>
        <v>55.997932747478032</v>
      </c>
      <c r="BG139" s="22">
        <f t="shared" si="115"/>
        <v>495.82019686852345</v>
      </c>
      <c r="BH139" s="62">
        <f t="shared" si="116"/>
        <v>789.15353020185671</v>
      </c>
      <c r="BI139" s="62">
        <f ca="1">AVERAGE(OFFSET($BH$3,0,0,'Données projet'!$E$11+1,1))-AVERAGE(OFFSET($H$3,0,0,'Données projet'!$E$11+1,1))</f>
        <v>278.21934231434597</v>
      </c>
      <c r="BJ139" s="62">
        <f t="shared" si="146"/>
        <v>143.57726487417773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3.4106051316484809E-13</v>
      </c>
      <c r="BZ139" s="14">
        <f>BY139*VLOOKUP('Données projet'!$B$12,Paramètres!$A$1:$I$89,3,0)*VLOOKUP('Données projet'!$B$12,Paramètres!$A$1:$I$89,5,0)</f>
        <v>2.7134774427395314E-13</v>
      </c>
      <c r="CA139" s="14">
        <f t="shared" si="147"/>
        <v>3.6292411711343559E-12</v>
      </c>
      <c r="CB139" s="22">
        <f t="shared" si="118"/>
        <v>6.7935256943361388E-12</v>
      </c>
      <c r="CC139" s="62">
        <f t="shared" si="119"/>
        <v>293.33333333334014</v>
      </c>
      <c r="CD139" s="62">
        <f ca="1">AVERAGE(OFFSET($CC$3,0,0,'Données projet'!$E$12+1,1))-AVERAGE(OFFSET($H$3,0,0,'Données projet'!$E$12+1,1))</f>
        <v>237.4598967324826</v>
      </c>
      <c r="CE139" s="62">
        <f t="shared" si="148"/>
        <v>218.74305466112406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205.33000726169792</v>
      </c>
      <c r="T140" s="62">
        <f t="shared" si="142"/>
        <v>307.23455947678775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8.8666666666666671</v>
      </c>
      <c r="AI140" s="14">
        <f>IF('Données projet'!$A$62&gt;35,AI139+AH140-AQ139,IF(A140&lt;'Données projet'!$A$62,$AF$205^A140,IF(A140='Données projet'!$A$62,'Données projet'!$B$62,AI139+AH140-AQ139)))</f>
        <v>833.73333333333323</v>
      </c>
      <c r="AJ140" s="14">
        <f>AI140*VLOOKUP('Données projet'!$B$10,Paramètres!$A$1:$I$89,3,0)*VLOOKUP('Données projet'!$B$10,Paramètres!$A$1:$I$89,5,0)</f>
        <v>411.86426666666659</v>
      </c>
      <c r="AK140" s="14">
        <f t="shared" si="143"/>
        <v>94.177856189100581</v>
      </c>
      <c r="AL140" s="22">
        <f t="shared" si="112"/>
        <v>881.35669730712777</v>
      </c>
      <c r="AM140" s="62">
        <f t="shared" si="113"/>
        <v>1174.6900306404611</v>
      </c>
      <c r="AN140" s="62">
        <f ca="1">AVERAGE(OFFSET($AM$3,0,0,'Données projet'!$E$10+1,1))-AVERAGE(OFFSET($H$3,0,0,'Données projet'!$E$10+1,1))</f>
        <v>491.47342911047105</v>
      </c>
      <c r="AO140" s="62">
        <f t="shared" si="144"/>
        <v>58.734453933891757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2.4666666666666668</v>
      </c>
      <c r="BD140" s="13">
        <f>IF('Données projet'!$A$88&gt;35,BD139+BC140-BL139,IF(A140&lt;'Données projet'!$A$88,$BA$205^A140,IF(A140='Données projet'!$A$88,'Données projet'!$B$88,BD139+BC140-BL139)))</f>
        <v>273.93333333333277</v>
      </c>
      <c r="BE140" s="14">
        <f>BD140*VLOOKUP('Données projet'!$B$11,Paramètres!$A$1:$I$89,3,0)*VLOOKUP('Données projet'!$B$11,Paramètres!$A$1:$I$89,5,0)</f>
        <v>230.76143999999954</v>
      </c>
      <c r="BF140" s="14">
        <f t="shared" si="145"/>
        <v>56.447290977995436</v>
      </c>
      <c r="BG140" s="22">
        <f t="shared" si="115"/>
        <v>500.22187312000779</v>
      </c>
      <c r="BH140" s="62">
        <f t="shared" si="116"/>
        <v>793.55520645334104</v>
      </c>
      <c r="BI140" s="62">
        <f ca="1">AVERAGE(OFFSET($BH$3,0,0,'Données projet'!$E$11+1,1))-AVERAGE(OFFSET($H$3,0,0,'Données projet'!$E$11+1,1))</f>
        <v>278.21934231434597</v>
      </c>
      <c r="BJ140" s="62">
        <f t="shared" si="146"/>
        <v>143.57726487417773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3.4106051316484809E-13</v>
      </c>
      <c r="BZ140" s="14">
        <f>BY140*VLOOKUP('Données projet'!$B$12,Paramètres!$A$1:$I$89,3,0)*VLOOKUP('Données projet'!$B$12,Paramètres!$A$1:$I$89,5,0)</f>
        <v>2.7134774427395314E-13</v>
      </c>
      <c r="CA140" s="14">
        <f t="shared" si="147"/>
        <v>3.6292411711343559E-12</v>
      </c>
      <c r="CB140" s="22">
        <f t="shared" si="118"/>
        <v>6.7935256943361388E-12</v>
      </c>
      <c r="CC140" s="62">
        <f t="shared" si="119"/>
        <v>293.33333333334014</v>
      </c>
      <c r="CD140" s="62">
        <f ca="1">AVERAGE(OFFSET($CC$3,0,0,'Données projet'!$E$12+1,1))-AVERAGE(OFFSET($H$3,0,0,'Données projet'!$E$12+1,1))</f>
        <v>237.4598967324826</v>
      </c>
      <c r="CE140" s="62">
        <f t="shared" si="148"/>
        <v>218.74305466112406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205.33000726169792</v>
      </c>
      <c r="T141" s="62">
        <f t="shared" si="142"/>
        <v>307.23455947678775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8.8666666666666671</v>
      </c>
      <c r="AI141" s="14">
        <f>IF('Données projet'!$A$62&gt;35,AI140+AH141-AQ140,IF(A141&lt;'Données projet'!$A$62,$AF$205^A141,IF(A141='Données projet'!$A$62,'Données projet'!$B$62,AI140+AH141-AQ140)))</f>
        <v>842.59999999999991</v>
      </c>
      <c r="AJ141" s="14">
        <f>AI141*VLOOKUP('Données projet'!$B$10,Paramètres!$A$1:$I$89,3,0)*VLOOKUP('Données projet'!$B$10,Paramètres!$A$1:$I$89,5,0)</f>
        <v>416.24439999999998</v>
      </c>
      <c r="AK141" s="14">
        <f t="shared" si="143"/>
        <v>95.062299277360012</v>
      </c>
      <c r="AL141" s="22">
        <f t="shared" si="112"/>
        <v>890.52583457473531</v>
      </c>
      <c r="AM141" s="62">
        <f t="shared" si="113"/>
        <v>1183.8591679080687</v>
      </c>
      <c r="AN141" s="62">
        <f ca="1">AVERAGE(OFFSET($AM$3,0,0,'Données projet'!$E$10+1,1))-AVERAGE(OFFSET($H$3,0,0,'Données projet'!$E$10+1,1))</f>
        <v>491.47342911047105</v>
      </c>
      <c r="AO141" s="62">
        <f t="shared" si="144"/>
        <v>58.734453933891757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2.4666666666666668</v>
      </c>
      <c r="BD141" s="13">
        <f>IF('Données projet'!$A$88&gt;35,BD140+BC141-BL140,IF(A141&lt;'Données projet'!$A$88,$BA$205^A141,IF(A141='Données projet'!$A$88,'Données projet'!$B$88,BD140+BC141-BL140)))</f>
        <v>276.39999999999941</v>
      </c>
      <c r="BE141" s="14">
        <f>BD141*VLOOKUP('Données projet'!$B$11,Paramètres!$A$1:$I$89,3,0)*VLOOKUP('Données projet'!$B$11,Paramètres!$A$1:$I$89,5,0)</f>
        <v>232.83935999999952</v>
      </c>
      <c r="BF141" s="14">
        <f t="shared" si="145"/>
        <v>56.89617845898745</v>
      </c>
      <c r="BG141" s="22">
        <f t="shared" si="115"/>
        <v>504.62272948273556</v>
      </c>
      <c r="BH141" s="62">
        <f t="shared" si="116"/>
        <v>797.95606281606888</v>
      </c>
      <c r="BI141" s="62">
        <f ca="1">AVERAGE(OFFSET($BH$3,0,0,'Données projet'!$E$11+1,1))-AVERAGE(OFFSET($H$3,0,0,'Données projet'!$E$11+1,1))</f>
        <v>278.21934231434597</v>
      </c>
      <c r="BJ141" s="62">
        <f t="shared" si="146"/>
        <v>143.57726487417773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3.4106051316484809E-13</v>
      </c>
      <c r="BZ141" s="14">
        <f>BY141*VLOOKUP('Données projet'!$B$12,Paramètres!$A$1:$I$89,3,0)*VLOOKUP('Données projet'!$B$12,Paramètres!$A$1:$I$89,5,0)</f>
        <v>2.7134774427395314E-13</v>
      </c>
      <c r="CA141" s="14">
        <f t="shared" si="147"/>
        <v>3.6292411711343559E-12</v>
      </c>
      <c r="CB141" s="22">
        <f t="shared" si="118"/>
        <v>6.7935256943361388E-12</v>
      </c>
      <c r="CC141" s="62">
        <f t="shared" si="119"/>
        <v>293.33333333334014</v>
      </c>
      <c r="CD141" s="62">
        <f ca="1">AVERAGE(OFFSET($CC$3,0,0,'Données projet'!$E$12+1,1))-AVERAGE(OFFSET($H$3,0,0,'Données projet'!$E$12+1,1))</f>
        <v>237.4598967324826</v>
      </c>
      <c r="CE141" s="62">
        <f t="shared" si="148"/>
        <v>218.74305466112406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205.33000726169792</v>
      </c>
      <c r="T142" s="62">
        <f t="shared" si="142"/>
        <v>307.23455947678775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8.8666666666666671</v>
      </c>
      <c r="AI142" s="14">
        <f>IF('Données projet'!$A$62&gt;35,AI141+AH142-AQ141,IF(A142&lt;'Données projet'!$A$62,$AF$205^A142,IF(A142='Données projet'!$A$62,'Données projet'!$B$62,AI141+AH142-AQ141)))</f>
        <v>851.46666666666658</v>
      </c>
      <c r="AJ142" s="14">
        <f>AI142*VLOOKUP('Données projet'!$B$10,Paramètres!$A$1:$I$89,3,0)*VLOOKUP('Données projet'!$B$10,Paramètres!$A$1:$I$89,5,0)</f>
        <v>420.62453333333332</v>
      </c>
      <c r="AK142" s="14">
        <f t="shared" si="143"/>
        <v>95.945659675121234</v>
      </c>
      <c r="AL142" s="22">
        <f t="shared" si="112"/>
        <v>899.69308615639159</v>
      </c>
      <c r="AM142" s="62">
        <f t="shared" si="113"/>
        <v>1193.026419489725</v>
      </c>
      <c r="AN142" s="62">
        <f ca="1">AVERAGE(OFFSET($AM$3,0,0,'Données projet'!$E$10+1,1))-AVERAGE(OFFSET($H$3,0,0,'Données projet'!$E$10+1,1))</f>
        <v>491.47342911047105</v>
      </c>
      <c r="AO142" s="62">
        <f t="shared" si="144"/>
        <v>58.734453933891757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2.4666666666666668</v>
      </c>
      <c r="BD142" s="13">
        <f>IF('Données projet'!$A$88&gt;35,BD141+BC142-BL141,IF(A142&lt;'Données projet'!$A$88,$BA$205^A142,IF(A142='Données projet'!$A$88,'Données projet'!$B$88,BD141+BC142-BL141)))</f>
        <v>278.86666666666605</v>
      </c>
      <c r="BE142" s="14">
        <f>BD142*VLOOKUP('Données projet'!$B$11,Paramètres!$A$1:$I$89,3,0)*VLOOKUP('Données projet'!$B$11,Paramètres!$A$1:$I$89,5,0)</f>
        <v>234.91727999999952</v>
      </c>
      <c r="BF142" s="14">
        <f t="shared" si="145"/>
        <v>57.344599878244281</v>
      </c>
      <c r="BG142" s="22">
        <f t="shared" si="115"/>
        <v>509.02277412127455</v>
      </c>
      <c r="BH142" s="62">
        <f t="shared" si="116"/>
        <v>802.35610745460781</v>
      </c>
      <c r="BI142" s="62">
        <f ca="1">AVERAGE(OFFSET($BH$3,0,0,'Données projet'!$E$11+1,1))-AVERAGE(OFFSET($H$3,0,0,'Données projet'!$E$11+1,1))</f>
        <v>278.21934231434597</v>
      </c>
      <c r="BJ142" s="62">
        <f t="shared" si="146"/>
        <v>143.57726487417773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3.4106051316484809E-13</v>
      </c>
      <c r="BZ142" s="14">
        <f>BY142*VLOOKUP('Données projet'!$B$12,Paramètres!$A$1:$I$89,3,0)*VLOOKUP('Données projet'!$B$12,Paramètres!$A$1:$I$89,5,0)</f>
        <v>2.7134774427395314E-13</v>
      </c>
      <c r="CA142" s="14">
        <f t="shared" si="147"/>
        <v>3.6292411711343559E-12</v>
      </c>
      <c r="CB142" s="22">
        <f t="shared" si="118"/>
        <v>6.7935256943361388E-12</v>
      </c>
      <c r="CC142" s="62">
        <f t="shared" si="119"/>
        <v>293.33333333334014</v>
      </c>
      <c r="CD142" s="62">
        <f ca="1">AVERAGE(OFFSET($CC$3,0,0,'Données projet'!$E$12+1,1))-AVERAGE(OFFSET($H$3,0,0,'Données projet'!$E$12+1,1))</f>
        <v>237.4598967324826</v>
      </c>
      <c r="CE142" s="62">
        <f t="shared" si="148"/>
        <v>218.74305466112406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205.33000726169792</v>
      </c>
      <c r="T143" s="62">
        <f t="shared" si="142"/>
        <v>307.23455947678775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8.8666666666666671</v>
      </c>
      <c r="AI143" s="14">
        <f>IF('Données projet'!$A$62&gt;35,AI142+AH143-AQ142,IF(A143&lt;'Données projet'!$A$62,$AF$205^A143,IF(A143='Données projet'!$A$62,'Données projet'!$B$62,AI142+AH143-AQ142)))</f>
        <v>860.33333333333326</v>
      </c>
      <c r="AJ143" s="14">
        <f>AI143*VLOOKUP('Données projet'!$B$10,Paramètres!$A$1:$I$89,3,0)*VLOOKUP('Données projet'!$B$10,Paramètres!$A$1:$I$89,5,0)</f>
        <v>425.00466666666659</v>
      </c>
      <c r="AK143" s="14">
        <f t="shared" si="143"/>
        <v>96.82794996206097</v>
      </c>
      <c r="AL143" s="22">
        <f t="shared" si="112"/>
        <v>908.8584739617005</v>
      </c>
      <c r="AM143" s="62">
        <f t="shared" si="113"/>
        <v>1202.1918072950339</v>
      </c>
      <c r="AN143" s="62">
        <f ca="1">AVERAGE(OFFSET($AM$3,0,0,'Données projet'!$E$10+1,1))-AVERAGE(OFFSET($H$3,0,0,'Données projet'!$E$10+1,1))</f>
        <v>491.47342911047105</v>
      </c>
      <c r="AO143" s="62">
        <f t="shared" si="144"/>
        <v>58.734453933891757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2.4666666666666668</v>
      </c>
      <c r="BD143" s="13">
        <f>IF('Données projet'!$A$88&gt;35,BD142+BC143-BL142,IF(A143&lt;'Données projet'!$A$88,$BA$205^A143,IF(A143='Données projet'!$A$88,'Données projet'!$B$88,BD142+BC143-BL142)))</f>
        <v>281.33333333333269</v>
      </c>
      <c r="BE143" s="14">
        <f>BD143*VLOOKUP('Données projet'!$B$11,Paramètres!$A$1:$I$89,3,0)*VLOOKUP('Données projet'!$B$11,Paramètres!$A$1:$I$89,5,0)</f>
        <v>236.9951999999995</v>
      </c>
      <c r="BF143" s="14">
        <f t="shared" si="145"/>
        <v>57.79255983584131</v>
      </c>
      <c r="BG143" s="22">
        <f t="shared" si="115"/>
        <v>513.42201504742263</v>
      </c>
      <c r="BH143" s="62">
        <f t="shared" si="116"/>
        <v>806.755348380756</v>
      </c>
      <c r="BI143" s="62">
        <f ca="1">AVERAGE(OFFSET($BH$3,0,0,'Données projet'!$E$11+1,1))-AVERAGE(OFFSET($H$3,0,0,'Données projet'!$E$11+1,1))</f>
        <v>278.21934231434597</v>
      </c>
      <c r="BJ143" s="62">
        <f t="shared" si="146"/>
        <v>143.57726487417773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3.4106051316484809E-13</v>
      </c>
      <c r="BZ143" s="14">
        <f>BY143*VLOOKUP('Données projet'!$B$12,Paramètres!$A$1:$I$89,3,0)*VLOOKUP('Données projet'!$B$12,Paramètres!$A$1:$I$89,5,0)</f>
        <v>2.7134774427395314E-13</v>
      </c>
      <c r="CA143" s="14">
        <f t="shared" si="147"/>
        <v>3.6292411711343559E-12</v>
      </c>
      <c r="CB143" s="22">
        <f t="shared" si="118"/>
        <v>6.7935256943361388E-12</v>
      </c>
      <c r="CC143" s="62">
        <f t="shared" si="119"/>
        <v>293.33333333334014</v>
      </c>
      <c r="CD143" s="62">
        <f ca="1">AVERAGE(OFFSET($CC$3,0,0,'Données projet'!$E$12+1,1))-AVERAGE(OFFSET($H$3,0,0,'Données projet'!$E$12+1,1))</f>
        <v>237.4598967324826</v>
      </c>
      <c r="CE143" s="62">
        <f t="shared" si="148"/>
        <v>218.74305466112406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205.33000726169792</v>
      </c>
      <c r="T144" s="62">
        <f t="shared" si="142"/>
        <v>307.23455947678775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8.8666666666666671</v>
      </c>
      <c r="AI144" s="14">
        <f>IF('Données projet'!$A$62&gt;35,AI143+AH144-AQ143,IF(A144&lt;'Données projet'!$A$62,$AF$205^A144,IF(A144='Données projet'!$A$62,'Données projet'!$B$62,AI143+AH144-AQ143)))</f>
        <v>869.19999999999993</v>
      </c>
      <c r="AJ144" s="14">
        <f>AI144*VLOOKUP('Données projet'!$B$10,Paramètres!$A$1:$I$89,3,0)*VLOOKUP('Données projet'!$B$10,Paramètres!$A$1:$I$89,5,0)</f>
        <v>429.38479999999998</v>
      </c>
      <c r="AK144" s="14">
        <f t="shared" si="143"/>
        <v>97.709182443620264</v>
      </c>
      <c r="AL144" s="22">
        <f t="shared" si="112"/>
        <v>918.02201942263855</v>
      </c>
      <c r="AM144" s="62">
        <f t="shared" si="113"/>
        <v>1211.3553527559718</v>
      </c>
      <c r="AN144" s="62">
        <f ca="1">AVERAGE(OFFSET($AM$3,0,0,'Données projet'!$E$10+1,1))-AVERAGE(OFFSET($H$3,0,0,'Données projet'!$E$10+1,1))</f>
        <v>491.47342911047105</v>
      </c>
      <c r="AO144" s="62">
        <f t="shared" si="144"/>
        <v>58.734453933891757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2.4666666666666668</v>
      </c>
      <c r="BD144" s="13">
        <f>IF('Données projet'!$A$88&gt;35,BD143+BC144-BL143,IF(A144&lt;'Données projet'!$A$88,$BA$205^A144,IF(A144='Données projet'!$A$88,'Données projet'!$B$88,BD143+BC144-BL143)))</f>
        <v>283.79999999999933</v>
      </c>
      <c r="BE144" s="14">
        <f>BD144*VLOOKUP('Données projet'!$B$11,Paramètres!$A$1:$I$89,3,0)*VLOOKUP('Données projet'!$B$11,Paramètres!$A$1:$I$89,5,0)</f>
        <v>239.07311999999945</v>
      </c>
      <c r="BF144" s="14">
        <f t="shared" si="145"/>
        <v>58.240062846534769</v>
      </c>
      <c r="BG144" s="22">
        <f t="shared" si="115"/>
        <v>517.82046012438047</v>
      </c>
      <c r="BH144" s="62">
        <f t="shared" si="116"/>
        <v>811.15379345771385</v>
      </c>
      <c r="BI144" s="62">
        <f ca="1">AVERAGE(OFFSET($BH$3,0,0,'Données projet'!$E$11+1,1))-AVERAGE(OFFSET($H$3,0,0,'Données projet'!$E$11+1,1))</f>
        <v>278.21934231434597</v>
      </c>
      <c r="BJ144" s="62">
        <f t="shared" si="146"/>
        <v>143.57726487417773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3.4106051316484809E-13</v>
      </c>
      <c r="BZ144" s="14">
        <f>BY144*VLOOKUP('Données projet'!$B$12,Paramètres!$A$1:$I$89,3,0)*VLOOKUP('Données projet'!$B$12,Paramètres!$A$1:$I$89,5,0)</f>
        <v>2.7134774427395314E-13</v>
      </c>
      <c r="CA144" s="14">
        <f t="shared" si="147"/>
        <v>3.6292411711343559E-12</v>
      </c>
      <c r="CB144" s="22">
        <f t="shared" si="118"/>
        <v>6.7935256943361388E-12</v>
      </c>
      <c r="CC144" s="62">
        <f t="shared" si="119"/>
        <v>293.33333333334014</v>
      </c>
      <c r="CD144" s="62">
        <f ca="1">AVERAGE(OFFSET($CC$3,0,0,'Données projet'!$E$12+1,1))-AVERAGE(OFFSET($H$3,0,0,'Données projet'!$E$12+1,1))</f>
        <v>237.4598967324826</v>
      </c>
      <c r="CE144" s="62">
        <f t="shared" si="148"/>
        <v>218.74305466112406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205.33000726169792</v>
      </c>
      <c r="T145" s="62">
        <f t="shared" si="142"/>
        <v>307.23455947678775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8.8666666666666671</v>
      </c>
      <c r="AI145" s="14">
        <f>IF('Données projet'!$A$62&gt;35,AI144+AH145-AQ144,IF(A145&lt;'Données projet'!$A$62,$AF$205^A145,IF(A145='Données projet'!$A$62,'Données projet'!$B$62,AI144+AH145-AQ144)))</f>
        <v>878.06666666666661</v>
      </c>
      <c r="AJ145" s="14">
        <f>AI145*VLOOKUP('Données projet'!$B$10,Paramètres!$A$1:$I$89,3,0)*VLOOKUP('Données projet'!$B$10,Paramètres!$A$1:$I$89,5,0)</f>
        <v>433.76493333333332</v>
      </c>
      <c r="AK145" s="14">
        <f t="shared" si="143"/>
        <v>98.589369159718814</v>
      </c>
      <c r="AL145" s="22">
        <f t="shared" si="112"/>
        <v>927.18374350873239</v>
      </c>
      <c r="AM145" s="62">
        <f t="shared" si="113"/>
        <v>1220.5170768420658</v>
      </c>
      <c r="AN145" s="62">
        <f ca="1">AVERAGE(OFFSET($AM$3,0,0,'Données projet'!$E$10+1,1))-AVERAGE(OFFSET($H$3,0,0,'Données projet'!$E$10+1,1))</f>
        <v>491.47342911047105</v>
      </c>
      <c r="AO145" s="62">
        <f t="shared" si="144"/>
        <v>58.734453933891757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2.4666666666666668</v>
      </c>
      <c r="BD145" s="13">
        <f>IF('Données projet'!$A$88&gt;35,BD144+BC145-BL144,IF(A145&lt;'Données projet'!$A$88,$BA$205^A145,IF(A145='Données projet'!$A$88,'Données projet'!$B$88,BD144+BC145-BL144)))</f>
        <v>286.26666666666597</v>
      </c>
      <c r="BE145" s="14">
        <f>BD145*VLOOKUP('Données projet'!$B$11,Paramètres!$A$1:$I$89,3,0)*VLOOKUP('Données projet'!$B$11,Paramètres!$A$1:$I$89,5,0)</f>
        <v>241.15103999999943</v>
      </c>
      <c r="BF145" s="14">
        <f t="shared" si="145"/>
        <v>58.687113342071548</v>
      </c>
      <c r="BG145" s="22">
        <f t="shared" si="115"/>
        <v>522.21811707077359</v>
      </c>
      <c r="BH145" s="62">
        <f t="shared" si="116"/>
        <v>815.55145040410684</v>
      </c>
      <c r="BI145" s="62">
        <f ca="1">AVERAGE(OFFSET($BH$3,0,0,'Données projet'!$E$11+1,1))-AVERAGE(OFFSET($H$3,0,0,'Données projet'!$E$11+1,1))</f>
        <v>278.21934231434597</v>
      </c>
      <c r="BJ145" s="62">
        <f t="shared" si="146"/>
        <v>143.57726487417773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3.4106051316484809E-13</v>
      </c>
      <c r="BZ145" s="14">
        <f>BY145*VLOOKUP('Données projet'!$B$12,Paramètres!$A$1:$I$89,3,0)*VLOOKUP('Données projet'!$B$12,Paramètres!$A$1:$I$89,5,0)</f>
        <v>2.7134774427395314E-13</v>
      </c>
      <c r="CA145" s="14">
        <f t="shared" si="147"/>
        <v>3.6292411711343559E-12</v>
      </c>
      <c r="CB145" s="22">
        <f t="shared" si="118"/>
        <v>6.7935256943361388E-12</v>
      </c>
      <c r="CC145" s="62">
        <f t="shared" si="119"/>
        <v>293.33333333334014</v>
      </c>
      <c r="CD145" s="62">
        <f ca="1">AVERAGE(OFFSET($CC$3,0,0,'Données projet'!$E$12+1,1))-AVERAGE(OFFSET($H$3,0,0,'Données projet'!$E$12+1,1))</f>
        <v>237.4598967324826</v>
      </c>
      <c r="CE145" s="62">
        <f t="shared" si="148"/>
        <v>218.74305466112406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205.33000726169792</v>
      </c>
      <c r="T146" s="62">
        <f t="shared" si="142"/>
        <v>307.23455947678775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8.8666666666666671</v>
      </c>
      <c r="AI146" s="14">
        <f>IF('Données projet'!$A$62&gt;35,AI145+AH146-AQ145,IF(A146&lt;'Données projet'!$A$62,$AF$205^A146,IF(A146='Données projet'!$A$62,'Données projet'!$B$62,AI145+AH146-AQ145)))</f>
        <v>886.93333333333328</v>
      </c>
      <c r="AJ146" s="14">
        <f>AI146*VLOOKUP('Données projet'!$B$10,Paramètres!$A$1:$I$89,3,0)*VLOOKUP('Données projet'!$B$10,Paramètres!$A$1:$I$89,5,0)</f>
        <v>438.14506666666665</v>
      </c>
      <c r="AK146" s="14">
        <f t="shared" si="143"/>
        <v>99.468521893105702</v>
      </c>
      <c r="AL146" s="22">
        <f t="shared" si="112"/>
        <v>936.34366674160344</v>
      </c>
      <c r="AM146" s="62">
        <f t="shared" si="113"/>
        <v>1229.6770000749368</v>
      </c>
      <c r="AN146" s="62">
        <f ca="1">AVERAGE(OFFSET($AM$3,0,0,'Données projet'!$E$10+1,1))-AVERAGE(OFFSET($H$3,0,0,'Données projet'!$E$10+1,1))</f>
        <v>491.47342911047105</v>
      </c>
      <c r="AO146" s="62">
        <f t="shared" si="144"/>
        <v>58.734453933891757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2.4666666666666668</v>
      </c>
      <c r="BD146" s="13">
        <f>IF('Données projet'!$A$88&gt;35,BD145+BC146-BL145,IF(A146&lt;'Données projet'!$A$88,$BA$205^A146,IF(A146='Données projet'!$A$88,'Données projet'!$B$88,BD145+BC146-BL145)))</f>
        <v>288.73333333333261</v>
      </c>
      <c r="BE146" s="14">
        <f>BD146*VLOOKUP('Données projet'!$B$11,Paramètres!$A$1:$I$89,3,0)*VLOOKUP('Données projet'!$B$11,Paramètres!$A$1:$I$89,5,0)</f>
        <v>243.22895999999943</v>
      </c>
      <c r="BF146" s="14">
        <f t="shared" si="145"/>
        <v>59.133715673417363</v>
      </c>
      <c r="BG146" s="22">
        <f t="shared" si="115"/>
        <v>526.61499346453422</v>
      </c>
      <c r="BH146" s="62">
        <f t="shared" si="116"/>
        <v>819.94832679786759</v>
      </c>
      <c r="BI146" s="62">
        <f ca="1">AVERAGE(OFFSET($BH$3,0,0,'Données projet'!$E$11+1,1))-AVERAGE(OFFSET($H$3,0,0,'Données projet'!$E$11+1,1))</f>
        <v>278.21934231434597</v>
      </c>
      <c r="BJ146" s="62">
        <f t="shared" si="146"/>
        <v>143.57726487417773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3.4106051316484809E-13</v>
      </c>
      <c r="BZ146" s="14">
        <f>BY146*VLOOKUP('Données projet'!$B$12,Paramètres!$A$1:$I$89,3,0)*VLOOKUP('Données projet'!$B$12,Paramètres!$A$1:$I$89,5,0)</f>
        <v>2.7134774427395314E-13</v>
      </c>
      <c r="CA146" s="14">
        <f t="shared" si="147"/>
        <v>3.6292411711343559E-12</v>
      </c>
      <c r="CB146" s="22">
        <f t="shared" si="118"/>
        <v>6.7935256943361388E-12</v>
      </c>
      <c r="CC146" s="62">
        <f t="shared" si="119"/>
        <v>293.33333333334014</v>
      </c>
      <c r="CD146" s="62">
        <f ca="1">AVERAGE(OFFSET($CC$3,0,0,'Données projet'!$E$12+1,1))-AVERAGE(OFFSET($H$3,0,0,'Données projet'!$E$12+1,1))</f>
        <v>237.4598967324826</v>
      </c>
      <c r="CE146" s="62">
        <f t="shared" si="148"/>
        <v>218.74305466112406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205.33000726169792</v>
      </c>
      <c r="T147" s="62">
        <f t="shared" si="142"/>
        <v>307.23455947678775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8.8666666666666671</v>
      </c>
      <c r="AI147" s="14">
        <f>IF('Données projet'!$A$62&gt;35,AI146+AH147-AQ146,IF(A147&lt;'Données projet'!$A$62,$AF$205^A147,IF(A147='Données projet'!$A$62,'Données projet'!$B$62,AI146+AH147-AQ146)))</f>
        <v>895.8</v>
      </c>
      <c r="AJ147" s="14">
        <f>AI147*VLOOKUP('Données projet'!$B$10,Paramètres!$A$1:$I$89,3,0)*VLOOKUP('Données projet'!$B$10,Paramètres!$A$1:$I$89,5,0)</f>
        <v>442.52519999999998</v>
      </c>
      <c r="AK147" s="14">
        <f t="shared" si="143"/>
        <v>100.34665217736757</v>
      </c>
      <c r="AL147" s="22">
        <f t="shared" si="112"/>
        <v>945.50180920891523</v>
      </c>
      <c r="AM147" s="62">
        <f t="shared" si="113"/>
        <v>1238.8351425422486</v>
      </c>
      <c r="AN147" s="62">
        <f ca="1">AVERAGE(OFFSET($AM$3,0,0,'Données projet'!$E$10+1,1))-AVERAGE(OFFSET($H$3,0,0,'Données projet'!$E$10+1,1))</f>
        <v>491.47342911047105</v>
      </c>
      <c r="AO147" s="62">
        <f t="shared" si="144"/>
        <v>58.734453933891757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2.4666666666666668</v>
      </c>
      <c r="BD147" s="13">
        <f>IF('Données projet'!$A$88&gt;35,BD146+BC147-BL146,IF(A147&lt;'Données projet'!$A$88,$BA$205^A147,IF(A147='Données projet'!$A$88,'Données projet'!$B$88,BD146+BC147-BL146)))</f>
        <v>291.19999999999925</v>
      </c>
      <c r="BE147" s="14">
        <f>BD147*VLOOKUP('Données projet'!$B$11,Paramètres!$A$1:$I$89,3,0)*VLOOKUP('Données projet'!$B$11,Paramètres!$A$1:$I$89,5,0)</f>
        <v>245.30687999999938</v>
      </c>
      <c r="BF147" s="14">
        <f t="shared" si="145"/>
        <v>59.579874112906268</v>
      </c>
      <c r="BG147" s="22">
        <f t="shared" si="115"/>
        <v>531.01109674664394</v>
      </c>
      <c r="BH147" s="62">
        <f t="shared" si="116"/>
        <v>824.3444300799772</v>
      </c>
      <c r="BI147" s="62">
        <f ca="1">AVERAGE(OFFSET($BH$3,0,0,'Données projet'!$E$11+1,1))-AVERAGE(OFFSET($H$3,0,0,'Données projet'!$E$11+1,1))</f>
        <v>278.21934231434597</v>
      </c>
      <c r="BJ147" s="62">
        <f t="shared" si="146"/>
        <v>143.57726487417773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3.4106051316484809E-13</v>
      </c>
      <c r="BZ147" s="14">
        <f>BY147*VLOOKUP('Données projet'!$B$12,Paramètres!$A$1:$I$89,3,0)*VLOOKUP('Données projet'!$B$12,Paramètres!$A$1:$I$89,5,0)</f>
        <v>2.7134774427395314E-13</v>
      </c>
      <c r="CA147" s="14">
        <f t="shared" si="147"/>
        <v>3.6292411711343559E-12</v>
      </c>
      <c r="CB147" s="22">
        <f t="shared" si="118"/>
        <v>6.7935256943361388E-12</v>
      </c>
      <c r="CC147" s="62">
        <f t="shared" si="119"/>
        <v>293.33333333334014</v>
      </c>
      <c r="CD147" s="62">
        <f ca="1">AVERAGE(OFFSET($CC$3,0,0,'Données projet'!$E$12+1,1))-AVERAGE(OFFSET($H$3,0,0,'Données projet'!$E$12+1,1))</f>
        <v>237.4598967324826</v>
      </c>
      <c r="CE147" s="62">
        <f t="shared" si="148"/>
        <v>218.74305466112406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205.33000726169792</v>
      </c>
      <c r="T148" s="62">
        <f t="shared" si="142"/>
        <v>307.23455947678775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8.8666666666666671</v>
      </c>
      <c r="AI148" s="14">
        <f>IF('Données projet'!$A$62&gt;35,AI147+AH148-AQ147,IF(A148&lt;'Données projet'!$A$62,$AF$205^A148,IF(A148='Données projet'!$A$62,'Données projet'!$B$62,AI147+AH148-AQ147)))</f>
        <v>904.66666666666663</v>
      </c>
      <c r="AJ148" s="14">
        <f>AI148*VLOOKUP('Données projet'!$B$10,Paramètres!$A$1:$I$89,3,0)*VLOOKUP('Données projet'!$B$10,Paramètres!$A$1:$I$89,5,0)</f>
        <v>446.90533333333332</v>
      </c>
      <c r="AK148" s="14">
        <f t="shared" si="143"/>
        <v>101.22377130461049</v>
      </c>
      <c r="AL148" s="22">
        <f t="shared" si="112"/>
        <v>954.65819057775207</v>
      </c>
      <c r="AM148" s="62">
        <f t="shared" si="113"/>
        <v>1247.9915239110853</v>
      </c>
      <c r="AN148" s="62">
        <f ca="1">AVERAGE(OFFSET($AM$3,0,0,'Données projet'!$E$10+1,1))-AVERAGE(OFFSET($H$3,0,0,'Données projet'!$E$10+1,1))</f>
        <v>491.47342911047105</v>
      </c>
      <c r="AO148" s="62">
        <f t="shared" si="144"/>
        <v>58.734453933891757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2.4666666666666668</v>
      </c>
      <c r="BD148" s="13">
        <f>IF('Données projet'!$A$88&gt;35,BD147+BC148-BL147,IF(A148&lt;'Données projet'!$A$88,$BA$205^A148,IF(A148='Données projet'!$A$88,'Données projet'!$B$88,BD147+BC148-BL147)))</f>
        <v>293.66666666666589</v>
      </c>
      <c r="BE148" s="14">
        <f>BD148*VLOOKUP('Données projet'!$B$11,Paramètres!$A$1:$I$89,3,0)*VLOOKUP('Données projet'!$B$11,Paramètres!$A$1:$I$89,5,0)</f>
        <v>247.38479999999936</v>
      </c>
      <c r="BF148" s="14">
        <f t="shared" si="145"/>
        <v>60.025592856315711</v>
      </c>
      <c r="BG148" s="22">
        <f t="shared" si="115"/>
        <v>535.40643422474875</v>
      </c>
      <c r="BH148" s="62">
        <f t="shared" si="116"/>
        <v>828.73976755808212</v>
      </c>
      <c r="BI148" s="62">
        <f ca="1">AVERAGE(OFFSET($BH$3,0,0,'Données projet'!$E$11+1,1))-AVERAGE(OFFSET($H$3,0,0,'Données projet'!$E$11+1,1))</f>
        <v>278.21934231434597</v>
      </c>
      <c r="BJ148" s="62">
        <f t="shared" si="146"/>
        <v>143.57726487417773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3.4106051316484809E-13</v>
      </c>
      <c r="BZ148" s="14">
        <f>BY148*VLOOKUP('Données projet'!$B$12,Paramètres!$A$1:$I$89,3,0)*VLOOKUP('Données projet'!$B$12,Paramètres!$A$1:$I$89,5,0)</f>
        <v>2.7134774427395314E-13</v>
      </c>
      <c r="CA148" s="14">
        <f t="shared" si="147"/>
        <v>3.6292411711343559E-12</v>
      </c>
      <c r="CB148" s="22">
        <f t="shared" si="118"/>
        <v>6.7935256943361388E-12</v>
      </c>
      <c r="CC148" s="62">
        <f t="shared" si="119"/>
        <v>293.33333333334014</v>
      </c>
      <c r="CD148" s="62">
        <f ca="1">AVERAGE(OFFSET($CC$3,0,0,'Données projet'!$E$12+1,1))-AVERAGE(OFFSET($H$3,0,0,'Données projet'!$E$12+1,1))</f>
        <v>237.4598967324826</v>
      </c>
      <c r="CE148" s="62">
        <f t="shared" si="148"/>
        <v>218.74305466112406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205.33000726169792</v>
      </c>
      <c r="T149" s="62">
        <f t="shared" si="142"/>
        <v>307.23455947678775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8.8666666666666671</v>
      </c>
      <c r="AI149" s="14">
        <f>IF('Données projet'!$A$62&gt;35,AI148+AH149-AQ148,IF(A149&lt;'Données projet'!$A$62,$AF$205^A149,IF(A149='Données projet'!$A$62,'Données projet'!$B$62,AI148+AH149-AQ148)))</f>
        <v>913.5333333333333</v>
      </c>
      <c r="AJ149" s="14">
        <f>AI149*VLOOKUP('Données projet'!$B$10,Paramètres!$A$1:$I$89,3,0)*VLOOKUP('Données projet'!$B$10,Paramètres!$A$1:$I$89,5,0)</f>
        <v>451.28546666666671</v>
      </c>
      <c r="AK149" s="14">
        <f t="shared" si="143"/>
        <v>102.09989033283196</v>
      </c>
      <c r="AL149" s="22">
        <f t="shared" si="112"/>
        <v>963.81283010745994</v>
      </c>
      <c r="AM149" s="62">
        <f t="shared" si="113"/>
        <v>1257.1461634407933</v>
      </c>
      <c r="AN149" s="62">
        <f ca="1">AVERAGE(OFFSET($AM$3,0,0,'Données projet'!$E$10+1,1))-AVERAGE(OFFSET($H$3,0,0,'Données projet'!$E$10+1,1))</f>
        <v>491.47342911047105</v>
      </c>
      <c r="AO149" s="62">
        <f t="shared" si="144"/>
        <v>58.734453933891757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2.4666666666666668</v>
      </c>
      <c r="BD149" s="13">
        <f>IF('Données projet'!$A$88&gt;35,BD148+BC149-BL148,IF(A149&lt;'Données projet'!$A$88,$BA$205^A149,IF(A149='Données projet'!$A$88,'Données projet'!$B$88,BD148+BC149-BL148)))</f>
        <v>296.13333333333253</v>
      </c>
      <c r="BE149" s="14">
        <f>BD149*VLOOKUP('Données projet'!$B$11,Paramètres!$A$1:$I$89,3,0)*VLOOKUP('Données projet'!$B$11,Paramètres!$A$1:$I$89,5,0)</f>
        <v>249.46271999999936</v>
      </c>
      <c r="BF149" s="14">
        <f t="shared" si="145"/>
        <v>60.470876024869376</v>
      </c>
      <c r="BG149" s="22">
        <f t="shared" si="115"/>
        <v>539.80101307664643</v>
      </c>
      <c r="BH149" s="62">
        <f t="shared" si="116"/>
        <v>833.1343464099798</v>
      </c>
      <c r="BI149" s="62">
        <f ca="1">AVERAGE(OFFSET($BH$3,0,0,'Données projet'!$E$11+1,1))-AVERAGE(OFFSET($H$3,0,0,'Données projet'!$E$11+1,1))</f>
        <v>278.21934231434597</v>
      </c>
      <c r="BJ149" s="62">
        <f t="shared" si="146"/>
        <v>143.57726487417773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3.4106051316484809E-13</v>
      </c>
      <c r="BZ149" s="14">
        <f>BY149*VLOOKUP('Données projet'!$B$12,Paramètres!$A$1:$I$89,3,0)*VLOOKUP('Données projet'!$B$12,Paramètres!$A$1:$I$89,5,0)</f>
        <v>2.7134774427395314E-13</v>
      </c>
      <c r="CA149" s="14">
        <f t="shared" si="147"/>
        <v>3.6292411711343559E-12</v>
      </c>
      <c r="CB149" s="22">
        <f t="shared" si="118"/>
        <v>6.7935256943361388E-12</v>
      </c>
      <c r="CC149" s="62">
        <f t="shared" si="119"/>
        <v>293.33333333334014</v>
      </c>
      <c r="CD149" s="62">
        <f ca="1">AVERAGE(OFFSET($CC$3,0,0,'Données projet'!$E$12+1,1))-AVERAGE(OFFSET($H$3,0,0,'Données projet'!$E$12+1,1))</f>
        <v>237.4598967324826</v>
      </c>
      <c r="CE149" s="62">
        <f t="shared" si="148"/>
        <v>218.74305466112406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205.33000726169792</v>
      </c>
      <c r="T150" s="62">
        <f t="shared" si="142"/>
        <v>307.23455947678775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8.8666666666666671</v>
      </c>
      <c r="AI150" s="14">
        <f>IF('Données projet'!$A$62&gt;35,AI149+AH150-AQ149,IF(A150&lt;'Données projet'!$A$62,$AF$205^A150,IF(A150='Données projet'!$A$62,'Données projet'!$B$62,AI149+AH150-AQ149)))</f>
        <v>922.4</v>
      </c>
      <c r="AJ150" s="14">
        <f>AI150*VLOOKUP('Données projet'!$B$10,Paramètres!$A$1:$I$89,3,0)*VLOOKUP('Données projet'!$B$10,Paramètres!$A$1:$I$89,5,0)</f>
        <v>455.66560000000004</v>
      </c>
      <c r="AK150" s="14">
        <f t="shared" si="143"/>
        <v>102.97502009299807</v>
      </c>
      <c r="AL150" s="22">
        <f t="shared" si="112"/>
        <v>972.96574666197159</v>
      </c>
      <c r="AM150" s="62">
        <f t="shared" si="113"/>
        <v>1266.299079995305</v>
      </c>
      <c r="AN150" s="62">
        <f ca="1">AVERAGE(OFFSET($AM$3,0,0,'Données projet'!$E$10+1,1))-AVERAGE(OFFSET($H$3,0,0,'Données projet'!$E$10+1,1))</f>
        <v>491.47342911047105</v>
      </c>
      <c r="AO150" s="62">
        <f t="shared" si="144"/>
        <v>58.734453933891757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2.4666666666666668</v>
      </c>
      <c r="BD150" s="13">
        <f>IF('Données projet'!$A$88&gt;35,BD149+BC150-BL149,IF(A150&lt;'Données projet'!$A$88,$BA$205^A150,IF(A150='Données projet'!$A$88,'Données projet'!$B$88,BD149+BC150-BL149)))</f>
        <v>298.59999999999917</v>
      </c>
      <c r="BE150" s="14">
        <f>BD150*VLOOKUP('Données projet'!$B$11,Paramètres!$A$1:$I$89,3,0)*VLOOKUP('Données projet'!$B$11,Paramètres!$A$1:$I$89,5,0)</f>
        <v>251.54063999999934</v>
      </c>
      <c r="BF150" s="14">
        <f t="shared" si="145"/>
        <v>60.915727667171907</v>
      </c>
      <c r="BG150" s="22">
        <f t="shared" si="115"/>
        <v>544.19484035365667</v>
      </c>
      <c r="BH150" s="62">
        <f t="shared" si="116"/>
        <v>837.52817368698993</v>
      </c>
      <c r="BI150" s="62">
        <f ca="1">AVERAGE(OFFSET($BH$3,0,0,'Données projet'!$E$11+1,1))-AVERAGE(OFFSET($H$3,0,0,'Données projet'!$E$11+1,1))</f>
        <v>278.21934231434597</v>
      </c>
      <c r="BJ150" s="62">
        <f t="shared" si="146"/>
        <v>143.57726487417773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3.4106051316484809E-13</v>
      </c>
      <c r="BZ150" s="14">
        <f>BY150*VLOOKUP('Données projet'!$B$12,Paramètres!$A$1:$I$89,3,0)*VLOOKUP('Données projet'!$B$12,Paramètres!$A$1:$I$89,5,0)</f>
        <v>2.7134774427395314E-13</v>
      </c>
      <c r="CA150" s="14">
        <f t="shared" si="147"/>
        <v>3.6292411711343559E-12</v>
      </c>
      <c r="CB150" s="22">
        <f t="shared" si="118"/>
        <v>6.7935256943361388E-12</v>
      </c>
      <c r="CC150" s="62">
        <f t="shared" si="119"/>
        <v>293.33333333334014</v>
      </c>
      <c r="CD150" s="62">
        <f ca="1">AVERAGE(OFFSET($CC$3,0,0,'Données projet'!$E$12+1,1))-AVERAGE(OFFSET($H$3,0,0,'Données projet'!$E$12+1,1))</f>
        <v>237.4598967324826</v>
      </c>
      <c r="CE150" s="62">
        <f t="shared" si="148"/>
        <v>218.74305466112406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205.33000726169792</v>
      </c>
      <c r="T151" s="62">
        <f t="shared" si="142"/>
        <v>307.23455947678775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8.8666666666666671</v>
      </c>
      <c r="AI151" s="14">
        <f>IF('Données projet'!$A$62&gt;35,AI150+AH151-AQ150,IF(A151&lt;'Données projet'!$A$62,$AF$205^A151,IF(A151='Données projet'!$A$62,'Données projet'!$B$62,AI150+AH151-AQ150)))</f>
        <v>931.26666666666665</v>
      </c>
      <c r="AJ151" s="14">
        <f>AI151*VLOOKUP('Données projet'!$B$10,Paramètres!$A$1:$I$89,3,0)*VLOOKUP('Données projet'!$B$10,Paramètres!$A$1:$I$89,5,0)</f>
        <v>460.04573333333332</v>
      </c>
      <c r="AK151" s="14">
        <f t="shared" si="143"/>
        <v>103.84917119584213</v>
      </c>
      <c r="AL151" s="22">
        <f t="shared" si="112"/>
        <v>982.11695872164694</v>
      </c>
      <c r="AM151" s="62">
        <f t="shared" si="113"/>
        <v>1275.4502920549803</v>
      </c>
      <c r="AN151" s="62">
        <f ca="1">AVERAGE(OFFSET($AM$3,0,0,'Données projet'!$E$10+1,1))-AVERAGE(OFFSET($H$3,0,0,'Données projet'!$E$10+1,1))</f>
        <v>491.47342911047105</v>
      </c>
      <c r="AO151" s="62">
        <f t="shared" si="144"/>
        <v>58.734453933891757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2.4666666666666668</v>
      </c>
      <c r="BD151" s="13">
        <f>IF('Données projet'!$A$88&gt;35,BD150+BC151-BL150,IF(A151&lt;'Données projet'!$A$88,$BA$205^A151,IF(A151='Données projet'!$A$88,'Données projet'!$B$88,BD150+BC151-BL150)))</f>
        <v>301.06666666666581</v>
      </c>
      <c r="BE151" s="14">
        <f>BD151*VLOOKUP('Données projet'!$B$11,Paramètres!$A$1:$I$89,3,0)*VLOOKUP('Données projet'!$B$11,Paramètres!$A$1:$I$89,5,0)</f>
        <v>253.61855999999929</v>
      </c>
      <c r="BF151" s="14">
        <f t="shared" si="145"/>
        <v>61.360151761077326</v>
      </c>
      <c r="BG151" s="22">
        <f t="shared" si="115"/>
        <v>548.58792298387516</v>
      </c>
      <c r="BH151" s="62">
        <f t="shared" si="116"/>
        <v>841.92125631720842</v>
      </c>
      <c r="BI151" s="62">
        <f ca="1">AVERAGE(OFFSET($BH$3,0,0,'Données projet'!$E$11+1,1))-AVERAGE(OFFSET($H$3,0,0,'Données projet'!$E$11+1,1))</f>
        <v>278.21934231434597</v>
      </c>
      <c r="BJ151" s="62">
        <f t="shared" si="146"/>
        <v>143.57726487417773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3.4106051316484809E-13</v>
      </c>
      <c r="BZ151" s="14">
        <f>BY151*VLOOKUP('Données projet'!$B$12,Paramètres!$A$1:$I$89,3,0)*VLOOKUP('Données projet'!$B$12,Paramètres!$A$1:$I$89,5,0)</f>
        <v>2.7134774427395314E-13</v>
      </c>
      <c r="CA151" s="14">
        <f t="shared" si="147"/>
        <v>3.6292411711343559E-12</v>
      </c>
      <c r="CB151" s="22">
        <f t="shared" si="118"/>
        <v>6.7935256943361388E-12</v>
      </c>
      <c r="CC151" s="62">
        <f t="shared" si="119"/>
        <v>293.33333333334014</v>
      </c>
      <c r="CD151" s="62">
        <f ca="1">AVERAGE(OFFSET($CC$3,0,0,'Données projet'!$E$12+1,1))-AVERAGE(OFFSET($H$3,0,0,'Données projet'!$E$12+1,1))</f>
        <v>237.4598967324826</v>
      </c>
      <c r="CE151" s="62">
        <f t="shared" si="148"/>
        <v>218.74305466112406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205.33000726169792</v>
      </c>
      <c r="T152" s="62">
        <f t="shared" si="142"/>
        <v>307.23455947678775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8.8666666666666671</v>
      </c>
      <c r="AI152" s="14">
        <f>IF('Données projet'!$A$62&gt;35,AI151+AH152-AQ151,IF(A152&lt;'Données projet'!$A$62,$AF$205^A152,IF(A152='Données projet'!$A$62,'Données projet'!$B$62,AI151+AH152-AQ151)))</f>
        <v>940.13333333333333</v>
      </c>
      <c r="AJ152" s="14">
        <f>AI152*VLOOKUP('Données projet'!$B$10,Paramètres!$A$1:$I$89,3,0)*VLOOKUP('Données projet'!$B$10,Paramètres!$A$1:$I$89,5,0)</f>
        <v>464.42586666666671</v>
      </c>
      <c r="AK152" s="14">
        <f t="shared" si="143"/>
        <v>104.7223540383953</v>
      </c>
      <c r="AL152" s="22">
        <f t="shared" si="112"/>
        <v>991.26648439464964</v>
      </c>
      <c r="AM152" s="62">
        <f t="shared" si="113"/>
        <v>1284.599817727983</v>
      </c>
      <c r="AN152" s="62">
        <f ca="1">AVERAGE(OFFSET($AM$3,0,0,'Données projet'!$E$10+1,1))-AVERAGE(OFFSET($H$3,0,0,'Données projet'!$E$10+1,1))</f>
        <v>491.47342911047105</v>
      </c>
      <c r="AO152" s="62">
        <f t="shared" si="144"/>
        <v>58.734453933891757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2.4666666666666668</v>
      </c>
      <c r="BD152" s="13">
        <f>IF('Données projet'!$A$88&gt;35,BD151+BC152-BL151,IF(A152&lt;'Données projet'!$A$88,$BA$205^A152,IF(A152='Données projet'!$A$88,'Données projet'!$B$88,BD151+BC152-BL151)))</f>
        <v>303.53333333333245</v>
      </c>
      <c r="BE152" s="14">
        <f>BD152*VLOOKUP('Données projet'!$B$11,Paramètres!$A$1:$I$89,3,0)*VLOOKUP('Données projet'!$B$11,Paramètres!$A$1:$I$89,5,0)</f>
        <v>255.69647999999927</v>
      </c>
      <c r="BF152" s="14">
        <f t="shared" si="145"/>
        <v>61.804152215494874</v>
      </c>
      <c r="BG152" s="22">
        <f t="shared" si="115"/>
        <v>552.98026777531891</v>
      </c>
      <c r="BH152" s="62">
        <f t="shared" si="116"/>
        <v>846.31360110865216</v>
      </c>
      <c r="BI152" s="62">
        <f ca="1">AVERAGE(OFFSET($BH$3,0,0,'Données projet'!$E$11+1,1))-AVERAGE(OFFSET($H$3,0,0,'Données projet'!$E$11+1,1))</f>
        <v>278.21934231434597</v>
      </c>
      <c r="BJ152" s="62">
        <f t="shared" si="146"/>
        <v>143.57726487417773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3.4106051316484809E-13</v>
      </c>
      <c r="BZ152" s="14">
        <f>BY152*VLOOKUP('Données projet'!$B$12,Paramètres!$A$1:$I$89,3,0)*VLOOKUP('Données projet'!$B$12,Paramètres!$A$1:$I$89,5,0)</f>
        <v>2.7134774427395314E-13</v>
      </c>
      <c r="CA152" s="14">
        <f t="shared" si="147"/>
        <v>3.6292411711343559E-12</v>
      </c>
      <c r="CB152" s="22">
        <f t="shared" si="118"/>
        <v>6.7935256943361388E-12</v>
      </c>
      <c r="CC152" s="62">
        <f t="shared" si="119"/>
        <v>293.33333333334014</v>
      </c>
      <c r="CD152" s="62">
        <f ca="1">AVERAGE(OFFSET($CC$3,0,0,'Données projet'!$E$12+1,1))-AVERAGE(OFFSET($H$3,0,0,'Données projet'!$E$12+1,1))</f>
        <v>237.4598967324826</v>
      </c>
      <c r="CE152" s="62">
        <f t="shared" si="148"/>
        <v>218.74305466112406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205.33000726169792</v>
      </c>
      <c r="T153" s="62">
        <f t="shared" si="142"/>
        <v>307.23455947678775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949</v>
      </c>
      <c r="AG153" s="13">
        <f>VLOOKUP(A153,'Données projet'!$A$61:$I$81,9,0)</f>
        <v>8.8666666666666671</v>
      </c>
      <c r="AH153" s="13">
        <f t="array" ref="AH153">INDEX(AG:AG,MIN(IF(ISNUMBER(AG153:AG349),ROW(AG153:AG349),"")))</f>
        <v>8.8666666666666671</v>
      </c>
      <c r="AI153" s="14">
        <f>IF('Données projet'!$A$62&gt;35,AI152+AH153-AQ152,IF(A153&lt;'Données projet'!$A$62,$AF$205^A153,IF(A153='Données projet'!$A$62,'Données projet'!$B$62,AI152+AH153-AQ152)))</f>
        <v>949</v>
      </c>
      <c r="AJ153" s="14">
        <f>AI153*VLOOKUP('Données projet'!$B$10,Paramètres!$A$1:$I$89,3,0)*VLOOKUP('Données projet'!$B$10,Paramètres!$A$1:$I$89,5,0)</f>
        <v>468.80600000000004</v>
      </c>
      <c r="AK153" s="14">
        <f t="shared" si="143"/>
        <v>105.59457881026492</v>
      </c>
      <c r="AL153" s="22">
        <f t="shared" si="112"/>
        <v>1000.414341427878</v>
      </c>
      <c r="AM153" s="62">
        <f t="shared" si="113"/>
        <v>1293.7476747612113</v>
      </c>
      <c r="AN153" s="62">
        <f ca="1">AVERAGE(OFFSET($AM$3,0,0,'Données projet'!$E$10+1,1))-AVERAGE(OFFSET($H$3,0,0,'Données projet'!$E$10+1,1))</f>
        <v>491.47342911047105</v>
      </c>
      <c r="AO153" s="62">
        <f t="shared" si="144"/>
        <v>58.734453933891757</v>
      </c>
      <c r="AP153" s="16">
        <f>IF(ISNA(VLOOKUP(A153,'Données projet'!$A$61:$I$81,3,0)),0,VLOOKUP(A153,'Données projet'!$A$61:$I$81,3,0))</f>
        <v>7</v>
      </c>
      <c r="AQ153" s="16">
        <f>IF(ISNA(VLOOKUP(A153,'Données projet'!$A$61:$I$81,4,0)),0,VLOOKUP(A153,'Données projet'!$A$61:$I$81,4,0))</f>
        <v>121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306</v>
      </c>
      <c r="BB153" s="13">
        <f>VLOOKUP(A153,'Données projet'!$A$87:$I$107,9,0)</f>
        <v>2.4666666666666668</v>
      </c>
      <c r="BC153" s="13">
        <f t="array" ref="BC153">INDEX(BB:BB,MIN(IF(ISNUMBER(BB153:BB349),ROW(BB153:BB349),"")))</f>
        <v>2.4666666666666668</v>
      </c>
      <c r="BD153" s="13">
        <f>IF('Données projet'!$A$88&gt;35,BD152+BC153-BL152,IF(A153&lt;'Données projet'!$A$88,$BA$205^A153,IF(A153='Données projet'!$A$88,'Données projet'!$B$88,BD152+BC153-BL152)))</f>
        <v>305.99999999999909</v>
      </c>
      <c r="BE153" s="14">
        <f>BD153*VLOOKUP('Données projet'!$B$11,Paramètres!$A$1:$I$89,3,0)*VLOOKUP('Données projet'!$B$11,Paramètres!$A$1:$I$89,5,0)</f>
        <v>257.77439999999928</v>
      </c>
      <c r="BF153" s="14">
        <f t="shared" si="145"/>
        <v>62.247732872134186</v>
      </c>
      <c r="BG153" s="22">
        <f t="shared" si="115"/>
        <v>557.3718814189657</v>
      </c>
      <c r="BH153" s="62">
        <f t="shared" si="116"/>
        <v>850.70521475229907</v>
      </c>
      <c r="BI153" s="62">
        <f ca="1">AVERAGE(OFFSET($BH$3,0,0,'Données projet'!$E$11+1,1))-AVERAGE(OFFSET($H$3,0,0,'Données projet'!$E$11+1,1))</f>
        <v>278.21934231434597</v>
      </c>
      <c r="BJ153" s="62">
        <f t="shared" si="146"/>
        <v>143.57726487417773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306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3.4106051316484809E-13</v>
      </c>
      <c r="BZ153" s="14">
        <f>BY153*VLOOKUP('Données projet'!$B$12,Paramètres!$A$1:$I$89,3,0)*VLOOKUP('Données projet'!$B$12,Paramètres!$A$1:$I$89,5,0)</f>
        <v>2.7134774427395314E-13</v>
      </c>
      <c r="CA153" s="14">
        <f t="shared" si="147"/>
        <v>3.6292411711343559E-12</v>
      </c>
      <c r="CB153" s="22">
        <f t="shared" si="118"/>
        <v>6.7935256943361388E-12</v>
      </c>
      <c r="CC153" s="62">
        <f t="shared" si="119"/>
        <v>293.33333333334014</v>
      </c>
      <c r="CD153" s="62">
        <f ca="1">AVERAGE(OFFSET($CC$3,0,0,'Données projet'!$E$12+1,1))-AVERAGE(OFFSET($H$3,0,0,'Données projet'!$E$12+1,1))</f>
        <v>237.4598967324826</v>
      </c>
      <c r="CE153" s="62">
        <f t="shared" si="148"/>
        <v>218.74305466112406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205.33000726169792</v>
      </c>
      <c r="T154" s="62">
        <f t="shared" si="142"/>
        <v>307.23455947678775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7.8666666666666663</v>
      </c>
      <c r="AI154" s="14">
        <f>IF('Données projet'!$A$62&gt;35,AI153+AH154-AQ153,IF(A154&lt;'Données projet'!$A$62,$AF$205^A154,IF(A154='Données projet'!$A$62,'Données projet'!$B$62,AI153+AH154-AQ153)))</f>
        <v>835.86666666666667</v>
      </c>
      <c r="AJ154" s="14">
        <f>AI154*VLOOKUP('Données projet'!$B$10,Paramètres!$A$1:$I$89,3,0)*VLOOKUP('Données projet'!$B$10,Paramètres!$A$1:$I$89,5,0)</f>
        <v>412.9181333333334</v>
      </c>
      <c r="AK154" s="14">
        <f t="shared" ref="AK154:AK203" si="164">EXP(-1.0587+0.8836*LN(AJ154)+0.284)</f>
        <v>94.390754120997798</v>
      </c>
      <c r="AL154" s="22">
        <f t="shared" ref="AL154:AL203" si="165">(AJ154+AK154)*0.475*44/12</f>
        <v>883.56297898296009</v>
      </c>
      <c r="AM154" s="62">
        <f t="shared" si="113"/>
        <v>1176.8963123162935</v>
      </c>
      <c r="AN154" s="62">
        <f ca="1">AVERAGE(OFFSET($AM$3,0,0,'Données projet'!$E$10+1,1))-AVERAGE(OFFSET($H$3,0,0,'Données projet'!$E$10+1,1))</f>
        <v>491.47342911047105</v>
      </c>
      <c r="AO154" s="62">
        <f t="shared" si="144"/>
        <v>58.734453933891757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-9.0949470177292824E-13</v>
      </c>
      <c r="BE154" s="14">
        <f>BD154*VLOOKUP('Données projet'!$B$11,Paramètres!$A$1:$I$89,3,0)*VLOOKUP('Données projet'!$B$11,Paramètres!$A$1:$I$89,5,0)</f>
        <v>-7.6615833677351478E-13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278.21934231434597</v>
      </c>
      <c r="BJ154" s="62">
        <f t="shared" si="146"/>
        <v>143.57726487417773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3.4106051316484809E-13</v>
      </c>
      <c r="BZ154" s="14">
        <f>BY154*VLOOKUP('Données projet'!$B$12,Paramètres!$A$1:$I$89,3,0)*VLOOKUP('Données projet'!$B$12,Paramètres!$A$1:$I$89,5,0)</f>
        <v>2.7134774427395314E-13</v>
      </c>
      <c r="CA154" s="14">
        <f t="shared" ref="CA154:CA203" si="170">EXP(-1.0587+0.8836*LN(BZ154)+0.284)</f>
        <v>3.6292411711343559E-12</v>
      </c>
      <c r="CB154" s="22">
        <f t="shared" ref="CB154:CB203" si="171">(BZ154+CA154)*0.475*44/12</f>
        <v>6.7935256943361388E-12</v>
      </c>
      <c r="CC154" s="62">
        <f t="shared" si="119"/>
        <v>293.33333333334014</v>
      </c>
      <c r="CD154" s="62">
        <f ca="1">AVERAGE(OFFSET($CC$3,0,0,'Données projet'!$E$12+1,1))-AVERAGE(OFFSET($H$3,0,0,'Données projet'!$E$12+1,1))</f>
        <v>237.4598967324826</v>
      </c>
      <c r="CE154" s="62">
        <f t="shared" si="148"/>
        <v>218.74305466112406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205.33000726169792</v>
      </c>
      <c r="T155" s="62">
        <f t="shared" si="142"/>
        <v>307.23455947678775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7.8666666666666663</v>
      </c>
      <c r="AI155" s="14">
        <f>IF('Données projet'!$A$62&gt;35,AI154+AH155-AQ154,IF(A155&lt;'Données projet'!$A$62,$AF$205^A155,IF(A155='Données projet'!$A$62,'Données projet'!$B$62,AI154+AH155-AQ154)))</f>
        <v>843.73333333333335</v>
      </c>
      <c r="AJ155" s="14">
        <f>AI155*VLOOKUP('Données projet'!$B$10,Paramètres!$A$1:$I$89,3,0)*VLOOKUP('Données projet'!$B$10,Paramètres!$A$1:$I$89,5,0)</f>
        <v>416.80426666666671</v>
      </c>
      <c r="AK155" s="14">
        <f t="shared" si="164"/>
        <v>95.17527008863857</v>
      </c>
      <c r="AL155" s="22">
        <f t="shared" si="165"/>
        <v>891.69769318215674</v>
      </c>
      <c r="AM155" s="62">
        <f t="shared" si="113"/>
        <v>1185.0310265154901</v>
      </c>
      <c r="AN155" s="62">
        <f ca="1">AVERAGE(OFFSET($AM$3,0,0,'Données projet'!$E$10+1,1))-AVERAGE(OFFSET($H$3,0,0,'Données projet'!$E$10+1,1))</f>
        <v>491.47342911047105</v>
      </c>
      <c r="AO155" s="62">
        <f t="shared" si="144"/>
        <v>58.734453933891757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-9.0949470177292824E-13</v>
      </c>
      <c r="BE155" s="14">
        <f>BD155*VLOOKUP('Données projet'!$B$11,Paramètres!$A$1:$I$89,3,0)*VLOOKUP('Données projet'!$B$11,Paramètres!$A$1:$I$89,5,0)</f>
        <v>-7.6615833677351478E-13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278.21934231434597</v>
      </c>
      <c r="BJ155" s="62">
        <f t="shared" si="146"/>
        <v>143.57726487417773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3.4106051316484809E-13</v>
      </c>
      <c r="BZ155" s="14">
        <f>BY155*VLOOKUP('Données projet'!$B$12,Paramètres!$A$1:$I$89,3,0)*VLOOKUP('Données projet'!$B$12,Paramètres!$A$1:$I$89,5,0)</f>
        <v>2.7134774427395314E-13</v>
      </c>
      <c r="CA155" s="14">
        <f t="shared" si="170"/>
        <v>3.6292411711343559E-12</v>
      </c>
      <c r="CB155" s="22">
        <f t="shared" si="171"/>
        <v>6.7935256943361388E-12</v>
      </c>
      <c r="CC155" s="62">
        <f t="shared" si="119"/>
        <v>293.33333333334014</v>
      </c>
      <c r="CD155" s="62">
        <f ca="1">AVERAGE(OFFSET($CC$3,0,0,'Données projet'!$E$12+1,1))-AVERAGE(OFFSET($H$3,0,0,'Données projet'!$E$12+1,1))</f>
        <v>237.4598967324826</v>
      </c>
      <c r="CE155" s="62">
        <f t="shared" si="148"/>
        <v>218.74305466112406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205.33000726169792</v>
      </c>
      <c r="T156" s="62">
        <f t="shared" si="142"/>
        <v>307.23455947678775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7.8666666666666663</v>
      </c>
      <c r="AI156" s="14">
        <f>IF('Données projet'!$A$62&gt;35,AI155+AH156-AQ155,IF(A156&lt;'Données projet'!$A$62,$AF$205^A156,IF(A156='Données projet'!$A$62,'Données projet'!$B$62,AI155+AH156-AQ155)))</f>
        <v>851.6</v>
      </c>
      <c r="AJ156" s="14">
        <f>AI156*VLOOKUP('Données projet'!$B$10,Paramètres!$A$1:$I$89,3,0)*VLOOKUP('Données projet'!$B$10,Paramètres!$A$1:$I$89,5,0)</f>
        <v>420.69040000000001</v>
      </c>
      <c r="AK156" s="14">
        <f t="shared" si="164"/>
        <v>95.958935092017313</v>
      </c>
      <c r="AL156" s="22">
        <f t="shared" si="165"/>
        <v>899.83092528526333</v>
      </c>
      <c r="AM156" s="62">
        <f t="shared" si="113"/>
        <v>1193.1642586185967</v>
      </c>
      <c r="AN156" s="62">
        <f ca="1">AVERAGE(OFFSET($AM$3,0,0,'Données projet'!$E$10+1,1))-AVERAGE(OFFSET($H$3,0,0,'Données projet'!$E$10+1,1))</f>
        <v>491.47342911047105</v>
      </c>
      <c r="AO156" s="62">
        <f t="shared" si="144"/>
        <v>58.734453933891757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-9.0949470177292824E-13</v>
      </c>
      <c r="BE156" s="14">
        <f>BD156*VLOOKUP('Données projet'!$B$11,Paramètres!$A$1:$I$89,3,0)*VLOOKUP('Données projet'!$B$11,Paramètres!$A$1:$I$89,5,0)</f>
        <v>-7.6615833677351478E-13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278.21934231434597</v>
      </c>
      <c r="BJ156" s="62">
        <f t="shared" si="146"/>
        <v>143.57726487417773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3.4106051316484809E-13</v>
      </c>
      <c r="BZ156" s="14">
        <f>BY156*VLOOKUP('Données projet'!$B$12,Paramètres!$A$1:$I$89,3,0)*VLOOKUP('Données projet'!$B$12,Paramètres!$A$1:$I$89,5,0)</f>
        <v>2.7134774427395314E-13</v>
      </c>
      <c r="CA156" s="14">
        <f t="shared" si="170"/>
        <v>3.6292411711343559E-12</v>
      </c>
      <c r="CB156" s="22">
        <f t="shared" si="171"/>
        <v>6.7935256943361388E-12</v>
      </c>
      <c r="CC156" s="62">
        <f t="shared" si="119"/>
        <v>293.33333333334014</v>
      </c>
      <c r="CD156" s="62">
        <f ca="1">AVERAGE(OFFSET($CC$3,0,0,'Données projet'!$E$12+1,1))-AVERAGE(OFFSET($H$3,0,0,'Données projet'!$E$12+1,1))</f>
        <v>237.4598967324826</v>
      </c>
      <c r="CE156" s="62">
        <f t="shared" si="148"/>
        <v>218.74305466112406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205.33000726169792</v>
      </c>
      <c r="T157" s="62">
        <f t="shared" si="142"/>
        <v>307.23455947678775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7.8666666666666663</v>
      </c>
      <c r="AI157" s="14">
        <f>IF('Données projet'!$A$62&gt;35,AI156+AH157-AQ156,IF(A157&lt;'Données projet'!$A$62,$AF$205^A157,IF(A157='Données projet'!$A$62,'Données projet'!$B$62,AI156+AH157-AQ156)))</f>
        <v>859.4666666666667</v>
      </c>
      <c r="AJ157" s="14">
        <f>AI157*VLOOKUP('Données projet'!$B$10,Paramètres!$A$1:$I$89,3,0)*VLOOKUP('Données projet'!$B$10,Paramètres!$A$1:$I$89,5,0)</f>
        <v>424.57653333333332</v>
      </c>
      <c r="AK157" s="14">
        <f t="shared" si="164"/>
        <v>96.741757902458488</v>
      </c>
      <c r="AL157" s="22">
        <f t="shared" si="165"/>
        <v>907.96269056900394</v>
      </c>
      <c r="AM157" s="62">
        <f t="shared" si="113"/>
        <v>1201.2960239023373</v>
      </c>
      <c r="AN157" s="62">
        <f ca="1">AVERAGE(OFFSET($AM$3,0,0,'Données projet'!$E$10+1,1))-AVERAGE(OFFSET($H$3,0,0,'Données projet'!$E$10+1,1))</f>
        <v>491.47342911047105</v>
      </c>
      <c r="AO157" s="62">
        <f t="shared" si="144"/>
        <v>58.734453933891757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-9.0949470177292824E-13</v>
      </c>
      <c r="BE157" s="14">
        <f>BD157*VLOOKUP('Données projet'!$B$11,Paramètres!$A$1:$I$89,3,0)*VLOOKUP('Données projet'!$B$11,Paramètres!$A$1:$I$89,5,0)</f>
        <v>-7.6615833677351478E-13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278.21934231434597</v>
      </c>
      <c r="BJ157" s="62">
        <f t="shared" si="146"/>
        <v>143.57726487417773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3.4106051316484809E-13</v>
      </c>
      <c r="BZ157" s="14">
        <f>BY157*VLOOKUP('Données projet'!$B$12,Paramètres!$A$1:$I$89,3,0)*VLOOKUP('Données projet'!$B$12,Paramètres!$A$1:$I$89,5,0)</f>
        <v>2.7134774427395314E-13</v>
      </c>
      <c r="CA157" s="14">
        <f t="shared" si="170"/>
        <v>3.6292411711343559E-12</v>
      </c>
      <c r="CB157" s="22">
        <f t="shared" si="171"/>
        <v>6.7935256943361388E-12</v>
      </c>
      <c r="CC157" s="62">
        <f t="shared" si="119"/>
        <v>293.33333333334014</v>
      </c>
      <c r="CD157" s="62">
        <f ca="1">AVERAGE(OFFSET($CC$3,0,0,'Données projet'!$E$12+1,1))-AVERAGE(OFFSET($H$3,0,0,'Données projet'!$E$12+1,1))</f>
        <v>237.4598967324826</v>
      </c>
      <c r="CE157" s="62">
        <f t="shared" si="148"/>
        <v>218.74305466112406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205.33000726169792</v>
      </c>
      <c r="T158" s="62">
        <f t="shared" si="142"/>
        <v>307.23455947678775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7.8666666666666663</v>
      </c>
      <c r="AI158" s="14">
        <f>IF('Données projet'!$A$62&gt;35,AI157+AH158-AQ157,IF(A158&lt;'Données projet'!$A$62,$AF$205^A158,IF(A158='Données projet'!$A$62,'Données projet'!$B$62,AI157+AH158-AQ157)))</f>
        <v>867.33333333333337</v>
      </c>
      <c r="AJ158" s="14">
        <f>AI158*VLOOKUP('Données projet'!$B$10,Paramètres!$A$1:$I$89,3,0)*VLOOKUP('Données projet'!$B$10,Paramètres!$A$1:$I$89,5,0)</f>
        <v>428.46266666666673</v>
      </c>
      <c r="AK158" s="14">
        <f t="shared" si="164"/>
        <v>97.523747121457973</v>
      </c>
      <c r="AL158" s="22">
        <f t="shared" si="165"/>
        <v>916.09300401431722</v>
      </c>
      <c r="AM158" s="62">
        <f t="shared" si="113"/>
        <v>1209.4263373476506</v>
      </c>
      <c r="AN158" s="62">
        <f ca="1">AVERAGE(OFFSET($AM$3,0,0,'Données projet'!$E$10+1,1))-AVERAGE(OFFSET($H$3,0,0,'Données projet'!$E$10+1,1))</f>
        <v>491.47342911047105</v>
      </c>
      <c r="AO158" s="62">
        <f t="shared" si="144"/>
        <v>58.734453933891757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-9.0949470177292824E-13</v>
      </c>
      <c r="BE158" s="14">
        <f>BD158*VLOOKUP('Données projet'!$B$11,Paramètres!$A$1:$I$89,3,0)*VLOOKUP('Données projet'!$B$11,Paramètres!$A$1:$I$89,5,0)</f>
        <v>-7.6615833677351478E-13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278.21934231434597</v>
      </c>
      <c r="BJ158" s="62">
        <f t="shared" si="146"/>
        <v>143.57726487417773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3.4106051316484809E-13</v>
      </c>
      <c r="BZ158" s="14">
        <f>BY158*VLOOKUP('Données projet'!$B$12,Paramètres!$A$1:$I$89,3,0)*VLOOKUP('Données projet'!$B$12,Paramètres!$A$1:$I$89,5,0)</f>
        <v>2.7134774427395314E-13</v>
      </c>
      <c r="CA158" s="14">
        <f t="shared" si="170"/>
        <v>3.6292411711343559E-12</v>
      </c>
      <c r="CB158" s="22">
        <f t="shared" si="171"/>
        <v>6.7935256943361388E-12</v>
      </c>
      <c r="CC158" s="62">
        <f t="shared" si="119"/>
        <v>293.33333333334014</v>
      </c>
      <c r="CD158" s="62">
        <f ca="1">AVERAGE(OFFSET($CC$3,0,0,'Données projet'!$E$12+1,1))-AVERAGE(OFFSET($H$3,0,0,'Données projet'!$E$12+1,1))</f>
        <v>237.4598967324826</v>
      </c>
      <c r="CE158" s="62">
        <f t="shared" si="148"/>
        <v>218.74305466112406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205.33000726169792</v>
      </c>
      <c r="T159" s="62">
        <f t="shared" si="142"/>
        <v>307.23455947678775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7.8666666666666663</v>
      </c>
      <c r="AI159" s="14">
        <f>IF('Données projet'!$A$62&gt;35,AI158+AH159-AQ158,IF(A159&lt;'Données projet'!$A$62,$AF$205^A159,IF(A159='Données projet'!$A$62,'Données projet'!$B$62,AI158+AH159-AQ158)))</f>
        <v>875.2</v>
      </c>
      <c r="AJ159" s="14">
        <f>AI159*VLOOKUP('Données projet'!$B$10,Paramètres!$A$1:$I$89,3,0)*VLOOKUP('Données projet'!$B$10,Paramètres!$A$1:$I$89,5,0)</f>
        <v>432.34880000000004</v>
      </c>
      <c r="AK159" s="14">
        <f t="shared" si="164"/>
        <v>98.304911185480705</v>
      </c>
      <c r="AL159" s="22">
        <f t="shared" si="165"/>
        <v>924.22188031471217</v>
      </c>
      <c r="AM159" s="62">
        <f t="shared" si="113"/>
        <v>1217.5552136480455</v>
      </c>
      <c r="AN159" s="62">
        <f ca="1">AVERAGE(OFFSET($AM$3,0,0,'Données projet'!$E$10+1,1))-AVERAGE(OFFSET($H$3,0,0,'Données projet'!$E$10+1,1))</f>
        <v>491.47342911047105</v>
      </c>
      <c r="AO159" s="62">
        <f t="shared" si="144"/>
        <v>58.734453933891757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-9.0949470177292824E-13</v>
      </c>
      <c r="BE159" s="14">
        <f>BD159*VLOOKUP('Données projet'!$B$11,Paramètres!$A$1:$I$89,3,0)*VLOOKUP('Données projet'!$B$11,Paramètres!$A$1:$I$89,5,0)</f>
        <v>-7.6615833677351478E-13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278.21934231434597</v>
      </c>
      <c r="BJ159" s="62">
        <f t="shared" si="146"/>
        <v>143.57726487417773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3.4106051316484809E-13</v>
      </c>
      <c r="BZ159" s="14">
        <f>BY159*VLOOKUP('Données projet'!$B$12,Paramètres!$A$1:$I$89,3,0)*VLOOKUP('Données projet'!$B$12,Paramètres!$A$1:$I$89,5,0)</f>
        <v>2.7134774427395314E-13</v>
      </c>
      <c r="CA159" s="14">
        <f t="shared" si="170"/>
        <v>3.6292411711343559E-12</v>
      </c>
      <c r="CB159" s="22">
        <f t="shared" si="171"/>
        <v>6.7935256943361388E-12</v>
      </c>
      <c r="CC159" s="62">
        <f t="shared" si="119"/>
        <v>293.33333333334014</v>
      </c>
      <c r="CD159" s="62">
        <f ca="1">AVERAGE(OFFSET($CC$3,0,0,'Données projet'!$E$12+1,1))-AVERAGE(OFFSET($H$3,0,0,'Données projet'!$E$12+1,1))</f>
        <v>237.4598967324826</v>
      </c>
      <c r="CE159" s="62">
        <f t="shared" si="148"/>
        <v>218.74305466112406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205.33000726169792</v>
      </c>
      <c r="T160" s="62">
        <f t="shared" si="142"/>
        <v>307.23455947678775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7.8666666666666663</v>
      </c>
      <c r="AI160" s="14">
        <f>IF('Données projet'!$A$62&gt;35,AI159+AH160-AQ159,IF(A160&lt;'Données projet'!$A$62,$AF$205^A160,IF(A160='Données projet'!$A$62,'Données projet'!$B$62,AI159+AH160-AQ159)))</f>
        <v>883.06666666666672</v>
      </c>
      <c r="AJ160" s="14">
        <f>AI160*VLOOKUP('Données projet'!$B$10,Paramètres!$A$1:$I$89,3,0)*VLOOKUP('Données projet'!$B$10,Paramètres!$A$1:$I$89,5,0)</f>
        <v>436.23493333333334</v>
      </c>
      <c r="AK160" s="14">
        <f t="shared" si="164"/>
        <v>99.085258370581769</v>
      </c>
      <c r="AL160" s="22">
        <f t="shared" si="165"/>
        <v>932.34933388431875</v>
      </c>
      <c r="AM160" s="62">
        <f t="shared" si="113"/>
        <v>1225.6826672176521</v>
      </c>
      <c r="AN160" s="62">
        <f ca="1">AVERAGE(OFFSET($AM$3,0,0,'Données projet'!$E$10+1,1))-AVERAGE(OFFSET($H$3,0,0,'Données projet'!$E$10+1,1))</f>
        <v>491.47342911047105</v>
      </c>
      <c r="AO160" s="62">
        <f t="shared" si="144"/>
        <v>58.734453933891757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-9.0949470177292824E-13</v>
      </c>
      <c r="BE160" s="14">
        <f>BD160*VLOOKUP('Données projet'!$B$11,Paramètres!$A$1:$I$89,3,0)*VLOOKUP('Données projet'!$B$11,Paramètres!$A$1:$I$89,5,0)</f>
        <v>-7.6615833677351478E-13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278.21934231434597</v>
      </c>
      <c r="BJ160" s="62">
        <f t="shared" si="146"/>
        <v>143.57726487417773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3.4106051316484809E-13</v>
      </c>
      <c r="BZ160" s="14">
        <f>BY160*VLOOKUP('Données projet'!$B$12,Paramètres!$A$1:$I$89,3,0)*VLOOKUP('Données projet'!$B$12,Paramètres!$A$1:$I$89,5,0)</f>
        <v>2.7134774427395314E-13</v>
      </c>
      <c r="CA160" s="14">
        <f t="shared" si="170"/>
        <v>3.6292411711343559E-12</v>
      </c>
      <c r="CB160" s="22">
        <f t="shared" si="171"/>
        <v>6.7935256943361388E-12</v>
      </c>
      <c r="CC160" s="62">
        <f t="shared" si="119"/>
        <v>293.33333333334014</v>
      </c>
      <c r="CD160" s="62">
        <f ca="1">AVERAGE(OFFSET($CC$3,0,0,'Données projet'!$E$12+1,1))-AVERAGE(OFFSET($H$3,0,0,'Données projet'!$E$12+1,1))</f>
        <v>237.4598967324826</v>
      </c>
      <c r="CE160" s="62">
        <f t="shared" si="148"/>
        <v>218.74305466112406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205.33000726169792</v>
      </c>
      <c r="T161" s="62">
        <f t="shared" si="142"/>
        <v>307.23455947678775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7.8666666666666663</v>
      </c>
      <c r="AI161" s="14">
        <f>IF('Données projet'!$A$62&gt;35,AI160+AH161-AQ160,IF(A161&lt;'Données projet'!$A$62,$AF$205^A161,IF(A161='Données projet'!$A$62,'Données projet'!$B$62,AI160+AH161-AQ160)))</f>
        <v>890.93333333333339</v>
      </c>
      <c r="AJ161" s="14">
        <f>AI161*VLOOKUP('Données projet'!$B$10,Paramètres!$A$1:$I$89,3,0)*VLOOKUP('Données projet'!$B$10,Paramètres!$A$1:$I$89,5,0)</f>
        <v>440.12106666666676</v>
      </c>
      <c r="AK161" s="14">
        <f t="shared" si="164"/>
        <v>99.864796796857078</v>
      </c>
      <c r="AL161" s="22">
        <f t="shared" si="165"/>
        <v>940.47537886563748</v>
      </c>
      <c r="AM161" s="62">
        <f t="shared" si="113"/>
        <v>1233.8087121989709</v>
      </c>
      <c r="AN161" s="62">
        <f ca="1">AVERAGE(OFFSET($AM$3,0,0,'Données projet'!$E$10+1,1))-AVERAGE(OFFSET($H$3,0,0,'Données projet'!$E$10+1,1))</f>
        <v>491.47342911047105</v>
      </c>
      <c r="AO161" s="62">
        <f t="shared" si="144"/>
        <v>58.734453933891757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-9.0949470177292824E-13</v>
      </c>
      <c r="BE161" s="14">
        <f>BD161*VLOOKUP('Données projet'!$B$11,Paramètres!$A$1:$I$89,3,0)*VLOOKUP('Données projet'!$B$11,Paramètres!$A$1:$I$89,5,0)</f>
        <v>-7.6615833677351478E-13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278.21934231434597</v>
      </c>
      <c r="BJ161" s="62">
        <f t="shared" si="146"/>
        <v>143.57726487417773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3.4106051316484809E-13</v>
      </c>
      <c r="BZ161" s="14">
        <f>BY161*VLOOKUP('Données projet'!$B$12,Paramètres!$A$1:$I$89,3,0)*VLOOKUP('Données projet'!$B$12,Paramètres!$A$1:$I$89,5,0)</f>
        <v>2.7134774427395314E-13</v>
      </c>
      <c r="CA161" s="14">
        <f t="shared" si="170"/>
        <v>3.6292411711343559E-12</v>
      </c>
      <c r="CB161" s="22">
        <f t="shared" si="171"/>
        <v>6.7935256943361388E-12</v>
      </c>
      <c r="CC161" s="62">
        <f t="shared" si="119"/>
        <v>293.33333333334014</v>
      </c>
      <c r="CD161" s="62">
        <f ca="1">AVERAGE(OFFSET($CC$3,0,0,'Données projet'!$E$12+1,1))-AVERAGE(OFFSET($H$3,0,0,'Données projet'!$E$12+1,1))</f>
        <v>237.4598967324826</v>
      </c>
      <c r="CE161" s="62">
        <f t="shared" si="148"/>
        <v>218.74305466112406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205.33000726169792</v>
      </c>
      <c r="T162" s="62">
        <f t="shared" si="142"/>
        <v>307.23455947678775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7.8666666666666663</v>
      </c>
      <c r="AI162" s="14">
        <f>IF('Données projet'!$A$62&gt;35,AI161+AH162-AQ161,IF(A162&lt;'Données projet'!$A$62,$AF$205^A162,IF(A162='Données projet'!$A$62,'Données projet'!$B$62,AI161+AH162-AQ161)))</f>
        <v>898.80000000000007</v>
      </c>
      <c r="AJ162" s="14">
        <f>AI162*VLOOKUP('Données projet'!$B$10,Paramètres!$A$1:$I$89,3,0)*VLOOKUP('Données projet'!$B$10,Paramètres!$A$1:$I$89,5,0)</f>
        <v>444.00720000000007</v>
      </c>
      <c r="AK162" s="14">
        <f t="shared" si="164"/>
        <v>100.64353443273302</v>
      </c>
      <c r="AL162" s="22">
        <f t="shared" si="165"/>
        <v>948.60002913700998</v>
      </c>
      <c r="AM162" s="62">
        <f t="shared" si="113"/>
        <v>1241.9333624703434</v>
      </c>
      <c r="AN162" s="62">
        <f ca="1">AVERAGE(OFFSET($AM$3,0,0,'Données projet'!$E$10+1,1))-AVERAGE(OFFSET($H$3,0,0,'Données projet'!$E$10+1,1))</f>
        <v>491.47342911047105</v>
      </c>
      <c r="AO162" s="62">
        <f t="shared" si="144"/>
        <v>58.734453933891757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-9.0949470177292824E-13</v>
      </c>
      <c r="BE162" s="14">
        <f>BD162*VLOOKUP('Données projet'!$B$11,Paramètres!$A$1:$I$89,3,0)*VLOOKUP('Données projet'!$B$11,Paramètres!$A$1:$I$89,5,0)</f>
        <v>-7.6615833677351478E-13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278.21934231434597</v>
      </c>
      <c r="BJ162" s="62">
        <f t="shared" si="146"/>
        <v>143.57726487417773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3.4106051316484809E-13</v>
      </c>
      <c r="BZ162" s="14">
        <f>BY162*VLOOKUP('Données projet'!$B$12,Paramètres!$A$1:$I$89,3,0)*VLOOKUP('Données projet'!$B$12,Paramètres!$A$1:$I$89,5,0)</f>
        <v>2.7134774427395314E-13</v>
      </c>
      <c r="CA162" s="14">
        <f t="shared" si="170"/>
        <v>3.6292411711343559E-12</v>
      </c>
      <c r="CB162" s="22">
        <f t="shared" si="171"/>
        <v>6.7935256943361388E-12</v>
      </c>
      <c r="CC162" s="62">
        <f t="shared" si="119"/>
        <v>293.33333333334014</v>
      </c>
      <c r="CD162" s="62">
        <f ca="1">AVERAGE(OFFSET($CC$3,0,0,'Données projet'!$E$12+1,1))-AVERAGE(OFFSET($H$3,0,0,'Données projet'!$E$12+1,1))</f>
        <v>237.4598967324826</v>
      </c>
      <c r="CE162" s="62">
        <f t="shared" si="148"/>
        <v>218.74305466112406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205.33000726169792</v>
      </c>
      <c r="T163" s="62">
        <f t="shared" si="142"/>
        <v>307.23455947678775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7.8666666666666663</v>
      </c>
      <c r="AI163" s="14">
        <f>IF('Données projet'!$A$62&gt;35,AI162+AH163-AQ162,IF(A163&lt;'Données projet'!$A$62,$AF$205^A163,IF(A163='Données projet'!$A$62,'Données projet'!$B$62,AI162+AH163-AQ162)))</f>
        <v>906.66666666666674</v>
      </c>
      <c r="AJ163" s="14">
        <f>AI163*VLOOKUP('Données projet'!$B$10,Paramètres!$A$1:$I$89,3,0)*VLOOKUP('Données projet'!$B$10,Paramètres!$A$1:$I$89,5,0)</f>
        <v>447.89333333333337</v>
      </c>
      <c r="AK163" s="14">
        <f t="shared" si="164"/>
        <v>101.4214790991018</v>
      </c>
      <c r="AL163" s="22">
        <f t="shared" si="165"/>
        <v>956.72329831982449</v>
      </c>
      <c r="AM163" s="62">
        <f t="shared" si="113"/>
        <v>1250.0566316531579</v>
      </c>
      <c r="AN163" s="62">
        <f ca="1">AVERAGE(OFFSET($AM$3,0,0,'Données projet'!$E$10+1,1))-AVERAGE(OFFSET($H$3,0,0,'Données projet'!$E$10+1,1))</f>
        <v>491.47342911047105</v>
      </c>
      <c r="AO163" s="62">
        <f t="shared" si="144"/>
        <v>58.734453933891757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-9.0949470177292824E-13</v>
      </c>
      <c r="BE163" s="14">
        <f>BD163*VLOOKUP('Données projet'!$B$11,Paramètres!$A$1:$I$89,3,0)*VLOOKUP('Données projet'!$B$11,Paramètres!$A$1:$I$89,5,0)</f>
        <v>-7.6615833677351478E-13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278.21934231434597</v>
      </c>
      <c r="BJ163" s="62">
        <f t="shared" si="146"/>
        <v>143.57726487417773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3.4106051316484809E-13</v>
      </c>
      <c r="BZ163" s="14">
        <f>BY163*VLOOKUP('Données projet'!$B$12,Paramètres!$A$1:$I$89,3,0)*VLOOKUP('Données projet'!$B$12,Paramètres!$A$1:$I$89,5,0)</f>
        <v>2.7134774427395314E-13</v>
      </c>
      <c r="CA163" s="14">
        <f t="shared" si="170"/>
        <v>3.6292411711343559E-12</v>
      </c>
      <c r="CB163" s="22">
        <f t="shared" si="171"/>
        <v>6.7935256943361388E-12</v>
      </c>
      <c r="CC163" s="62">
        <f t="shared" si="119"/>
        <v>293.33333333334014</v>
      </c>
      <c r="CD163" s="62">
        <f ca="1">AVERAGE(OFFSET($CC$3,0,0,'Données projet'!$E$12+1,1))-AVERAGE(OFFSET($H$3,0,0,'Données projet'!$E$12+1,1))</f>
        <v>237.4598967324826</v>
      </c>
      <c r="CE163" s="62">
        <f t="shared" si="148"/>
        <v>218.74305466112406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205.33000726169792</v>
      </c>
      <c r="T164" s="62">
        <f t="shared" si="142"/>
        <v>307.23455947678775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7.8666666666666663</v>
      </c>
      <c r="AI164" s="14">
        <f>IF('Données projet'!$A$62&gt;35,AI163+AH164-AQ163,IF(A164&lt;'Données projet'!$A$62,$AF$205^A164,IF(A164='Données projet'!$A$62,'Données projet'!$B$62,AI163+AH164-AQ163)))</f>
        <v>914.53333333333342</v>
      </c>
      <c r="AJ164" s="14">
        <f>AI164*VLOOKUP('Données projet'!$B$10,Paramètres!$A$1:$I$89,3,0)*VLOOKUP('Données projet'!$B$10,Paramètres!$A$1:$I$89,5,0)</f>
        <v>451.77946666666668</v>
      </c>
      <c r="AK164" s="14">
        <f t="shared" si="164"/>
        <v>102.19863847330869</v>
      </c>
      <c r="AL164" s="22">
        <f t="shared" si="165"/>
        <v>964.84519978545688</v>
      </c>
      <c r="AM164" s="62">
        <f t="shared" si="113"/>
        <v>1258.1785331187903</v>
      </c>
      <c r="AN164" s="62">
        <f ca="1">AVERAGE(OFFSET($AM$3,0,0,'Données projet'!$E$10+1,1))-AVERAGE(OFFSET($H$3,0,0,'Données projet'!$E$10+1,1))</f>
        <v>491.47342911047105</v>
      </c>
      <c r="AO164" s="62">
        <f t="shared" si="144"/>
        <v>58.734453933891757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-9.0949470177292824E-13</v>
      </c>
      <c r="BE164" s="14">
        <f>BD164*VLOOKUP('Données projet'!$B$11,Paramètres!$A$1:$I$89,3,0)*VLOOKUP('Données projet'!$B$11,Paramètres!$A$1:$I$89,5,0)</f>
        <v>-7.6615833677351478E-13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278.21934231434597</v>
      </c>
      <c r="BJ164" s="62">
        <f t="shared" si="146"/>
        <v>143.57726487417773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3.4106051316484809E-13</v>
      </c>
      <c r="BZ164" s="14">
        <f>BY164*VLOOKUP('Données projet'!$B$12,Paramètres!$A$1:$I$89,3,0)*VLOOKUP('Données projet'!$B$12,Paramètres!$A$1:$I$89,5,0)</f>
        <v>2.7134774427395314E-13</v>
      </c>
      <c r="CA164" s="14">
        <f t="shared" si="170"/>
        <v>3.6292411711343559E-12</v>
      </c>
      <c r="CB164" s="22">
        <f t="shared" si="171"/>
        <v>6.7935256943361388E-12</v>
      </c>
      <c r="CC164" s="62">
        <f t="shared" si="119"/>
        <v>293.33333333334014</v>
      </c>
      <c r="CD164" s="62">
        <f ca="1">AVERAGE(OFFSET($CC$3,0,0,'Données projet'!$E$12+1,1))-AVERAGE(OFFSET($H$3,0,0,'Données projet'!$E$12+1,1))</f>
        <v>237.4598967324826</v>
      </c>
      <c r="CE164" s="62">
        <f t="shared" si="148"/>
        <v>218.74305466112406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205.33000726169792</v>
      </c>
      <c r="T165" s="62">
        <f t="shared" si="142"/>
        <v>307.23455947678775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7.8666666666666663</v>
      </c>
      <c r="AI165" s="14">
        <f>IF('Données projet'!$A$62&gt;35,AI164+AH165-AQ164,IF(A165&lt;'Données projet'!$A$62,$AF$205^A165,IF(A165='Données projet'!$A$62,'Données projet'!$B$62,AI164+AH165-AQ164)))</f>
        <v>922.40000000000009</v>
      </c>
      <c r="AJ165" s="14">
        <f>AI165*VLOOKUP('Données projet'!$B$10,Paramètres!$A$1:$I$89,3,0)*VLOOKUP('Données projet'!$B$10,Paramètres!$A$1:$I$89,5,0)</f>
        <v>455.6656000000001</v>
      </c>
      <c r="AK165" s="14">
        <f t="shared" si="164"/>
        <v>102.97502009299815</v>
      </c>
      <c r="AL165" s="22">
        <f t="shared" si="165"/>
        <v>972.96574666197182</v>
      </c>
      <c r="AM165" s="62">
        <f t="shared" si="113"/>
        <v>1266.2990799953052</v>
      </c>
      <c r="AN165" s="62">
        <f ca="1">AVERAGE(OFFSET($AM$3,0,0,'Données projet'!$E$10+1,1))-AVERAGE(OFFSET($H$3,0,0,'Données projet'!$E$10+1,1))</f>
        <v>491.47342911047105</v>
      </c>
      <c r="AO165" s="62">
        <f t="shared" si="144"/>
        <v>58.734453933891757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-9.0949470177292824E-13</v>
      </c>
      <c r="BE165" s="14">
        <f>BD165*VLOOKUP('Données projet'!$B$11,Paramètres!$A$1:$I$89,3,0)*VLOOKUP('Données projet'!$B$11,Paramètres!$A$1:$I$89,5,0)</f>
        <v>-7.6615833677351478E-13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278.21934231434597</v>
      </c>
      <c r="BJ165" s="62">
        <f t="shared" si="146"/>
        <v>143.57726487417773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3.4106051316484809E-13</v>
      </c>
      <c r="BZ165" s="14">
        <f>BY165*VLOOKUP('Données projet'!$B$12,Paramètres!$A$1:$I$89,3,0)*VLOOKUP('Données projet'!$B$12,Paramètres!$A$1:$I$89,5,0)</f>
        <v>2.7134774427395314E-13</v>
      </c>
      <c r="CA165" s="14">
        <f t="shared" si="170"/>
        <v>3.6292411711343559E-12</v>
      </c>
      <c r="CB165" s="22">
        <f t="shared" si="171"/>
        <v>6.7935256943361388E-12</v>
      </c>
      <c r="CC165" s="62">
        <f t="shared" si="119"/>
        <v>293.33333333334014</v>
      </c>
      <c r="CD165" s="62">
        <f ca="1">AVERAGE(OFFSET($CC$3,0,0,'Données projet'!$E$12+1,1))-AVERAGE(OFFSET($H$3,0,0,'Données projet'!$E$12+1,1))</f>
        <v>237.4598967324826</v>
      </c>
      <c r="CE165" s="62">
        <f t="shared" si="148"/>
        <v>218.74305466112406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205.33000726169792</v>
      </c>
      <c r="T166" s="62">
        <f t="shared" si="142"/>
        <v>307.23455947678775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7.8666666666666663</v>
      </c>
      <c r="AI166" s="14">
        <f>IF('Données projet'!$A$62&gt;35,AI165+AH166-AQ165,IF(A166&lt;'Données projet'!$A$62,$AF$205^A166,IF(A166='Données projet'!$A$62,'Données projet'!$B$62,AI165+AH166-AQ165)))</f>
        <v>930.26666666666677</v>
      </c>
      <c r="AJ166" s="14">
        <f>AI166*VLOOKUP('Données projet'!$B$10,Paramètres!$A$1:$I$89,3,0)*VLOOKUP('Données projet'!$B$10,Paramètres!$A$1:$I$89,5,0)</f>
        <v>459.5517333333334</v>
      </c>
      <c r="AK166" s="14">
        <f t="shared" si="164"/>
        <v>103.75063135982514</v>
      </c>
      <c r="AL166" s="22">
        <f t="shared" si="165"/>
        <v>981.08495184058449</v>
      </c>
      <c r="AM166" s="62">
        <f t="shared" si="113"/>
        <v>1274.4182851739179</v>
      </c>
      <c r="AN166" s="62">
        <f ca="1">AVERAGE(OFFSET($AM$3,0,0,'Données projet'!$E$10+1,1))-AVERAGE(OFFSET($H$3,0,0,'Données projet'!$E$10+1,1))</f>
        <v>491.47342911047105</v>
      </c>
      <c r="AO166" s="62">
        <f t="shared" si="144"/>
        <v>58.734453933891757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-9.0949470177292824E-13</v>
      </c>
      <c r="BE166" s="14">
        <f>BD166*VLOOKUP('Données projet'!$B$11,Paramètres!$A$1:$I$89,3,0)*VLOOKUP('Données projet'!$B$11,Paramètres!$A$1:$I$89,5,0)</f>
        <v>-7.6615833677351478E-13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278.21934231434597</v>
      </c>
      <c r="BJ166" s="62">
        <f t="shared" si="146"/>
        <v>143.57726487417773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3.4106051316484809E-13</v>
      </c>
      <c r="BZ166" s="14">
        <f>BY166*VLOOKUP('Données projet'!$B$12,Paramètres!$A$1:$I$89,3,0)*VLOOKUP('Données projet'!$B$12,Paramètres!$A$1:$I$89,5,0)</f>
        <v>2.7134774427395314E-13</v>
      </c>
      <c r="CA166" s="14">
        <f t="shared" si="170"/>
        <v>3.6292411711343559E-12</v>
      </c>
      <c r="CB166" s="22">
        <f t="shared" si="171"/>
        <v>6.7935256943361388E-12</v>
      </c>
      <c r="CC166" s="62">
        <f t="shared" si="119"/>
        <v>293.33333333334014</v>
      </c>
      <c r="CD166" s="62">
        <f ca="1">AVERAGE(OFFSET($CC$3,0,0,'Données projet'!$E$12+1,1))-AVERAGE(OFFSET($H$3,0,0,'Données projet'!$E$12+1,1))</f>
        <v>237.4598967324826</v>
      </c>
      <c r="CE166" s="62">
        <f t="shared" si="148"/>
        <v>218.74305466112406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205.33000726169792</v>
      </c>
      <c r="T167" s="62">
        <f t="shared" si="142"/>
        <v>307.23455947678775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7.8666666666666663</v>
      </c>
      <c r="AI167" s="14">
        <f>IF('Données projet'!$A$62&gt;35,AI166+AH167-AQ166,IF(A167&lt;'Données projet'!$A$62,$AF$205^A167,IF(A167='Données projet'!$A$62,'Données projet'!$B$62,AI166+AH167-AQ166)))</f>
        <v>938.13333333333344</v>
      </c>
      <c r="AJ167" s="14">
        <f>AI167*VLOOKUP('Données projet'!$B$10,Paramètres!$A$1:$I$89,3,0)*VLOOKUP('Données projet'!$B$10,Paramètres!$A$1:$I$89,5,0)</f>
        <v>463.43786666666671</v>
      </c>
      <c r="AK167" s="14">
        <f t="shared" si="164"/>
        <v>104.52547954303785</v>
      </c>
      <c r="AL167" s="22">
        <f t="shared" si="165"/>
        <v>989.20282798190203</v>
      </c>
      <c r="AM167" s="62">
        <f t="shared" si="113"/>
        <v>1282.5361613152354</v>
      </c>
      <c r="AN167" s="62">
        <f ca="1">AVERAGE(OFFSET($AM$3,0,0,'Données projet'!$E$10+1,1))-AVERAGE(OFFSET($H$3,0,0,'Données projet'!$E$10+1,1))</f>
        <v>491.47342911047105</v>
      </c>
      <c r="AO167" s="62">
        <f t="shared" si="144"/>
        <v>58.734453933891757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-9.0949470177292824E-13</v>
      </c>
      <c r="BE167" s="14">
        <f>BD167*VLOOKUP('Données projet'!$B$11,Paramètres!$A$1:$I$89,3,0)*VLOOKUP('Données projet'!$B$11,Paramètres!$A$1:$I$89,5,0)</f>
        <v>-7.6615833677351478E-13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278.21934231434597</v>
      </c>
      <c r="BJ167" s="62">
        <f t="shared" si="146"/>
        <v>143.57726487417773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3.4106051316484809E-13</v>
      </c>
      <c r="BZ167" s="14">
        <f>BY167*VLOOKUP('Données projet'!$B$12,Paramètres!$A$1:$I$89,3,0)*VLOOKUP('Données projet'!$B$12,Paramètres!$A$1:$I$89,5,0)</f>
        <v>2.7134774427395314E-13</v>
      </c>
      <c r="CA167" s="14">
        <f t="shared" si="170"/>
        <v>3.6292411711343559E-12</v>
      </c>
      <c r="CB167" s="22">
        <f t="shared" si="171"/>
        <v>6.7935256943361388E-12</v>
      </c>
      <c r="CC167" s="62">
        <f t="shared" si="119"/>
        <v>293.33333333334014</v>
      </c>
      <c r="CD167" s="62">
        <f ca="1">AVERAGE(OFFSET($CC$3,0,0,'Données projet'!$E$12+1,1))-AVERAGE(OFFSET($H$3,0,0,'Données projet'!$E$12+1,1))</f>
        <v>237.4598967324826</v>
      </c>
      <c r="CE167" s="62">
        <f t="shared" si="148"/>
        <v>218.74305466112406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205.33000726169792</v>
      </c>
      <c r="T168" s="62">
        <f t="shared" si="142"/>
        <v>307.23455947678775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>
        <f>VLOOKUP(A168,'Données projet'!$A$61:$I$81,2,0)</f>
        <v>946</v>
      </c>
      <c r="AG168" s="13">
        <f>VLOOKUP(A168,'Données projet'!$A$61:$I$81,9,0)</f>
        <v>7.8666666666666663</v>
      </c>
      <c r="AH168" s="13">
        <f t="array" ref="AH168">INDEX(AG:AG,MIN(IF(ISNUMBER(AG168:AG364),ROW(AG168:AG364),"")))</f>
        <v>7.8666666666666663</v>
      </c>
      <c r="AI168" s="14">
        <f>IF('Données projet'!$A$62&gt;35,AI167+AH168-AQ167,IF(A168&lt;'Données projet'!$A$62,$AF$205^A168,IF(A168='Données projet'!$A$62,'Données projet'!$B$62,AI167+AH168-AQ167)))</f>
        <v>946.00000000000011</v>
      </c>
      <c r="AJ168" s="14">
        <f>AI168*VLOOKUP('Données projet'!$B$10,Paramètres!$A$1:$I$89,3,0)*VLOOKUP('Données projet'!$B$10,Paramètres!$A$1:$I$89,5,0)</f>
        <v>467.32400000000013</v>
      </c>
      <c r="AK168" s="14">
        <f t="shared" si="164"/>
        <v>105.29957178293554</v>
      </c>
      <c r="AL168" s="22">
        <f t="shared" si="165"/>
        <v>997.31938752194628</v>
      </c>
      <c r="AM168" s="62">
        <f t="shared" si="113"/>
        <v>1290.6527208552795</v>
      </c>
      <c r="AN168" s="62">
        <f ca="1">AVERAGE(OFFSET($AM$3,0,0,'Données projet'!$E$10+1,1))-AVERAGE(OFFSET($H$3,0,0,'Données projet'!$E$10+1,1))</f>
        <v>491.47342911047105</v>
      </c>
      <c r="AO168" s="62">
        <f t="shared" si="144"/>
        <v>58.734453933891757</v>
      </c>
      <c r="AP168" s="16">
        <f>IF(ISNA(VLOOKUP(A168,'Données projet'!$A$61:$I$81,3,0)),0,VLOOKUP(A168,'Données projet'!$A$61:$I$81,3,0))</f>
        <v>8</v>
      </c>
      <c r="AQ168" s="16">
        <f>IF(ISNA(VLOOKUP(A168,'Données projet'!$A$61:$I$81,4,0)),0,VLOOKUP(A168,'Données projet'!$A$61:$I$81,4,0))</f>
        <v>946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-9.0949470177292824E-13</v>
      </c>
      <c r="BE168" s="14">
        <f>BD168*VLOOKUP('Données projet'!$B$11,Paramètres!$A$1:$I$89,3,0)*VLOOKUP('Données projet'!$B$11,Paramètres!$A$1:$I$89,5,0)</f>
        <v>-7.6615833677351478E-13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278.21934231434597</v>
      </c>
      <c r="BJ168" s="62">
        <f t="shared" si="146"/>
        <v>143.57726487417773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3.4106051316484809E-13</v>
      </c>
      <c r="BZ168" s="14">
        <f>BY168*VLOOKUP('Données projet'!$B$12,Paramètres!$A$1:$I$89,3,0)*VLOOKUP('Données projet'!$B$12,Paramètres!$A$1:$I$89,5,0)</f>
        <v>2.7134774427395314E-13</v>
      </c>
      <c r="CA168" s="14">
        <f t="shared" si="170"/>
        <v>3.6292411711343559E-12</v>
      </c>
      <c r="CB168" s="22">
        <f t="shared" si="171"/>
        <v>6.7935256943361388E-12</v>
      </c>
      <c r="CC168" s="62">
        <f t="shared" si="119"/>
        <v>293.33333333334014</v>
      </c>
      <c r="CD168" s="62">
        <f ca="1">AVERAGE(OFFSET($CC$3,0,0,'Données projet'!$E$12+1,1))-AVERAGE(OFFSET($H$3,0,0,'Données projet'!$E$12+1,1))</f>
        <v>237.4598967324826</v>
      </c>
      <c r="CE168" s="62">
        <f t="shared" si="148"/>
        <v>218.74305466112406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205.33000726169792</v>
      </c>
      <c r="T169" s="62">
        <f t="shared" si="142"/>
        <v>307.23455947678775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5.6161297834478324E-14</v>
      </c>
      <c r="AK169" s="14">
        <f t="shared" si="164"/>
        <v>9.02307812553123E-13</v>
      </c>
      <c r="AL169" s="22">
        <f t="shared" si="165"/>
        <v>1.6693337005917391E-12</v>
      </c>
      <c r="AM169" s="62">
        <f t="shared" si="113"/>
        <v>293.33333333333496</v>
      </c>
      <c r="AN169" s="62">
        <f ca="1">AVERAGE(OFFSET($AM$3,0,0,'Données projet'!$E$10+1,1))-AVERAGE(OFFSET($H$3,0,0,'Données projet'!$E$10+1,1))</f>
        <v>491.47342911047105</v>
      </c>
      <c r="AO169" s="62">
        <f t="shared" si="144"/>
        <v>58.734453933891757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-9.0949470177292824E-13</v>
      </c>
      <c r="BE169" s="14">
        <f>BD169*VLOOKUP('Données projet'!$B$11,Paramètres!$A$1:$I$89,3,0)*VLOOKUP('Données projet'!$B$11,Paramètres!$A$1:$I$89,5,0)</f>
        <v>-7.6615833677351478E-13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278.21934231434597</v>
      </c>
      <c r="BJ169" s="62">
        <f t="shared" si="146"/>
        <v>143.57726487417773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3.4106051316484809E-13</v>
      </c>
      <c r="BZ169" s="14">
        <f>BY169*VLOOKUP('Données projet'!$B$12,Paramètres!$A$1:$I$89,3,0)*VLOOKUP('Données projet'!$B$12,Paramètres!$A$1:$I$89,5,0)</f>
        <v>2.7134774427395314E-13</v>
      </c>
      <c r="CA169" s="14">
        <f t="shared" si="170"/>
        <v>3.6292411711343559E-12</v>
      </c>
      <c r="CB169" s="22">
        <f t="shared" si="171"/>
        <v>6.7935256943361388E-12</v>
      </c>
      <c r="CC169" s="62">
        <f t="shared" si="119"/>
        <v>293.33333333334014</v>
      </c>
      <c r="CD169" s="62">
        <f ca="1">AVERAGE(OFFSET($CC$3,0,0,'Données projet'!$E$12+1,1))-AVERAGE(OFFSET($H$3,0,0,'Données projet'!$E$12+1,1))</f>
        <v>237.4598967324826</v>
      </c>
      <c r="CE169" s="62">
        <f t="shared" si="148"/>
        <v>218.74305466112406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205.33000726169792</v>
      </c>
      <c r="T170" s="62">
        <f t="shared" si="142"/>
        <v>307.23455947678775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5.6161297834478324E-14</v>
      </c>
      <c r="AK170" s="14">
        <f t="shared" si="164"/>
        <v>9.02307812553123E-13</v>
      </c>
      <c r="AL170" s="22">
        <f t="shared" si="165"/>
        <v>1.6693337005917391E-12</v>
      </c>
      <c r="AM170" s="62">
        <f t="shared" si="113"/>
        <v>293.33333333333496</v>
      </c>
      <c r="AN170" s="62">
        <f ca="1">AVERAGE(OFFSET($AM$3,0,0,'Données projet'!$E$10+1,1))-AVERAGE(OFFSET($H$3,0,0,'Données projet'!$E$10+1,1))</f>
        <v>491.47342911047105</v>
      </c>
      <c r="AO170" s="62">
        <f t="shared" si="144"/>
        <v>58.734453933891757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-9.0949470177292824E-13</v>
      </c>
      <c r="BE170" s="14">
        <f>BD170*VLOOKUP('Données projet'!$B$11,Paramètres!$A$1:$I$89,3,0)*VLOOKUP('Données projet'!$B$11,Paramètres!$A$1:$I$89,5,0)</f>
        <v>-7.6615833677351478E-13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278.21934231434597</v>
      </c>
      <c r="BJ170" s="62">
        <f t="shared" si="146"/>
        <v>143.57726487417773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3.4106051316484809E-13</v>
      </c>
      <c r="BZ170" s="14">
        <f>BY170*VLOOKUP('Données projet'!$B$12,Paramètres!$A$1:$I$89,3,0)*VLOOKUP('Données projet'!$B$12,Paramètres!$A$1:$I$89,5,0)</f>
        <v>2.7134774427395314E-13</v>
      </c>
      <c r="CA170" s="14">
        <f t="shared" si="170"/>
        <v>3.6292411711343559E-12</v>
      </c>
      <c r="CB170" s="22">
        <f t="shared" si="171"/>
        <v>6.7935256943361388E-12</v>
      </c>
      <c r="CC170" s="62">
        <f t="shared" si="119"/>
        <v>293.33333333334014</v>
      </c>
      <c r="CD170" s="62">
        <f ca="1">AVERAGE(OFFSET($CC$3,0,0,'Données projet'!$E$12+1,1))-AVERAGE(OFFSET($H$3,0,0,'Données projet'!$E$12+1,1))</f>
        <v>237.4598967324826</v>
      </c>
      <c r="CE170" s="62">
        <f t="shared" si="148"/>
        <v>218.74305466112406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205.33000726169792</v>
      </c>
      <c r="T171" s="62">
        <f t="shared" si="142"/>
        <v>307.23455947678775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5.6161297834478324E-14</v>
      </c>
      <c r="AK171" s="14">
        <f t="shared" si="164"/>
        <v>9.02307812553123E-13</v>
      </c>
      <c r="AL171" s="22">
        <f t="shared" si="165"/>
        <v>1.6693337005917391E-12</v>
      </c>
      <c r="AM171" s="62">
        <f t="shared" si="113"/>
        <v>293.33333333333496</v>
      </c>
      <c r="AN171" s="62">
        <f ca="1">AVERAGE(OFFSET($AM$3,0,0,'Données projet'!$E$10+1,1))-AVERAGE(OFFSET($H$3,0,0,'Données projet'!$E$10+1,1))</f>
        <v>491.47342911047105</v>
      </c>
      <c r="AO171" s="62">
        <f t="shared" si="144"/>
        <v>58.734453933891757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-9.0949470177292824E-13</v>
      </c>
      <c r="BE171" s="14">
        <f>BD171*VLOOKUP('Données projet'!$B$11,Paramètres!$A$1:$I$89,3,0)*VLOOKUP('Données projet'!$B$11,Paramètres!$A$1:$I$89,5,0)</f>
        <v>-7.6615833677351478E-13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278.21934231434597</v>
      </c>
      <c r="BJ171" s="62">
        <f t="shared" si="146"/>
        <v>143.57726487417773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3.4106051316484809E-13</v>
      </c>
      <c r="BZ171" s="14">
        <f>BY171*VLOOKUP('Données projet'!$B$12,Paramètres!$A$1:$I$89,3,0)*VLOOKUP('Données projet'!$B$12,Paramètres!$A$1:$I$89,5,0)</f>
        <v>2.7134774427395314E-13</v>
      </c>
      <c r="CA171" s="14">
        <f t="shared" si="170"/>
        <v>3.6292411711343559E-12</v>
      </c>
      <c r="CB171" s="22">
        <f t="shared" si="171"/>
        <v>6.7935256943361388E-12</v>
      </c>
      <c r="CC171" s="62">
        <f t="shared" si="119"/>
        <v>293.33333333334014</v>
      </c>
      <c r="CD171" s="62">
        <f ca="1">AVERAGE(OFFSET($CC$3,0,0,'Données projet'!$E$12+1,1))-AVERAGE(OFFSET($H$3,0,0,'Données projet'!$E$12+1,1))</f>
        <v>237.4598967324826</v>
      </c>
      <c r="CE171" s="62">
        <f t="shared" si="148"/>
        <v>218.74305466112406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205.33000726169792</v>
      </c>
      <c r="T172" s="62">
        <f t="shared" si="142"/>
        <v>307.23455947678775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5.6161297834478324E-14</v>
      </c>
      <c r="AK172" s="14">
        <f t="shared" si="164"/>
        <v>9.02307812553123E-13</v>
      </c>
      <c r="AL172" s="22">
        <f t="shared" si="165"/>
        <v>1.6693337005917391E-12</v>
      </c>
      <c r="AM172" s="62">
        <f t="shared" si="113"/>
        <v>293.33333333333496</v>
      </c>
      <c r="AN172" s="62">
        <f ca="1">AVERAGE(OFFSET($AM$3,0,0,'Données projet'!$E$10+1,1))-AVERAGE(OFFSET($H$3,0,0,'Données projet'!$E$10+1,1))</f>
        <v>491.47342911047105</v>
      </c>
      <c r="AO172" s="62">
        <f t="shared" si="144"/>
        <v>58.734453933891757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-9.0949470177292824E-13</v>
      </c>
      <c r="BE172" s="14">
        <f>BD172*VLOOKUP('Données projet'!$B$11,Paramètres!$A$1:$I$89,3,0)*VLOOKUP('Données projet'!$B$11,Paramètres!$A$1:$I$89,5,0)</f>
        <v>-7.6615833677351478E-13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278.21934231434597</v>
      </c>
      <c r="BJ172" s="62">
        <f t="shared" si="146"/>
        <v>143.57726487417773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3.4106051316484809E-13</v>
      </c>
      <c r="BZ172" s="14">
        <f>BY172*VLOOKUP('Données projet'!$B$12,Paramètres!$A$1:$I$89,3,0)*VLOOKUP('Données projet'!$B$12,Paramètres!$A$1:$I$89,5,0)</f>
        <v>2.7134774427395314E-13</v>
      </c>
      <c r="CA172" s="14">
        <f t="shared" si="170"/>
        <v>3.6292411711343559E-12</v>
      </c>
      <c r="CB172" s="22">
        <f t="shared" si="171"/>
        <v>6.7935256943361388E-12</v>
      </c>
      <c r="CC172" s="62">
        <f t="shared" si="119"/>
        <v>293.33333333334014</v>
      </c>
      <c r="CD172" s="62">
        <f ca="1">AVERAGE(OFFSET($CC$3,0,0,'Données projet'!$E$12+1,1))-AVERAGE(OFFSET($H$3,0,0,'Données projet'!$E$12+1,1))</f>
        <v>237.4598967324826</v>
      </c>
      <c r="CE172" s="62">
        <f t="shared" si="148"/>
        <v>218.74305466112406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205.33000726169792</v>
      </c>
      <c r="T173" s="62">
        <f t="shared" si="142"/>
        <v>307.23455947678775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5.6161297834478324E-14</v>
      </c>
      <c r="AK173" s="14">
        <f t="shared" si="164"/>
        <v>9.02307812553123E-13</v>
      </c>
      <c r="AL173" s="22">
        <f t="shared" si="165"/>
        <v>1.6693337005917391E-12</v>
      </c>
      <c r="AM173" s="62">
        <f t="shared" si="113"/>
        <v>293.33333333333496</v>
      </c>
      <c r="AN173" s="62">
        <f ca="1">AVERAGE(OFFSET($AM$3,0,0,'Données projet'!$E$10+1,1))-AVERAGE(OFFSET($H$3,0,0,'Données projet'!$E$10+1,1))</f>
        <v>491.47342911047105</v>
      </c>
      <c r="AO173" s="62">
        <f t="shared" si="144"/>
        <v>58.734453933891757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-9.0949470177292824E-13</v>
      </c>
      <c r="BE173" s="14">
        <f>BD173*VLOOKUP('Données projet'!$B$11,Paramètres!$A$1:$I$89,3,0)*VLOOKUP('Données projet'!$B$11,Paramètres!$A$1:$I$89,5,0)</f>
        <v>-7.6615833677351478E-13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278.21934231434597</v>
      </c>
      <c r="BJ173" s="62">
        <f t="shared" si="146"/>
        <v>143.57726487417773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3.4106051316484809E-13</v>
      </c>
      <c r="BZ173" s="14">
        <f>BY173*VLOOKUP('Données projet'!$B$12,Paramètres!$A$1:$I$89,3,0)*VLOOKUP('Données projet'!$B$12,Paramètres!$A$1:$I$89,5,0)</f>
        <v>2.7134774427395314E-13</v>
      </c>
      <c r="CA173" s="14">
        <f t="shared" si="170"/>
        <v>3.6292411711343559E-12</v>
      </c>
      <c r="CB173" s="22">
        <f t="shared" si="171"/>
        <v>6.7935256943361388E-12</v>
      </c>
      <c r="CC173" s="62">
        <f t="shared" si="119"/>
        <v>293.33333333334014</v>
      </c>
      <c r="CD173" s="62">
        <f ca="1">AVERAGE(OFFSET($CC$3,0,0,'Données projet'!$E$12+1,1))-AVERAGE(OFFSET($H$3,0,0,'Données projet'!$E$12+1,1))</f>
        <v>237.4598967324826</v>
      </c>
      <c r="CE173" s="62">
        <f t="shared" si="148"/>
        <v>218.74305466112406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205.33000726169792</v>
      </c>
      <c r="T174" s="62">
        <f t="shared" si="142"/>
        <v>307.23455947678775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5.6161297834478324E-14</v>
      </c>
      <c r="AK174" s="14">
        <f t="shared" si="164"/>
        <v>9.02307812553123E-13</v>
      </c>
      <c r="AL174" s="22">
        <f t="shared" si="165"/>
        <v>1.6693337005917391E-12</v>
      </c>
      <c r="AM174" s="62">
        <f t="shared" si="113"/>
        <v>293.33333333333496</v>
      </c>
      <c r="AN174" s="62">
        <f ca="1">AVERAGE(OFFSET($AM$3,0,0,'Données projet'!$E$10+1,1))-AVERAGE(OFFSET($H$3,0,0,'Données projet'!$E$10+1,1))</f>
        <v>491.47342911047105</v>
      </c>
      <c r="AO174" s="62">
        <f t="shared" si="144"/>
        <v>58.734453933891757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-9.0949470177292824E-13</v>
      </c>
      <c r="BE174" s="14">
        <f>BD174*VLOOKUP('Données projet'!$B$11,Paramètres!$A$1:$I$89,3,0)*VLOOKUP('Données projet'!$B$11,Paramètres!$A$1:$I$89,5,0)</f>
        <v>-7.6615833677351478E-13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278.21934231434597</v>
      </c>
      <c r="BJ174" s="62">
        <f t="shared" si="146"/>
        <v>143.57726487417773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3.4106051316484809E-13</v>
      </c>
      <c r="BZ174" s="14">
        <f>BY174*VLOOKUP('Données projet'!$B$12,Paramètres!$A$1:$I$89,3,0)*VLOOKUP('Données projet'!$B$12,Paramètres!$A$1:$I$89,5,0)</f>
        <v>2.7134774427395314E-13</v>
      </c>
      <c r="CA174" s="14">
        <f t="shared" si="170"/>
        <v>3.6292411711343559E-12</v>
      </c>
      <c r="CB174" s="22">
        <f t="shared" si="171"/>
        <v>6.7935256943361388E-12</v>
      </c>
      <c r="CC174" s="62">
        <f t="shared" si="119"/>
        <v>293.33333333334014</v>
      </c>
      <c r="CD174" s="62">
        <f ca="1">AVERAGE(OFFSET($CC$3,0,0,'Données projet'!$E$12+1,1))-AVERAGE(OFFSET($H$3,0,0,'Données projet'!$E$12+1,1))</f>
        <v>237.4598967324826</v>
      </c>
      <c r="CE174" s="62">
        <f t="shared" si="148"/>
        <v>218.74305466112406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205.33000726169792</v>
      </c>
      <c r="T175" s="62">
        <f t="shared" si="142"/>
        <v>307.23455947678775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5.6161297834478324E-14</v>
      </c>
      <c r="AK175" s="14">
        <f t="shared" si="164"/>
        <v>9.02307812553123E-13</v>
      </c>
      <c r="AL175" s="22">
        <f t="shared" si="165"/>
        <v>1.6693337005917391E-12</v>
      </c>
      <c r="AM175" s="62">
        <f t="shared" si="113"/>
        <v>293.33333333333496</v>
      </c>
      <c r="AN175" s="62">
        <f ca="1">AVERAGE(OFFSET($AM$3,0,0,'Données projet'!$E$10+1,1))-AVERAGE(OFFSET($H$3,0,0,'Données projet'!$E$10+1,1))</f>
        <v>491.47342911047105</v>
      </c>
      <c r="AO175" s="62">
        <f t="shared" si="144"/>
        <v>58.734453933891757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-9.0949470177292824E-13</v>
      </c>
      <c r="BE175" s="14">
        <f>BD175*VLOOKUP('Données projet'!$B$11,Paramètres!$A$1:$I$89,3,0)*VLOOKUP('Données projet'!$B$11,Paramètres!$A$1:$I$89,5,0)</f>
        <v>-7.6615833677351478E-13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278.21934231434597</v>
      </c>
      <c r="BJ175" s="62">
        <f t="shared" si="146"/>
        <v>143.57726487417773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3.4106051316484809E-13</v>
      </c>
      <c r="BZ175" s="14">
        <f>BY175*VLOOKUP('Données projet'!$B$12,Paramètres!$A$1:$I$89,3,0)*VLOOKUP('Données projet'!$B$12,Paramètres!$A$1:$I$89,5,0)</f>
        <v>2.7134774427395314E-13</v>
      </c>
      <c r="CA175" s="14">
        <f t="shared" si="170"/>
        <v>3.6292411711343559E-12</v>
      </c>
      <c r="CB175" s="22">
        <f t="shared" si="171"/>
        <v>6.7935256943361388E-12</v>
      </c>
      <c r="CC175" s="62">
        <f t="shared" si="119"/>
        <v>293.33333333334014</v>
      </c>
      <c r="CD175" s="62">
        <f ca="1">AVERAGE(OFFSET($CC$3,0,0,'Données projet'!$E$12+1,1))-AVERAGE(OFFSET($H$3,0,0,'Données projet'!$E$12+1,1))</f>
        <v>237.4598967324826</v>
      </c>
      <c r="CE175" s="62">
        <f t="shared" si="148"/>
        <v>218.74305466112406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205.33000726169792</v>
      </c>
      <c r="T176" s="62">
        <f t="shared" si="142"/>
        <v>307.23455947678775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5.6161297834478324E-14</v>
      </c>
      <c r="AK176" s="14">
        <f t="shared" si="164"/>
        <v>9.02307812553123E-13</v>
      </c>
      <c r="AL176" s="22">
        <f t="shared" si="165"/>
        <v>1.6693337005917391E-12</v>
      </c>
      <c r="AM176" s="62">
        <f t="shared" si="113"/>
        <v>293.33333333333496</v>
      </c>
      <c r="AN176" s="62">
        <f ca="1">AVERAGE(OFFSET($AM$3,0,0,'Données projet'!$E$10+1,1))-AVERAGE(OFFSET($H$3,0,0,'Données projet'!$E$10+1,1))</f>
        <v>491.47342911047105</v>
      </c>
      <c r="AO176" s="62">
        <f t="shared" si="144"/>
        <v>58.734453933891757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-9.0949470177292824E-13</v>
      </c>
      <c r="BE176" s="14">
        <f>BD176*VLOOKUP('Données projet'!$B$11,Paramètres!$A$1:$I$89,3,0)*VLOOKUP('Données projet'!$B$11,Paramètres!$A$1:$I$89,5,0)</f>
        <v>-7.6615833677351478E-13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278.21934231434597</v>
      </c>
      <c r="BJ176" s="62">
        <f t="shared" si="146"/>
        <v>143.57726487417773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3.4106051316484809E-13</v>
      </c>
      <c r="BZ176" s="14">
        <f>BY176*VLOOKUP('Données projet'!$B$12,Paramètres!$A$1:$I$89,3,0)*VLOOKUP('Données projet'!$B$12,Paramètres!$A$1:$I$89,5,0)</f>
        <v>2.7134774427395314E-13</v>
      </c>
      <c r="CA176" s="14">
        <f t="shared" si="170"/>
        <v>3.6292411711343559E-12</v>
      </c>
      <c r="CB176" s="22">
        <f t="shared" si="171"/>
        <v>6.7935256943361388E-12</v>
      </c>
      <c r="CC176" s="62">
        <f t="shared" si="119"/>
        <v>293.33333333334014</v>
      </c>
      <c r="CD176" s="62">
        <f ca="1">AVERAGE(OFFSET($CC$3,0,0,'Données projet'!$E$12+1,1))-AVERAGE(OFFSET($H$3,0,0,'Données projet'!$E$12+1,1))</f>
        <v>237.4598967324826</v>
      </c>
      <c r="CE176" s="62">
        <f t="shared" si="148"/>
        <v>218.74305466112406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205.33000726169792</v>
      </c>
      <c r="T177" s="62">
        <f t="shared" si="142"/>
        <v>307.23455947678775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5.6161297834478324E-14</v>
      </c>
      <c r="AK177" s="14">
        <f t="shared" si="164"/>
        <v>9.02307812553123E-13</v>
      </c>
      <c r="AL177" s="22">
        <f t="shared" si="165"/>
        <v>1.6693337005917391E-12</v>
      </c>
      <c r="AM177" s="62">
        <f t="shared" si="113"/>
        <v>293.33333333333496</v>
      </c>
      <c r="AN177" s="62">
        <f ca="1">AVERAGE(OFFSET($AM$3,0,0,'Données projet'!$E$10+1,1))-AVERAGE(OFFSET($H$3,0,0,'Données projet'!$E$10+1,1))</f>
        <v>491.47342911047105</v>
      </c>
      <c r="AO177" s="62">
        <f t="shared" si="144"/>
        <v>58.734453933891757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-9.0949470177292824E-13</v>
      </c>
      <c r="BE177" s="14">
        <f>BD177*VLOOKUP('Données projet'!$B$11,Paramètres!$A$1:$I$89,3,0)*VLOOKUP('Données projet'!$B$11,Paramètres!$A$1:$I$89,5,0)</f>
        <v>-7.6615833677351478E-13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278.21934231434597</v>
      </c>
      <c r="BJ177" s="62">
        <f t="shared" si="146"/>
        <v>143.57726487417773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3.4106051316484809E-13</v>
      </c>
      <c r="BZ177" s="14">
        <f>BY177*VLOOKUP('Données projet'!$B$12,Paramètres!$A$1:$I$89,3,0)*VLOOKUP('Données projet'!$B$12,Paramètres!$A$1:$I$89,5,0)</f>
        <v>2.7134774427395314E-13</v>
      </c>
      <c r="CA177" s="14">
        <f t="shared" si="170"/>
        <v>3.6292411711343559E-12</v>
      </c>
      <c r="CB177" s="22">
        <f t="shared" si="171"/>
        <v>6.7935256943361388E-12</v>
      </c>
      <c r="CC177" s="62">
        <f t="shared" si="119"/>
        <v>293.33333333334014</v>
      </c>
      <c r="CD177" s="62">
        <f ca="1">AVERAGE(OFFSET($CC$3,0,0,'Données projet'!$E$12+1,1))-AVERAGE(OFFSET($H$3,0,0,'Données projet'!$E$12+1,1))</f>
        <v>237.4598967324826</v>
      </c>
      <c r="CE177" s="62">
        <f t="shared" si="148"/>
        <v>218.74305466112406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205.33000726169792</v>
      </c>
      <c r="T178" s="62">
        <f t="shared" si="142"/>
        <v>307.23455947678775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5.6161297834478324E-14</v>
      </c>
      <c r="AK178" s="14">
        <f t="shared" si="164"/>
        <v>9.02307812553123E-13</v>
      </c>
      <c r="AL178" s="22">
        <f t="shared" si="165"/>
        <v>1.6693337005917391E-12</v>
      </c>
      <c r="AM178" s="62">
        <f t="shared" si="113"/>
        <v>293.33333333333496</v>
      </c>
      <c r="AN178" s="62">
        <f ca="1">AVERAGE(OFFSET($AM$3,0,0,'Données projet'!$E$10+1,1))-AVERAGE(OFFSET($H$3,0,0,'Données projet'!$E$10+1,1))</f>
        <v>491.47342911047105</v>
      </c>
      <c r="AO178" s="62">
        <f t="shared" si="144"/>
        <v>58.734453933891757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-9.0949470177292824E-13</v>
      </c>
      <c r="BE178" s="14">
        <f>BD178*VLOOKUP('Données projet'!$B$11,Paramètres!$A$1:$I$89,3,0)*VLOOKUP('Données projet'!$B$11,Paramètres!$A$1:$I$89,5,0)</f>
        <v>-7.6615833677351478E-13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278.21934231434597</v>
      </c>
      <c r="BJ178" s="62">
        <f t="shared" si="146"/>
        <v>143.57726487417773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3.4106051316484809E-13</v>
      </c>
      <c r="BZ178" s="14">
        <f>BY178*VLOOKUP('Données projet'!$B$12,Paramètres!$A$1:$I$89,3,0)*VLOOKUP('Données projet'!$B$12,Paramètres!$A$1:$I$89,5,0)</f>
        <v>2.7134774427395314E-13</v>
      </c>
      <c r="CA178" s="14">
        <f t="shared" si="170"/>
        <v>3.6292411711343559E-12</v>
      </c>
      <c r="CB178" s="22">
        <f t="shared" si="171"/>
        <v>6.7935256943361388E-12</v>
      </c>
      <c r="CC178" s="62">
        <f t="shared" si="119"/>
        <v>293.33333333334014</v>
      </c>
      <c r="CD178" s="62">
        <f ca="1">AVERAGE(OFFSET($CC$3,0,0,'Données projet'!$E$12+1,1))-AVERAGE(OFFSET($H$3,0,0,'Données projet'!$E$12+1,1))</f>
        <v>237.4598967324826</v>
      </c>
      <c r="CE178" s="62">
        <f t="shared" si="148"/>
        <v>218.74305466112406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205.33000726169792</v>
      </c>
      <c r="T179" s="62">
        <f t="shared" si="142"/>
        <v>307.23455947678775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5.6161297834478324E-14</v>
      </c>
      <c r="AK179" s="14">
        <f t="shared" si="164"/>
        <v>9.02307812553123E-13</v>
      </c>
      <c r="AL179" s="22">
        <f t="shared" si="165"/>
        <v>1.6693337005917391E-12</v>
      </c>
      <c r="AM179" s="62">
        <f t="shared" si="113"/>
        <v>293.33333333333496</v>
      </c>
      <c r="AN179" s="62">
        <f ca="1">AVERAGE(OFFSET($AM$3,0,0,'Données projet'!$E$10+1,1))-AVERAGE(OFFSET($H$3,0,0,'Données projet'!$E$10+1,1))</f>
        <v>491.47342911047105</v>
      </c>
      <c r="AO179" s="62">
        <f t="shared" si="144"/>
        <v>58.734453933891757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-9.0949470177292824E-13</v>
      </c>
      <c r="BE179" s="14">
        <f>BD179*VLOOKUP('Données projet'!$B$11,Paramètres!$A$1:$I$89,3,0)*VLOOKUP('Données projet'!$B$11,Paramètres!$A$1:$I$89,5,0)</f>
        <v>-7.6615833677351478E-13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278.21934231434597</v>
      </c>
      <c r="BJ179" s="62">
        <f t="shared" si="146"/>
        <v>143.57726487417773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3.4106051316484809E-13</v>
      </c>
      <c r="BZ179" s="14">
        <f>BY179*VLOOKUP('Données projet'!$B$12,Paramètres!$A$1:$I$89,3,0)*VLOOKUP('Données projet'!$B$12,Paramètres!$A$1:$I$89,5,0)</f>
        <v>2.7134774427395314E-13</v>
      </c>
      <c r="CA179" s="14">
        <f t="shared" si="170"/>
        <v>3.6292411711343559E-12</v>
      </c>
      <c r="CB179" s="22">
        <f t="shared" si="171"/>
        <v>6.7935256943361388E-12</v>
      </c>
      <c r="CC179" s="62">
        <f t="shared" si="119"/>
        <v>293.33333333334014</v>
      </c>
      <c r="CD179" s="62">
        <f ca="1">AVERAGE(OFFSET($CC$3,0,0,'Données projet'!$E$12+1,1))-AVERAGE(OFFSET($H$3,0,0,'Données projet'!$E$12+1,1))</f>
        <v>237.4598967324826</v>
      </c>
      <c r="CE179" s="62">
        <f t="shared" si="148"/>
        <v>218.74305466112406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205.33000726169792</v>
      </c>
      <c r="T180" s="62">
        <f t="shared" si="142"/>
        <v>307.23455947678775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5.6161297834478324E-14</v>
      </c>
      <c r="AK180" s="14">
        <f t="shared" si="164"/>
        <v>9.02307812553123E-13</v>
      </c>
      <c r="AL180" s="22">
        <f t="shared" si="165"/>
        <v>1.6693337005917391E-12</v>
      </c>
      <c r="AM180" s="62">
        <f t="shared" si="113"/>
        <v>293.33333333333496</v>
      </c>
      <c r="AN180" s="62">
        <f ca="1">AVERAGE(OFFSET($AM$3,0,0,'Données projet'!$E$10+1,1))-AVERAGE(OFFSET($H$3,0,0,'Données projet'!$E$10+1,1))</f>
        <v>491.47342911047105</v>
      </c>
      <c r="AO180" s="62">
        <f t="shared" si="144"/>
        <v>58.734453933891757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-9.0949470177292824E-13</v>
      </c>
      <c r="BE180" s="14">
        <f>BD180*VLOOKUP('Données projet'!$B$11,Paramètres!$A$1:$I$89,3,0)*VLOOKUP('Données projet'!$B$11,Paramètres!$A$1:$I$89,5,0)</f>
        <v>-7.6615833677351478E-13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278.21934231434597</v>
      </c>
      <c r="BJ180" s="62">
        <f t="shared" si="146"/>
        <v>143.57726487417773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3.4106051316484809E-13</v>
      </c>
      <c r="BZ180" s="14">
        <f>BY180*VLOOKUP('Données projet'!$B$12,Paramètres!$A$1:$I$89,3,0)*VLOOKUP('Données projet'!$B$12,Paramètres!$A$1:$I$89,5,0)</f>
        <v>2.7134774427395314E-13</v>
      </c>
      <c r="CA180" s="14">
        <f t="shared" si="170"/>
        <v>3.6292411711343559E-12</v>
      </c>
      <c r="CB180" s="22">
        <f t="shared" si="171"/>
        <v>6.7935256943361388E-12</v>
      </c>
      <c r="CC180" s="62">
        <f t="shared" si="119"/>
        <v>293.33333333334014</v>
      </c>
      <c r="CD180" s="62">
        <f ca="1">AVERAGE(OFFSET($CC$3,0,0,'Données projet'!$E$12+1,1))-AVERAGE(OFFSET($H$3,0,0,'Données projet'!$E$12+1,1))</f>
        <v>237.4598967324826</v>
      </c>
      <c r="CE180" s="62">
        <f t="shared" si="148"/>
        <v>218.74305466112406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205.33000726169792</v>
      </c>
      <c r="T181" s="62">
        <f t="shared" si="142"/>
        <v>307.23455947678775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5.6161297834478324E-14</v>
      </c>
      <c r="AK181" s="14">
        <f t="shared" si="164"/>
        <v>9.02307812553123E-13</v>
      </c>
      <c r="AL181" s="22">
        <f t="shared" si="165"/>
        <v>1.6693337005917391E-12</v>
      </c>
      <c r="AM181" s="62">
        <f t="shared" si="113"/>
        <v>293.33333333333496</v>
      </c>
      <c r="AN181" s="62">
        <f ca="1">AVERAGE(OFFSET($AM$3,0,0,'Données projet'!$E$10+1,1))-AVERAGE(OFFSET($H$3,0,0,'Données projet'!$E$10+1,1))</f>
        <v>491.47342911047105</v>
      </c>
      <c r="AO181" s="62">
        <f t="shared" si="144"/>
        <v>58.734453933891757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-9.0949470177292824E-13</v>
      </c>
      <c r="BE181" s="14">
        <f>BD181*VLOOKUP('Données projet'!$B$11,Paramètres!$A$1:$I$89,3,0)*VLOOKUP('Données projet'!$B$11,Paramètres!$A$1:$I$89,5,0)</f>
        <v>-7.6615833677351478E-13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278.21934231434597</v>
      </c>
      <c r="BJ181" s="62">
        <f t="shared" si="146"/>
        <v>143.57726487417773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3.4106051316484809E-13</v>
      </c>
      <c r="BZ181" s="14">
        <f>BY181*VLOOKUP('Données projet'!$B$12,Paramètres!$A$1:$I$89,3,0)*VLOOKUP('Données projet'!$B$12,Paramètres!$A$1:$I$89,5,0)</f>
        <v>2.7134774427395314E-13</v>
      </c>
      <c r="CA181" s="14">
        <f t="shared" si="170"/>
        <v>3.6292411711343559E-12</v>
      </c>
      <c r="CB181" s="22">
        <f t="shared" si="171"/>
        <v>6.7935256943361388E-12</v>
      </c>
      <c r="CC181" s="62">
        <f t="shared" si="119"/>
        <v>293.33333333334014</v>
      </c>
      <c r="CD181" s="62">
        <f ca="1">AVERAGE(OFFSET($CC$3,0,0,'Données projet'!$E$12+1,1))-AVERAGE(OFFSET($H$3,0,0,'Données projet'!$E$12+1,1))</f>
        <v>237.4598967324826</v>
      </c>
      <c r="CE181" s="62">
        <f t="shared" si="148"/>
        <v>218.74305466112406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205.33000726169792</v>
      </c>
      <c r="T182" s="62">
        <f t="shared" si="142"/>
        <v>307.23455947678775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5.6161297834478324E-14</v>
      </c>
      <c r="AK182" s="14">
        <f t="shared" si="164"/>
        <v>9.02307812553123E-13</v>
      </c>
      <c r="AL182" s="22">
        <f t="shared" si="165"/>
        <v>1.6693337005917391E-12</v>
      </c>
      <c r="AM182" s="62">
        <f t="shared" si="113"/>
        <v>293.33333333333496</v>
      </c>
      <c r="AN182" s="62">
        <f ca="1">AVERAGE(OFFSET($AM$3,0,0,'Données projet'!$E$10+1,1))-AVERAGE(OFFSET($H$3,0,0,'Données projet'!$E$10+1,1))</f>
        <v>491.47342911047105</v>
      </c>
      <c r="AO182" s="62">
        <f t="shared" si="144"/>
        <v>58.734453933891757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-9.0949470177292824E-13</v>
      </c>
      <c r="BE182" s="14">
        <f>BD182*VLOOKUP('Données projet'!$B$11,Paramètres!$A$1:$I$89,3,0)*VLOOKUP('Données projet'!$B$11,Paramètres!$A$1:$I$89,5,0)</f>
        <v>-7.6615833677351478E-13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278.21934231434597</v>
      </c>
      <c r="BJ182" s="62">
        <f t="shared" si="146"/>
        <v>143.57726487417773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3.4106051316484809E-13</v>
      </c>
      <c r="BZ182" s="14">
        <f>BY182*VLOOKUP('Données projet'!$B$12,Paramètres!$A$1:$I$89,3,0)*VLOOKUP('Données projet'!$B$12,Paramètres!$A$1:$I$89,5,0)</f>
        <v>2.7134774427395314E-13</v>
      </c>
      <c r="CA182" s="14">
        <f t="shared" si="170"/>
        <v>3.6292411711343559E-12</v>
      </c>
      <c r="CB182" s="22">
        <f t="shared" si="171"/>
        <v>6.7935256943361388E-12</v>
      </c>
      <c r="CC182" s="62">
        <f t="shared" si="119"/>
        <v>293.33333333334014</v>
      </c>
      <c r="CD182" s="62">
        <f ca="1">AVERAGE(OFFSET($CC$3,0,0,'Données projet'!$E$12+1,1))-AVERAGE(OFFSET($H$3,0,0,'Données projet'!$E$12+1,1))</f>
        <v>237.4598967324826</v>
      </c>
      <c r="CE182" s="62">
        <f t="shared" si="148"/>
        <v>218.74305466112406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205.33000726169792</v>
      </c>
      <c r="T183" s="62">
        <f t="shared" si="142"/>
        <v>307.23455947678775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5.6161297834478324E-14</v>
      </c>
      <c r="AK183" s="14">
        <f t="shared" si="164"/>
        <v>9.02307812553123E-13</v>
      </c>
      <c r="AL183" s="22">
        <f t="shared" si="165"/>
        <v>1.6693337005917391E-12</v>
      </c>
      <c r="AM183" s="62">
        <f t="shared" si="113"/>
        <v>293.33333333333496</v>
      </c>
      <c r="AN183" s="62">
        <f ca="1">AVERAGE(OFFSET($AM$3,0,0,'Données projet'!$E$10+1,1))-AVERAGE(OFFSET($H$3,0,0,'Données projet'!$E$10+1,1))</f>
        <v>491.47342911047105</v>
      </c>
      <c r="AO183" s="62">
        <f t="shared" si="144"/>
        <v>58.734453933891757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-9.0949470177292824E-13</v>
      </c>
      <c r="BE183" s="14">
        <f>BD183*VLOOKUP('Données projet'!$B$11,Paramètres!$A$1:$I$89,3,0)*VLOOKUP('Données projet'!$B$11,Paramètres!$A$1:$I$89,5,0)</f>
        <v>-7.6615833677351478E-13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278.21934231434597</v>
      </c>
      <c r="BJ183" s="62">
        <f t="shared" si="146"/>
        <v>143.57726487417773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3.4106051316484809E-13</v>
      </c>
      <c r="BZ183" s="14">
        <f>BY183*VLOOKUP('Données projet'!$B$12,Paramètres!$A$1:$I$89,3,0)*VLOOKUP('Données projet'!$B$12,Paramètres!$A$1:$I$89,5,0)</f>
        <v>2.7134774427395314E-13</v>
      </c>
      <c r="CA183" s="14">
        <f t="shared" si="170"/>
        <v>3.6292411711343559E-12</v>
      </c>
      <c r="CB183" s="22">
        <f t="shared" si="171"/>
        <v>6.7935256943361388E-12</v>
      </c>
      <c r="CC183" s="62">
        <f t="shared" si="119"/>
        <v>293.33333333334014</v>
      </c>
      <c r="CD183" s="62">
        <f ca="1">AVERAGE(OFFSET($CC$3,0,0,'Données projet'!$E$12+1,1))-AVERAGE(OFFSET($H$3,0,0,'Données projet'!$E$12+1,1))</f>
        <v>237.4598967324826</v>
      </c>
      <c r="CE183" s="62">
        <f t="shared" si="148"/>
        <v>218.74305466112406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205.33000726169792</v>
      </c>
      <c r="T184" s="62">
        <f t="shared" si="142"/>
        <v>307.23455947678775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5.6161297834478324E-14</v>
      </c>
      <c r="AK184" s="14">
        <f t="shared" si="164"/>
        <v>9.02307812553123E-13</v>
      </c>
      <c r="AL184" s="22">
        <f t="shared" si="165"/>
        <v>1.6693337005917391E-12</v>
      </c>
      <c r="AM184" s="62">
        <f t="shared" si="113"/>
        <v>293.33333333333496</v>
      </c>
      <c r="AN184" s="62">
        <f ca="1">AVERAGE(OFFSET($AM$3,0,0,'Données projet'!$E$10+1,1))-AVERAGE(OFFSET($H$3,0,0,'Données projet'!$E$10+1,1))</f>
        <v>491.47342911047105</v>
      </c>
      <c r="AO184" s="62">
        <f t="shared" si="144"/>
        <v>58.734453933891757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-9.0949470177292824E-13</v>
      </c>
      <c r="BE184" s="14">
        <f>BD184*VLOOKUP('Données projet'!$B$11,Paramètres!$A$1:$I$89,3,0)*VLOOKUP('Données projet'!$B$11,Paramètres!$A$1:$I$89,5,0)</f>
        <v>-7.6615833677351478E-13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278.21934231434597</v>
      </c>
      <c r="BJ184" s="62">
        <f t="shared" si="146"/>
        <v>143.57726487417773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3.4106051316484809E-13</v>
      </c>
      <c r="BZ184" s="14">
        <f>BY184*VLOOKUP('Données projet'!$B$12,Paramètres!$A$1:$I$89,3,0)*VLOOKUP('Données projet'!$B$12,Paramètres!$A$1:$I$89,5,0)</f>
        <v>2.7134774427395314E-13</v>
      </c>
      <c r="CA184" s="14">
        <f t="shared" si="170"/>
        <v>3.6292411711343559E-12</v>
      </c>
      <c r="CB184" s="22">
        <f t="shared" si="171"/>
        <v>6.7935256943361388E-12</v>
      </c>
      <c r="CC184" s="62">
        <f t="shared" si="119"/>
        <v>293.33333333334014</v>
      </c>
      <c r="CD184" s="62">
        <f ca="1">AVERAGE(OFFSET($CC$3,0,0,'Données projet'!$E$12+1,1))-AVERAGE(OFFSET($H$3,0,0,'Données projet'!$E$12+1,1))</f>
        <v>237.4598967324826</v>
      </c>
      <c r="CE184" s="62">
        <f t="shared" si="148"/>
        <v>218.74305466112406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205.33000726169792</v>
      </c>
      <c r="T185" s="62">
        <f t="shared" si="142"/>
        <v>307.23455947678775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5.6161297834478324E-14</v>
      </c>
      <c r="AK185" s="14">
        <f t="shared" si="164"/>
        <v>9.02307812553123E-13</v>
      </c>
      <c r="AL185" s="22">
        <f t="shared" si="165"/>
        <v>1.6693337005917391E-12</v>
      </c>
      <c r="AM185" s="62">
        <f t="shared" si="113"/>
        <v>293.33333333333496</v>
      </c>
      <c r="AN185" s="62">
        <f ca="1">AVERAGE(OFFSET($AM$3,0,0,'Données projet'!$E$10+1,1))-AVERAGE(OFFSET($H$3,0,0,'Données projet'!$E$10+1,1))</f>
        <v>491.47342911047105</v>
      </c>
      <c r="AO185" s="62">
        <f t="shared" si="144"/>
        <v>58.734453933891757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-9.0949470177292824E-13</v>
      </c>
      <c r="BE185" s="14">
        <f>BD185*VLOOKUP('Données projet'!$B$11,Paramètres!$A$1:$I$89,3,0)*VLOOKUP('Données projet'!$B$11,Paramètres!$A$1:$I$89,5,0)</f>
        <v>-7.6615833677351478E-13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278.21934231434597</v>
      </c>
      <c r="BJ185" s="62">
        <f t="shared" si="146"/>
        <v>143.57726487417773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3.4106051316484809E-13</v>
      </c>
      <c r="BZ185" s="14">
        <f>BY185*VLOOKUP('Données projet'!$B$12,Paramètres!$A$1:$I$89,3,0)*VLOOKUP('Données projet'!$B$12,Paramètres!$A$1:$I$89,5,0)</f>
        <v>2.7134774427395314E-13</v>
      </c>
      <c r="CA185" s="14">
        <f t="shared" si="170"/>
        <v>3.6292411711343559E-12</v>
      </c>
      <c r="CB185" s="22">
        <f t="shared" si="171"/>
        <v>6.7935256943361388E-12</v>
      </c>
      <c r="CC185" s="62">
        <f t="shared" si="119"/>
        <v>293.33333333334014</v>
      </c>
      <c r="CD185" s="62">
        <f ca="1">AVERAGE(OFFSET($CC$3,0,0,'Données projet'!$E$12+1,1))-AVERAGE(OFFSET($H$3,0,0,'Données projet'!$E$12+1,1))</f>
        <v>237.4598967324826</v>
      </c>
      <c r="CE185" s="62">
        <f t="shared" si="148"/>
        <v>218.74305466112406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205.33000726169792</v>
      </c>
      <c r="T186" s="62">
        <f t="shared" si="142"/>
        <v>307.23455947678775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5.6161297834478324E-14</v>
      </c>
      <c r="AK186" s="14">
        <f t="shared" si="164"/>
        <v>9.02307812553123E-13</v>
      </c>
      <c r="AL186" s="22">
        <f t="shared" si="165"/>
        <v>1.6693337005917391E-12</v>
      </c>
      <c r="AM186" s="62">
        <f t="shared" si="113"/>
        <v>293.33333333333496</v>
      </c>
      <c r="AN186" s="62">
        <f ca="1">AVERAGE(OFFSET($AM$3,0,0,'Données projet'!$E$10+1,1))-AVERAGE(OFFSET($H$3,0,0,'Données projet'!$E$10+1,1))</f>
        <v>491.47342911047105</v>
      </c>
      <c r="AO186" s="62">
        <f t="shared" si="144"/>
        <v>58.734453933891757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-9.0949470177292824E-13</v>
      </c>
      <c r="BE186" s="14">
        <f>BD186*VLOOKUP('Données projet'!$B$11,Paramètres!$A$1:$I$89,3,0)*VLOOKUP('Données projet'!$B$11,Paramètres!$A$1:$I$89,5,0)</f>
        <v>-7.6615833677351478E-13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278.21934231434597</v>
      </c>
      <c r="BJ186" s="62">
        <f t="shared" si="146"/>
        <v>143.57726487417773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3.4106051316484809E-13</v>
      </c>
      <c r="BZ186" s="14">
        <f>BY186*VLOOKUP('Données projet'!$B$12,Paramètres!$A$1:$I$89,3,0)*VLOOKUP('Données projet'!$B$12,Paramètres!$A$1:$I$89,5,0)</f>
        <v>2.7134774427395314E-13</v>
      </c>
      <c r="CA186" s="14">
        <f t="shared" si="170"/>
        <v>3.6292411711343559E-12</v>
      </c>
      <c r="CB186" s="22">
        <f t="shared" si="171"/>
        <v>6.7935256943361388E-12</v>
      </c>
      <c r="CC186" s="62">
        <f t="shared" si="119"/>
        <v>293.33333333334014</v>
      </c>
      <c r="CD186" s="62">
        <f ca="1">AVERAGE(OFFSET($CC$3,0,0,'Données projet'!$E$12+1,1))-AVERAGE(OFFSET($H$3,0,0,'Données projet'!$E$12+1,1))</f>
        <v>237.4598967324826</v>
      </c>
      <c r="CE186" s="62">
        <f t="shared" si="148"/>
        <v>218.74305466112406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205.33000726169792</v>
      </c>
      <c r="T187" s="62">
        <f t="shared" si="142"/>
        <v>307.23455947678775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5.6161297834478324E-14</v>
      </c>
      <c r="AK187" s="14">
        <f t="shared" si="164"/>
        <v>9.02307812553123E-13</v>
      </c>
      <c r="AL187" s="22">
        <f t="shared" si="165"/>
        <v>1.6693337005917391E-12</v>
      </c>
      <c r="AM187" s="62">
        <f t="shared" si="113"/>
        <v>293.33333333333496</v>
      </c>
      <c r="AN187" s="62">
        <f ca="1">AVERAGE(OFFSET($AM$3,0,0,'Données projet'!$E$10+1,1))-AVERAGE(OFFSET($H$3,0,0,'Données projet'!$E$10+1,1))</f>
        <v>491.47342911047105</v>
      </c>
      <c r="AO187" s="62">
        <f t="shared" si="144"/>
        <v>58.734453933891757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-9.0949470177292824E-13</v>
      </c>
      <c r="BE187" s="14">
        <f>BD187*VLOOKUP('Données projet'!$B$11,Paramètres!$A$1:$I$89,3,0)*VLOOKUP('Données projet'!$B$11,Paramètres!$A$1:$I$89,5,0)</f>
        <v>-7.6615833677351478E-13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278.21934231434597</v>
      </c>
      <c r="BJ187" s="62">
        <f t="shared" si="146"/>
        <v>143.57726487417773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3.4106051316484809E-13</v>
      </c>
      <c r="BZ187" s="14">
        <f>BY187*VLOOKUP('Données projet'!$B$12,Paramètres!$A$1:$I$89,3,0)*VLOOKUP('Données projet'!$B$12,Paramètres!$A$1:$I$89,5,0)</f>
        <v>2.7134774427395314E-13</v>
      </c>
      <c r="CA187" s="14">
        <f t="shared" si="170"/>
        <v>3.6292411711343559E-12</v>
      </c>
      <c r="CB187" s="22">
        <f t="shared" si="171"/>
        <v>6.7935256943361388E-12</v>
      </c>
      <c r="CC187" s="62">
        <f t="shared" si="119"/>
        <v>293.33333333334014</v>
      </c>
      <c r="CD187" s="62">
        <f ca="1">AVERAGE(OFFSET($CC$3,0,0,'Données projet'!$E$12+1,1))-AVERAGE(OFFSET($H$3,0,0,'Données projet'!$E$12+1,1))</f>
        <v>237.4598967324826</v>
      </c>
      <c r="CE187" s="62">
        <f t="shared" si="148"/>
        <v>218.74305466112406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205.33000726169792</v>
      </c>
      <c r="T188" s="62">
        <f t="shared" si="142"/>
        <v>307.23455947678775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5.6161297834478324E-14</v>
      </c>
      <c r="AK188" s="14">
        <f t="shared" si="164"/>
        <v>9.02307812553123E-13</v>
      </c>
      <c r="AL188" s="22">
        <f t="shared" si="165"/>
        <v>1.6693337005917391E-12</v>
      </c>
      <c r="AM188" s="62">
        <f t="shared" si="113"/>
        <v>293.33333333333496</v>
      </c>
      <c r="AN188" s="62">
        <f ca="1">AVERAGE(OFFSET($AM$3,0,0,'Données projet'!$E$10+1,1))-AVERAGE(OFFSET($H$3,0,0,'Données projet'!$E$10+1,1))</f>
        <v>491.47342911047105</v>
      </c>
      <c r="AO188" s="62">
        <f t="shared" si="144"/>
        <v>58.734453933891757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-9.0949470177292824E-13</v>
      </c>
      <c r="BE188" s="14">
        <f>BD188*VLOOKUP('Données projet'!$B$11,Paramètres!$A$1:$I$89,3,0)*VLOOKUP('Données projet'!$B$11,Paramètres!$A$1:$I$89,5,0)</f>
        <v>-7.6615833677351478E-13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278.21934231434597</v>
      </c>
      <c r="BJ188" s="62">
        <f t="shared" si="146"/>
        <v>143.57726487417773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3.4106051316484809E-13</v>
      </c>
      <c r="BZ188" s="14">
        <f>BY188*VLOOKUP('Données projet'!$B$12,Paramètres!$A$1:$I$89,3,0)*VLOOKUP('Données projet'!$B$12,Paramètres!$A$1:$I$89,5,0)</f>
        <v>2.7134774427395314E-13</v>
      </c>
      <c r="CA188" s="14">
        <f t="shared" si="170"/>
        <v>3.6292411711343559E-12</v>
      </c>
      <c r="CB188" s="22">
        <f t="shared" si="171"/>
        <v>6.7935256943361388E-12</v>
      </c>
      <c r="CC188" s="62">
        <f t="shared" si="119"/>
        <v>293.33333333334014</v>
      </c>
      <c r="CD188" s="62">
        <f ca="1">AVERAGE(OFFSET($CC$3,0,0,'Données projet'!$E$12+1,1))-AVERAGE(OFFSET($H$3,0,0,'Données projet'!$E$12+1,1))</f>
        <v>237.4598967324826</v>
      </c>
      <c r="CE188" s="62">
        <f t="shared" si="148"/>
        <v>218.74305466112406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205.33000726169792</v>
      </c>
      <c r="T189" s="62">
        <f t="shared" si="142"/>
        <v>307.23455947678775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5.6161297834478324E-14</v>
      </c>
      <c r="AK189" s="14">
        <f t="shared" si="164"/>
        <v>9.02307812553123E-13</v>
      </c>
      <c r="AL189" s="22">
        <f t="shared" si="165"/>
        <v>1.6693337005917391E-12</v>
      </c>
      <c r="AM189" s="62">
        <f t="shared" si="113"/>
        <v>293.33333333333496</v>
      </c>
      <c r="AN189" s="62">
        <f ca="1">AVERAGE(OFFSET($AM$3,0,0,'Données projet'!$E$10+1,1))-AVERAGE(OFFSET($H$3,0,0,'Données projet'!$E$10+1,1))</f>
        <v>491.47342911047105</v>
      </c>
      <c r="AO189" s="62">
        <f t="shared" si="144"/>
        <v>58.734453933891757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-9.0949470177292824E-13</v>
      </c>
      <c r="BE189" s="14">
        <f>BD189*VLOOKUP('Données projet'!$B$11,Paramètres!$A$1:$I$89,3,0)*VLOOKUP('Données projet'!$B$11,Paramètres!$A$1:$I$89,5,0)</f>
        <v>-7.6615833677351478E-13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278.21934231434597</v>
      </c>
      <c r="BJ189" s="62">
        <f t="shared" si="146"/>
        <v>143.57726487417773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3.4106051316484809E-13</v>
      </c>
      <c r="BZ189" s="14">
        <f>BY189*VLOOKUP('Données projet'!$B$12,Paramètres!$A$1:$I$89,3,0)*VLOOKUP('Données projet'!$B$12,Paramètres!$A$1:$I$89,5,0)</f>
        <v>2.7134774427395314E-13</v>
      </c>
      <c r="CA189" s="14">
        <f t="shared" si="170"/>
        <v>3.6292411711343559E-12</v>
      </c>
      <c r="CB189" s="22">
        <f t="shared" si="171"/>
        <v>6.7935256943361388E-12</v>
      </c>
      <c r="CC189" s="62">
        <f t="shared" si="119"/>
        <v>293.33333333334014</v>
      </c>
      <c r="CD189" s="62">
        <f ca="1">AVERAGE(OFFSET($CC$3,0,0,'Données projet'!$E$12+1,1))-AVERAGE(OFFSET($H$3,0,0,'Données projet'!$E$12+1,1))</f>
        <v>237.4598967324826</v>
      </c>
      <c r="CE189" s="62">
        <f t="shared" si="148"/>
        <v>218.74305466112406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205.33000726169792</v>
      </c>
      <c r="T190" s="62">
        <f t="shared" si="142"/>
        <v>307.23455947678775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5.6161297834478324E-14</v>
      </c>
      <c r="AK190" s="14">
        <f t="shared" si="164"/>
        <v>9.02307812553123E-13</v>
      </c>
      <c r="AL190" s="22">
        <f t="shared" si="165"/>
        <v>1.6693337005917391E-12</v>
      </c>
      <c r="AM190" s="62">
        <f t="shared" si="113"/>
        <v>293.33333333333496</v>
      </c>
      <c r="AN190" s="62">
        <f ca="1">AVERAGE(OFFSET($AM$3,0,0,'Données projet'!$E$10+1,1))-AVERAGE(OFFSET($H$3,0,0,'Données projet'!$E$10+1,1))</f>
        <v>491.47342911047105</v>
      </c>
      <c r="AO190" s="62">
        <f t="shared" si="144"/>
        <v>58.734453933891757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-9.0949470177292824E-13</v>
      </c>
      <c r="BE190" s="14">
        <f>BD190*VLOOKUP('Données projet'!$B$11,Paramètres!$A$1:$I$89,3,0)*VLOOKUP('Données projet'!$B$11,Paramètres!$A$1:$I$89,5,0)</f>
        <v>-7.6615833677351478E-13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278.21934231434597</v>
      </c>
      <c r="BJ190" s="62">
        <f t="shared" si="146"/>
        <v>143.57726487417773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3.4106051316484809E-13</v>
      </c>
      <c r="BZ190" s="14">
        <f>BY190*VLOOKUP('Données projet'!$B$12,Paramètres!$A$1:$I$89,3,0)*VLOOKUP('Données projet'!$B$12,Paramètres!$A$1:$I$89,5,0)</f>
        <v>2.7134774427395314E-13</v>
      </c>
      <c r="CA190" s="14">
        <f t="shared" si="170"/>
        <v>3.6292411711343559E-12</v>
      </c>
      <c r="CB190" s="22">
        <f t="shared" si="171"/>
        <v>6.7935256943361388E-12</v>
      </c>
      <c r="CC190" s="62">
        <f t="shared" si="119"/>
        <v>293.33333333334014</v>
      </c>
      <c r="CD190" s="62">
        <f ca="1">AVERAGE(OFFSET($CC$3,0,0,'Données projet'!$E$12+1,1))-AVERAGE(OFFSET($H$3,0,0,'Données projet'!$E$12+1,1))</f>
        <v>237.4598967324826</v>
      </c>
      <c r="CE190" s="62">
        <f t="shared" si="148"/>
        <v>218.74305466112406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205.33000726169792</v>
      </c>
      <c r="T191" s="62">
        <f t="shared" si="142"/>
        <v>307.23455947678775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5.6161297834478324E-14</v>
      </c>
      <c r="AK191" s="14">
        <f t="shared" si="164"/>
        <v>9.02307812553123E-13</v>
      </c>
      <c r="AL191" s="22">
        <f t="shared" si="165"/>
        <v>1.6693337005917391E-12</v>
      </c>
      <c r="AM191" s="62">
        <f t="shared" si="113"/>
        <v>293.33333333333496</v>
      </c>
      <c r="AN191" s="62">
        <f ca="1">AVERAGE(OFFSET($AM$3,0,0,'Données projet'!$E$10+1,1))-AVERAGE(OFFSET($H$3,0,0,'Données projet'!$E$10+1,1))</f>
        <v>491.47342911047105</v>
      </c>
      <c r="AO191" s="62">
        <f t="shared" si="144"/>
        <v>58.734453933891757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-9.0949470177292824E-13</v>
      </c>
      <c r="BE191" s="14">
        <f>BD191*VLOOKUP('Données projet'!$B$11,Paramètres!$A$1:$I$89,3,0)*VLOOKUP('Données projet'!$B$11,Paramètres!$A$1:$I$89,5,0)</f>
        <v>-7.6615833677351478E-13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278.21934231434597</v>
      </c>
      <c r="BJ191" s="62">
        <f t="shared" si="146"/>
        <v>143.57726487417773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3.4106051316484809E-13</v>
      </c>
      <c r="BZ191" s="14">
        <f>BY191*VLOOKUP('Données projet'!$B$12,Paramètres!$A$1:$I$89,3,0)*VLOOKUP('Données projet'!$B$12,Paramètres!$A$1:$I$89,5,0)</f>
        <v>2.7134774427395314E-13</v>
      </c>
      <c r="CA191" s="14">
        <f t="shared" si="170"/>
        <v>3.6292411711343559E-12</v>
      </c>
      <c r="CB191" s="22">
        <f t="shared" si="171"/>
        <v>6.7935256943361388E-12</v>
      </c>
      <c r="CC191" s="62">
        <f t="shared" si="119"/>
        <v>293.33333333334014</v>
      </c>
      <c r="CD191" s="62">
        <f ca="1">AVERAGE(OFFSET($CC$3,0,0,'Données projet'!$E$12+1,1))-AVERAGE(OFFSET($H$3,0,0,'Données projet'!$E$12+1,1))</f>
        <v>237.4598967324826</v>
      </c>
      <c r="CE191" s="62">
        <f t="shared" si="148"/>
        <v>218.74305466112406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205.33000726169792</v>
      </c>
      <c r="T192" s="62">
        <f t="shared" si="142"/>
        <v>307.23455947678775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5.6161297834478324E-14</v>
      </c>
      <c r="AK192" s="14">
        <f t="shared" si="164"/>
        <v>9.02307812553123E-13</v>
      </c>
      <c r="AL192" s="22">
        <f t="shared" si="165"/>
        <v>1.6693337005917391E-12</v>
      </c>
      <c r="AM192" s="62">
        <f t="shared" si="113"/>
        <v>293.33333333333496</v>
      </c>
      <c r="AN192" s="62">
        <f ca="1">AVERAGE(OFFSET($AM$3,0,0,'Données projet'!$E$10+1,1))-AVERAGE(OFFSET($H$3,0,0,'Données projet'!$E$10+1,1))</f>
        <v>491.47342911047105</v>
      </c>
      <c r="AO192" s="62">
        <f t="shared" si="144"/>
        <v>58.734453933891757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-9.0949470177292824E-13</v>
      </c>
      <c r="BE192" s="14">
        <f>BD192*VLOOKUP('Données projet'!$B$11,Paramètres!$A$1:$I$89,3,0)*VLOOKUP('Données projet'!$B$11,Paramètres!$A$1:$I$89,5,0)</f>
        <v>-7.6615833677351478E-13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278.21934231434597</v>
      </c>
      <c r="BJ192" s="62">
        <f t="shared" si="146"/>
        <v>143.57726487417773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3.4106051316484809E-13</v>
      </c>
      <c r="BZ192" s="14">
        <f>BY192*VLOOKUP('Données projet'!$B$12,Paramètres!$A$1:$I$89,3,0)*VLOOKUP('Données projet'!$B$12,Paramètres!$A$1:$I$89,5,0)</f>
        <v>2.7134774427395314E-13</v>
      </c>
      <c r="CA192" s="14">
        <f t="shared" si="170"/>
        <v>3.6292411711343559E-12</v>
      </c>
      <c r="CB192" s="22">
        <f t="shared" si="171"/>
        <v>6.7935256943361388E-12</v>
      </c>
      <c r="CC192" s="62">
        <f t="shared" si="119"/>
        <v>293.33333333334014</v>
      </c>
      <c r="CD192" s="62">
        <f ca="1">AVERAGE(OFFSET($CC$3,0,0,'Données projet'!$E$12+1,1))-AVERAGE(OFFSET($H$3,0,0,'Données projet'!$E$12+1,1))</f>
        <v>237.4598967324826</v>
      </c>
      <c r="CE192" s="62">
        <f t="shared" si="148"/>
        <v>218.74305466112406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205.33000726169792</v>
      </c>
      <c r="T193" s="62">
        <f t="shared" si="142"/>
        <v>307.23455947678775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5.6161297834478324E-14</v>
      </c>
      <c r="AK193" s="14">
        <f t="shared" si="164"/>
        <v>9.02307812553123E-13</v>
      </c>
      <c r="AL193" s="22">
        <f t="shared" si="165"/>
        <v>1.6693337005917391E-12</v>
      </c>
      <c r="AM193" s="62">
        <f t="shared" si="113"/>
        <v>293.33333333333496</v>
      </c>
      <c r="AN193" s="62">
        <f ca="1">AVERAGE(OFFSET($AM$3,0,0,'Données projet'!$E$10+1,1))-AVERAGE(OFFSET($H$3,0,0,'Données projet'!$E$10+1,1))</f>
        <v>491.47342911047105</v>
      </c>
      <c r="AO193" s="62">
        <f t="shared" si="144"/>
        <v>58.734453933891757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-9.0949470177292824E-13</v>
      </c>
      <c r="BE193" s="14">
        <f>BD193*VLOOKUP('Données projet'!$B$11,Paramètres!$A$1:$I$89,3,0)*VLOOKUP('Données projet'!$B$11,Paramètres!$A$1:$I$89,5,0)</f>
        <v>-7.6615833677351478E-13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278.21934231434597</v>
      </c>
      <c r="BJ193" s="62">
        <f t="shared" si="146"/>
        <v>143.57726487417773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3.4106051316484809E-13</v>
      </c>
      <c r="BZ193" s="14">
        <f>BY193*VLOOKUP('Données projet'!$B$12,Paramètres!$A$1:$I$89,3,0)*VLOOKUP('Données projet'!$B$12,Paramètres!$A$1:$I$89,5,0)</f>
        <v>2.7134774427395314E-13</v>
      </c>
      <c r="CA193" s="14">
        <f t="shared" si="170"/>
        <v>3.6292411711343559E-12</v>
      </c>
      <c r="CB193" s="22">
        <f t="shared" si="171"/>
        <v>6.7935256943361388E-12</v>
      </c>
      <c r="CC193" s="62">
        <f t="shared" si="119"/>
        <v>293.33333333334014</v>
      </c>
      <c r="CD193" s="62">
        <f ca="1">AVERAGE(OFFSET($CC$3,0,0,'Données projet'!$E$12+1,1))-AVERAGE(OFFSET($H$3,0,0,'Données projet'!$E$12+1,1))</f>
        <v>237.4598967324826</v>
      </c>
      <c r="CE193" s="62">
        <f t="shared" si="148"/>
        <v>218.74305466112406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205.33000726169792</v>
      </c>
      <c r="T194" s="62">
        <f t="shared" si="142"/>
        <v>307.23455947678775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5.6161297834478324E-14</v>
      </c>
      <c r="AK194" s="14">
        <f t="shared" si="164"/>
        <v>9.02307812553123E-13</v>
      </c>
      <c r="AL194" s="22">
        <f t="shared" si="165"/>
        <v>1.6693337005917391E-12</v>
      </c>
      <c r="AM194" s="62">
        <f t="shared" si="113"/>
        <v>293.33333333333496</v>
      </c>
      <c r="AN194" s="62">
        <f ca="1">AVERAGE(OFFSET($AM$3,0,0,'Données projet'!$E$10+1,1))-AVERAGE(OFFSET($H$3,0,0,'Données projet'!$E$10+1,1))</f>
        <v>491.47342911047105</v>
      </c>
      <c r="AO194" s="62">
        <f t="shared" si="144"/>
        <v>58.734453933891757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-9.0949470177292824E-13</v>
      </c>
      <c r="BE194" s="14">
        <f>BD194*VLOOKUP('Données projet'!$B$11,Paramètres!$A$1:$I$89,3,0)*VLOOKUP('Données projet'!$B$11,Paramètres!$A$1:$I$89,5,0)</f>
        <v>-7.6615833677351478E-13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278.21934231434597</v>
      </c>
      <c r="BJ194" s="62">
        <f t="shared" si="146"/>
        <v>143.57726487417773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3.4106051316484809E-13</v>
      </c>
      <c r="BZ194" s="14">
        <f>BY194*VLOOKUP('Données projet'!$B$12,Paramètres!$A$1:$I$89,3,0)*VLOOKUP('Données projet'!$B$12,Paramètres!$A$1:$I$89,5,0)</f>
        <v>2.7134774427395314E-13</v>
      </c>
      <c r="CA194" s="14">
        <f t="shared" si="170"/>
        <v>3.6292411711343559E-12</v>
      </c>
      <c r="CB194" s="22">
        <f t="shared" si="171"/>
        <v>6.7935256943361388E-12</v>
      </c>
      <c r="CC194" s="62">
        <f t="shared" si="119"/>
        <v>293.33333333334014</v>
      </c>
      <c r="CD194" s="62">
        <f ca="1">AVERAGE(OFFSET($CC$3,0,0,'Données projet'!$E$12+1,1))-AVERAGE(OFFSET($H$3,0,0,'Données projet'!$E$12+1,1))</f>
        <v>237.4598967324826</v>
      </c>
      <c r="CE194" s="62">
        <f t="shared" si="148"/>
        <v>218.74305466112406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205.33000726169792</v>
      </c>
      <c r="T195" s="62">
        <f t="shared" si="142"/>
        <v>307.23455947678775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5.6161297834478324E-14</v>
      </c>
      <c r="AK195" s="14">
        <f t="shared" si="164"/>
        <v>9.02307812553123E-13</v>
      </c>
      <c r="AL195" s="22">
        <f t="shared" si="165"/>
        <v>1.6693337005917391E-12</v>
      </c>
      <c r="AM195" s="62">
        <f t="shared" si="113"/>
        <v>293.33333333333496</v>
      </c>
      <c r="AN195" s="62">
        <f ca="1">AVERAGE(OFFSET($AM$3,0,0,'Données projet'!$E$10+1,1))-AVERAGE(OFFSET($H$3,0,0,'Données projet'!$E$10+1,1))</f>
        <v>491.47342911047105</v>
      </c>
      <c r="AO195" s="62">
        <f t="shared" si="144"/>
        <v>58.734453933891757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-9.0949470177292824E-13</v>
      </c>
      <c r="BE195" s="14">
        <f>BD195*VLOOKUP('Données projet'!$B$11,Paramètres!$A$1:$I$89,3,0)*VLOOKUP('Données projet'!$B$11,Paramètres!$A$1:$I$89,5,0)</f>
        <v>-7.6615833677351478E-13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278.21934231434597</v>
      </c>
      <c r="BJ195" s="62">
        <f t="shared" si="146"/>
        <v>143.57726487417773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3.4106051316484809E-13</v>
      </c>
      <c r="BZ195" s="14">
        <f>BY195*VLOOKUP('Données projet'!$B$12,Paramètres!$A$1:$I$89,3,0)*VLOOKUP('Données projet'!$B$12,Paramètres!$A$1:$I$89,5,0)</f>
        <v>2.7134774427395314E-13</v>
      </c>
      <c r="CA195" s="14">
        <f t="shared" si="170"/>
        <v>3.6292411711343559E-12</v>
      </c>
      <c r="CB195" s="22">
        <f t="shared" si="171"/>
        <v>6.7935256943361388E-12</v>
      </c>
      <c r="CC195" s="62">
        <f t="shared" si="119"/>
        <v>293.33333333334014</v>
      </c>
      <c r="CD195" s="62">
        <f ca="1">AVERAGE(OFFSET($CC$3,0,0,'Données projet'!$E$12+1,1))-AVERAGE(OFFSET($H$3,0,0,'Données projet'!$E$12+1,1))</f>
        <v>237.4598967324826</v>
      </c>
      <c r="CE195" s="62">
        <f t="shared" si="148"/>
        <v>218.74305466112406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205.33000726169792</v>
      </c>
      <c r="T196" s="62">
        <f t="shared" si="142"/>
        <v>307.23455947678775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5.6161297834478324E-14</v>
      </c>
      <c r="AK196" s="14">
        <f t="shared" si="164"/>
        <v>9.02307812553123E-13</v>
      </c>
      <c r="AL196" s="22">
        <f t="shared" si="165"/>
        <v>1.6693337005917391E-12</v>
      </c>
      <c r="AM196" s="62">
        <f t="shared" ref="AM196:AM203" si="193">AL196+(AD196+AE196)*44/12</f>
        <v>293.33333333333496</v>
      </c>
      <c r="AN196" s="62">
        <f ca="1">AVERAGE(OFFSET($AM$3,0,0,'Données projet'!$E$10+1,1))-AVERAGE(OFFSET($H$3,0,0,'Données projet'!$E$10+1,1))</f>
        <v>491.47342911047105</v>
      </c>
      <c r="AO196" s="62">
        <f t="shared" si="144"/>
        <v>58.734453933891757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-9.0949470177292824E-13</v>
      </c>
      <c r="BE196" s="14">
        <f>BD196*VLOOKUP('Données projet'!$B$11,Paramètres!$A$1:$I$89,3,0)*VLOOKUP('Données projet'!$B$11,Paramètres!$A$1:$I$89,5,0)</f>
        <v>-7.6615833677351478E-13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278.21934231434597</v>
      </c>
      <c r="BJ196" s="62">
        <f t="shared" si="146"/>
        <v>143.57726487417773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3.4106051316484809E-13</v>
      </c>
      <c r="BZ196" s="14">
        <f>BY196*VLOOKUP('Données projet'!$B$12,Paramètres!$A$1:$I$89,3,0)*VLOOKUP('Données projet'!$B$12,Paramètres!$A$1:$I$89,5,0)</f>
        <v>2.7134774427395314E-13</v>
      </c>
      <c r="CA196" s="14">
        <f t="shared" si="170"/>
        <v>3.6292411711343559E-12</v>
      </c>
      <c r="CB196" s="22">
        <f t="shared" si="171"/>
        <v>6.7935256943361388E-12</v>
      </c>
      <c r="CC196" s="62">
        <f t="shared" ref="CC196:CC203" si="195">CB196+(BT196+BU196)*44/12</f>
        <v>293.33333333334014</v>
      </c>
      <c r="CD196" s="62">
        <f ca="1">AVERAGE(OFFSET($CC$3,0,0,'Données projet'!$E$12+1,1))-AVERAGE(OFFSET($H$3,0,0,'Données projet'!$E$12+1,1))</f>
        <v>237.4598967324826</v>
      </c>
      <c r="CE196" s="62">
        <f t="shared" si="148"/>
        <v>218.74305466112406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205.33000726169792</v>
      </c>
      <c r="T197" s="62">
        <f t="shared" ref="T197:T203" si="204">$T$3</f>
        <v>307.23455947678775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5.6161297834478324E-14</v>
      </c>
      <c r="AK197" s="14">
        <f t="shared" si="164"/>
        <v>9.02307812553123E-13</v>
      </c>
      <c r="AL197" s="22">
        <f t="shared" si="165"/>
        <v>1.6693337005917391E-12</v>
      </c>
      <c r="AM197" s="62">
        <f t="shared" si="193"/>
        <v>293.33333333333496</v>
      </c>
      <c r="AN197" s="62">
        <f ca="1">AVERAGE(OFFSET($AM$3,0,0,'Données projet'!$E$10+1,1))-AVERAGE(OFFSET($H$3,0,0,'Données projet'!$E$10+1,1))</f>
        <v>491.47342911047105</v>
      </c>
      <c r="AO197" s="62">
        <f t="shared" ref="AO197:AO203" si="205">$AO$3</f>
        <v>58.734453933891757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-9.0949470177292824E-13</v>
      </c>
      <c r="BE197" s="14">
        <f>BD197*VLOOKUP('Données projet'!$B$11,Paramètres!$A$1:$I$89,3,0)*VLOOKUP('Données projet'!$B$11,Paramètres!$A$1:$I$89,5,0)</f>
        <v>-7.6615833677351478E-13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278.21934231434597</v>
      </c>
      <c r="BJ197" s="62">
        <f t="shared" ref="BJ197:BJ203" si="206">$BJ$3</f>
        <v>143.57726487417773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3.4106051316484809E-13</v>
      </c>
      <c r="BZ197" s="14">
        <f>BY197*VLOOKUP('Données projet'!$B$12,Paramètres!$A$1:$I$89,3,0)*VLOOKUP('Données projet'!$B$12,Paramètres!$A$1:$I$89,5,0)</f>
        <v>2.7134774427395314E-13</v>
      </c>
      <c r="CA197" s="14">
        <f t="shared" si="170"/>
        <v>3.6292411711343559E-12</v>
      </c>
      <c r="CB197" s="22">
        <f t="shared" si="171"/>
        <v>6.7935256943361388E-12</v>
      </c>
      <c r="CC197" s="62">
        <f t="shared" si="195"/>
        <v>293.33333333334014</v>
      </c>
      <c r="CD197" s="62">
        <f ca="1">AVERAGE(OFFSET($CC$3,0,0,'Données projet'!$E$12+1,1))-AVERAGE(OFFSET($H$3,0,0,'Données projet'!$E$12+1,1))</f>
        <v>237.4598967324826</v>
      </c>
      <c r="CE197" s="62">
        <f t="shared" ref="CE197:CE203" si="207">$CE$3</f>
        <v>218.74305466112406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205.33000726169792</v>
      </c>
      <c r="T198" s="62">
        <f t="shared" si="204"/>
        <v>307.23455947678775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5.6161297834478324E-14</v>
      </c>
      <c r="AK198" s="14">
        <f t="shared" si="164"/>
        <v>9.02307812553123E-13</v>
      </c>
      <c r="AL198" s="22">
        <f t="shared" si="165"/>
        <v>1.6693337005917391E-12</v>
      </c>
      <c r="AM198" s="62">
        <f t="shared" si="193"/>
        <v>293.33333333333496</v>
      </c>
      <c r="AN198" s="62">
        <f ca="1">AVERAGE(OFFSET($AM$3,0,0,'Données projet'!$E$10+1,1))-AVERAGE(OFFSET($H$3,0,0,'Données projet'!$E$10+1,1))</f>
        <v>491.47342911047105</v>
      </c>
      <c r="AO198" s="62">
        <f t="shared" si="205"/>
        <v>58.734453933891757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-9.0949470177292824E-13</v>
      </c>
      <c r="BE198" s="14">
        <f>BD198*VLOOKUP('Données projet'!$B$11,Paramètres!$A$1:$I$89,3,0)*VLOOKUP('Données projet'!$B$11,Paramètres!$A$1:$I$89,5,0)</f>
        <v>-7.6615833677351478E-13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278.21934231434597</v>
      </c>
      <c r="BJ198" s="62">
        <f t="shared" si="206"/>
        <v>143.57726487417773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3.4106051316484809E-13</v>
      </c>
      <c r="BZ198" s="14">
        <f>BY198*VLOOKUP('Données projet'!$B$12,Paramètres!$A$1:$I$89,3,0)*VLOOKUP('Données projet'!$B$12,Paramètres!$A$1:$I$89,5,0)</f>
        <v>2.7134774427395314E-13</v>
      </c>
      <c r="CA198" s="14">
        <f t="shared" si="170"/>
        <v>3.6292411711343559E-12</v>
      </c>
      <c r="CB198" s="22">
        <f t="shared" si="171"/>
        <v>6.7935256943361388E-12</v>
      </c>
      <c r="CC198" s="62">
        <f t="shared" si="195"/>
        <v>293.33333333334014</v>
      </c>
      <c r="CD198" s="62">
        <f ca="1">AVERAGE(OFFSET($CC$3,0,0,'Données projet'!$E$12+1,1))-AVERAGE(OFFSET($H$3,0,0,'Données projet'!$E$12+1,1))</f>
        <v>237.4598967324826</v>
      </c>
      <c r="CE198" s="62">
        <f t="shared" si="207"/>
        <v>218.74305466112406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205.33000726169792</v>
      </c>
      <c r="T199" s="62">
        <f t="shared" si="204"/>
        <v>307.23455947678775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5.6161297834478324E-14</v>
      </c>
      <c r="AK199" s="14">
        <f t="shared" si="164"/>
        <v>9.02307812553123E-13</v>
      </c>
      <c r="AL199" s="22">
        <f t="shared" si="165"/>
        <v>1.6693337005917391E-12</v>
      </c>
      <c r="AM199" s="62">
        <f t="shared" si="193"/>
        <v>293.33333333333496</v>
      </c>
      <c r="AN199" s="62">
        <f ca="1">AVERAGE(OFFSET($AM$3,0,0,'Données projet'!$E$10+1,1))-AVERAGE(OFFSET($H$3,0,0,'Données projet'!$E$10+1,1))</f>
        <v>491.47342911047105</v>
      </c>
      <c r="AO199" s="62">
        <f t="shared" si="205"/>
        <v>58.734453933891757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-9.0949470177292824E-13</v>
      </c>
      <c r="BE199" s="14">
        <f>BD199*VLOOKUP('Données projet'!$B$11,Paramètres!$A$1:$I$89,3,0)*VLOOKUP('Données projet'!$B$11,Paramètres!$A$1:$I$89,5,0)</f>
        <v>-7.6615833677351478E-13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278.21934231434597</v>
      </c>
      <c r="BJ199" s="62">
        <f t="shared" si="206"/>
        <v>143.57726487417773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3.4106051316484809E-13</v>
      </c>
      <c r="BZ199" s="14">
        <f>BY199*VLOOKUP('Données projet'!$B$12,Paramètres!$A$1:$I$89,3,0)*VLOOKUP('Données projet'!$B$12,Paramètres!$A$1:$I$89,5,0)</f>
        <v>2.7134774427395314E-13</v>
      </c>
      <c r="CA199" s="14">
        <f t="shared" si="170"/>
        <v>3.6292411711343559E-12</v>
      </c>
      <c r="CB199" s="22">
        <f t="shared" si="171"/>
        <v>6.7935256943361388E-12</v>
      </c>
      <c r="CC199" s="62">
        <f t="shared" si="195"/>
        <v>293.33333333334014</v>
      </c>
      <c r="CD199" s="62">
        <f ca="1">AVERAGE(OFFSET($CC$3,0,0,'Données projet'!$E$12+1,1))-AVERAGE(OFFSET($H$3,0,0,'Données projet'!$E$12+1,1))</f>
        <v>237.4598967324826</v>
      </c>
      <c r="CE199" s="62">
        <f t="shared" si="207"/>
        <v>218.74305466112406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205.33000726169792</v>
      </c>
      <c r="T200" s="62">
        <f t="shared" si="204"/>
        <v>307.23455947678775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5.6161297834478324E-14</v>
      </c>
      <c r="AK200" s="14">
        <f t="shared" si="164"/>
        <v>9.02307812553123E-13</v>
      </c>
      <c r="AL200" s="22">
        <f t="shared" si="165"/>
        <v>1.6693337005917391E-12</v>
      </c>
      <c r="AM200" s="62">
        <f t="shared" si="193"/>
        <v>293.33333333333496</v>
      </c>
      <c r="AN200" s="62">
        <f ca="1">AVERAGE(OFFSET($AM$3,0,0,'Données projet'!$E$10+1,1))-AVERAGE(OFFSET($H$3,0,0,'Données projet'!$E$10+1,1))</f>
        <v>491.47342911047105</v>
      </c>
      <c r="AO200" s="62">
        <f t="shared" si="205"/>
        <v>58.734453933891757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-9.0949470177292824E-13</v>
      </c>
      <c r="BE200" s="14">
        <f>BD200*VLOOKUP('Données projet'!$B$11,Paramètres!$A$1:$I$89,3,0)*VLOOKUP('Données projet'!$B$11,Paramètres!$A$1:$I$89,5,0)</f>
        <v>-7.6615833677351478E-13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278.21934231434597</v>
      </c>
      <c r="BJ200" s="62">
        <f t="shared" si="206"/>
        <v>143.57726487417773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3.4106051316484809E-13</v>
      </c>
      <c r="BZ200" s="14">
        <f>BY200*VLOOKUP('Données projet'!$B$12,Paramètres!$A$1:$I$89,3,0)*VLOOKUP('Données projet'!$B$12,Paramètres!$A$1:$I$89,5,0)</f>
        <v>2.7134774427395314E-13</v>
      </c>
      <c r="CA200" s="14">
        <f t="shared" si="170"/>
        <v>3.6292411711343559E-12</v>
      </c>
      <c r="CB200" s="22">
        <f t="shared" si="171"/>
        <v>6.7935256943361388E-12</v>
      </c>
      <c r="CC200" s="62">
        <f t="shared" si="195"/>
        <v>293.33333333334014</v>
      </c>
      <c r="CD200" s="62">
        <f ca="1">AVERAGE(OFFSET($CC$3,0,0,'Données projet'!$E$12+1,1))-AVERAGE(OFFSET($H$3,0,0,'Données projet'!$E$12+1,1))</f>
        <v>237.4598967324826</v>
      </c>
      <c r="CE200" s="62">
        <f t="shared" si="207"/>
        <v>218.74305466112406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205.33000726169792</v>
      </c>
      <c r="T201" s="62">
        <f t="shared" si="204"/>
        <v>307.23455947678775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5.6161297834478324E-14</v>
      </c>
      <c r="AK201" s="14">
        <f t="shared" si="164"/>
        <v>9.02307812553123E-13</v>
      </c>
      <c r="AL201" s="22">
        <f t="shared" si="165"/>
        <v>1.6693337005917391E-12</v>
      </c>
      <c r="AM201" s="62">
        <f t="shared" si="193"/>
        <v>293.33333333333496</v>
      </c>
      <c r="AN201" s="62">
        <f ca="1">AVERAGE(OFFSET($AM$3,0,0,'Données projet'!$E$10+1,1))-AVERAGE(OFFSET($H$3,0,0,'Données projet'!$E$10+1,1))</f>
        <v>491.47342911047105</v>
      </c>
      <c r="AO201" s="62">
        <f t="shared" si="205"/>
        <v>58.734453933891757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-9.0949470177292824E-13</v>
      </c>
      <c r="BE201" s="14">
        <f>BD201*VLOOKUP('Données projet'!$B$11,Paramètres!$A$1:$I$89,3,0)*VLOOKUP('Données projet'!$B$11,Paramètres!$A$1:$I$89,5,0)</f>
        <v>-7.6615833677351478E-13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278.21934231434597</v>
      </c>
      <c r="BJ201" s="62">
        <f t="shared" si="206"/>
        <v>143.57726487417773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3.4106051316484809E-13</v>
      </c>
      <c r="BZ201" s="14">
        <f>BY201*VLOOKUP('Données projet'!$B$12,Paramètres!$A$1:$I$89,3,0)*VLOOKUP('Données projet'!$B$12,Paramètres!$A$1:$I$89,5,0)</f>
        <v>2.7134774427395314E-13</v>
      </c>
      <c r="CA201" s="14">
        <f t="shared" si="170"/>
        <v>3.6292411711343559E-12</v>
      </c>
      <c r="CB201" s="22">
        <f t="shared" si="171"/>
        <v>6.7935256943361388E-12</v>
      </c>
      <c r="CC201" s="62">
        <f t="shared" si="195"/>
        <v>293.33333333334014</v>
      </c>
      <c r="CD201" s="62">
        <f ca="1">AVERAGE(OFFSET($CC$3,0,0,'Données projet'!$E$12+1,1))-AVERAGE(OFFSET($H$3,0,0,'Données projet'!$E$12+1,1))</f>
        <v>237.4598967324826</v>
      </c>
      <c r="CE201" s="62">
        <f t="shared" si="207"/>
        <v>218.74305466112406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205.33000726169792</v>
      </c>
      <c r="T202" s="62">
        <f t="shared" si="204"/>
        <v>307.23455947678775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5.6161297834478324E-14</v>
      </c>
      <c r="AK202" s="14">
        <f t="shared" si="164"/>
        <v>9.02307812553123E-13</v>
      </c>
      <c r="AL202" s="22">
        <f t="shared" si="165"/>
        <v>1.6693337005917391E-12</v>
      </c>
      <c r="AM202" s="62">
        <f t="shared" si="193"/>
        <v>293.33333333333496</v>
      </c>
      <c r="AN202" s="62">
        <f ca="1">AVERAGE(OFFSET($AM$3,0,0,'Données projet'!$E$10+1,1))-AVERAGE(OFFSET($H$3,0,0,'Données projet'!$E$10+1,1))</f>
        <v>491.47342911047105</v>
      </c>
      <c r="AO202" s="62">
        <f t="shared" si="205"/>
        <v>58.734453933891757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-9.0949470177292824E-13</v>
      </c>
      <c r="BE202" s="14">
        <f>BD202*VLOOKUP('Données projet'!$B$11,Paramètres!$A$1:$I$89,3,0)*VLOOKUP('Données projet'!$B$11,Paramètres!$A$1:$I$89,5,0)</f>
        <v>-7.6615833677351478E-13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278.21934231434597</v>
      </c>
      <c r="BJ202" s="62">
        <f t="shared" si="206"/>
        <v>143.57726487417773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3.4106051316484809E-13</v>
      </c>
      <c r="BZ202" s="14">
        <f>BY202*VLOOKUP('Données projet'!$B$12,Paramètres!$A$1:$I$89,3,0)*VLOOKUP('Données projet'!$B$12,Paramètres!$A$1:$I$89,5,0)</f>
        <v>2.7134774427395314E-13</v>
      </c>
      <c r="CA202" s="14">
        <f t="shared" si="170"/>
        <v>3.6292411711343559E-12</v>
      </c>
      <c r="CB202" s="22">
        <f t="shared" si="171"/>
        <v>6.7935256943361388E-12</v>
      </c>
      <c r="CC202" s="62">
        <f t="shared" si="195"/>
        <v>293.33333333334014</v>
      </c>
      <c r="CD202" s="62">
        <f ca="1">AVERAGE(OFFSET($CC$3,0,0,'Données projet'!$E$12+1,1))-AVERAGE(OFFSET($H$3,0,0,'Données projet'!$E$12+1,1))</f>
        <v>237.4598967324826</v>
      </c>
      <c r="CE202" s="62">
        <f t="shared" si="207"/>
        <v>218.74305466112406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205.33000726169792</v>
      </c>
      <c r="T203" s="62">
        <f t="shared" si="204"/>
        <v>307.23455947678775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5.6161297834478324E-14</v>
      </c>
      <c r="AK203" s="14">
        <f t="shared" si="164"/>
        <v>9.02307812553123E-13</v>
      </c>
      <c r="AL203" s="22">
        <f t="shared" si="165"/>
        <v>1.6693337005917391E-12</v>
      </c>
      <c r="AM203" s="62">
        <f t="shared" si="193"/>
        <v>293.33333333333496</v>
      </c>
      <c r="AN203" s="62">
        <f ca="1">AVERAGE(OFFSET($AM$3,0,0,'Données projet'!$E$10+1,1))-AVERAGE(OFFSET($H$3,0,0,'Données projet'!$E$10+1,1))</f>
        <v>491.47342911047105</v>
      </c>
      <c r="AO203" s="62">
        <f t="shared" si="205"/>
        <v>58.734453933891757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-9.0949470177292824E-13</v>
      </c>
      <c r="BE203" s="14">
        <f>BD203*VLOOKUP('Données projet'!$B$11,Paramètres!$A$1:$I$89,3,0)*VLOOKUP('Données projet'!$B$11,Paramètres!$A$1:$I$89,5,0)</f>
        <v>-7.6615833677351478E-13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278.21934231434597</v>
      </c>
      <c r="BJ203" s="62">
        <f t="shared" si="206"/>
        <v>143.57726487417773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3.4106051316484809E-13</v>
      </c>
      <c r="BZ203" s="14">
        <f>BY203*VLOOKUP('Données projet'!$B$12,Paramètres!$A$1:$I$89,3,0)*VLOOKUP('Données projet'!$B$12,Paramètres!$A$1:$I$89,5,0)</f>
        <v>2.7134774427395314E-13</v>
      </c>
      <c r="CA203" s="14">
        <f t="shared" si="170"/>
        <v>3.6292411711343559E-12</v>
      </c>
      <c r="CB203" s="22">
        <f t="shared" si="171"/>
        <v>6.7935256943361388E-12</v>
      </c>
      <c r="CC203" s="62">
        <f t="shared" si="195"/>
        <v>293.33333333334014</v>
      </c>
      <c r="CD203" s="62">
        <f ca="1">AVERAGE(OFFSET($CC$3,0,0,'Données projet'!$E$12+1,1))-AVERAGE(OFFSET($H$3,0,0,'Données projet'!$E$12+1,1))</f>
        <v>237.4598967324826</v>
      </c>
      <c r="CE203" s="62">
        <f t="shared" si="207"/>
        <v>218.74305466112406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1.2997069632623315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1.1142342885036474</v>
      </c>
      <c r="BA205" s="88">
        <f>EXP(LN('Données projet'!B88)/'Données projet'!A88)</f>
        <v>1.2054868146447177</v>
      </c>
      <c r="BV205" s="88">
        <f>EXP(LN('Données projet'!B114)/'Données projet'!A114)</f>
        <v>1.2730870686066207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E1" zoomScale="90" zoomScaleNormal="90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Mélèze d'Europe</v>
      </c>
      <c r="B6" s="155">
        <f>'Données projet'!D9</f>
        <v>0.9880000000000001</v>
      </c>
      <c r="C6" s="156">
        <f ca="1">IF(OR('Données projet'!B9="",'Données projet'!C9="",'Données projet'!C9=0%),0,Calculateur!S3)</f>
        <v>205.33000726169792</v>
      </c>
      <c r="D6" s="156">
        <f>IF(OR('Données projet'!B9="",'Données projet'!C9="",'Données projet'!C9=0%),0,Calculateur!T3)</f>
        <v>307.23455947678775</v>
      </c>
      <c r="E6" s="156">
        <f ca="1">MIN(C6,D6)</f>
        <v>205.33000726169792</v>
      </c>
      <c r="F6" s="156">
        <f ca="1">E6*B6</f>
        <v>202.86604717455756</v>
      </c>
      <c r="G6" s="156">
        <f ca="1">F6*(100%-'Données projet'!$C$24)*(100%-'Données projet'!$C$25)*(100%-'Données projet'!$C$26)*(100%-'Données projet'!$C$27)</f>
        <v>182.57944245710181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54.379520000000007</v>
      </c>
      <c r="K6" s="160">
        <f>J6*(100%-'Données projet'!$C$24)*(100%-'Données projet'!$C$25)*(100%-'Données projet'!$C$26)*(100%-'Données projet'!$C$27)</f>
        <v>48.941568000000004</v>
      </c>
      <c r="L6" s="161">
        <f ca="1">G6+I6+K6</f>
        <v>231.5210104571018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Sapin pectiné</v>
      </c>
      <c r="B7" s="163">
        <f>'Données projet'!D10</f>
        <v>0.92303900000000005</v>
      </c>
      <c r="C7" s="156">
        <f ca="1">IF(OR('Données projet'!B10="",'Données projet'!C10="",'Données projet'!C10=0%),0,Calculateur!AN3)</f>
        <v>491.47342911047105</v>
      </c>
      <c r="D7" s="156">
        <f>IF(OR('Données projet'!B10="",'Données projet'!C10="",'Données projet'!C10=0%),0,Calculateur!AO3)</f>
        <v>58.734453933891757</v>
      </c>
      <c r="E7" s="156">
        <f t="shared" ref="E7:E15" ca="1" si="0">MIN(C7,D7)</f>
        <v>58.734453933891757</v>
      </c>
      <c r="F7" s="156">
        <f t="shared" ref="F7:F15" ca="1" si="1">E7*B7</f>
        <v>54.214191624685519</v>
      </c>
      <c r="G7" s="156">
        <f ca="1">F7*(100%-'Données projet'!$C$24)*(100%-'Données projet'!$C$25)*(100%-'Données projet'!$C$26)*(100%-'Données projet'!$C$27)</f>
        <v>48.792772462216966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48.792772462216966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Chêne pédonculé</v>
      </c>
      <c r="B8" s="163">
        <f>'Données projet'!D11</f>
        <v>0.429039</v>
      </c>
      <c r="C8" s="156">
        <f ca="1">IF(OR('Données projet'!B11="",'Données projet'!C11="",'Données projet'!C11=0%),0,Calculateur!BI3)</f>
        <v>278.21934231434597</v>
      </c>
      <c r="D8" s="156">
        <f>IF(OR('Données projet'!B11="",'Données projet'!C11="",'Données projet'!C11=0%),0,Calculateur!BJ3)</f>
        <v>143.57726487417773</v>
      </c>
      <c r="E8" s="156">
        <f t="shared" ca="1" si="0"/>
        <v>143.57726487417773</v>
      </c>
      <c r="F8" s="156">
        <f t="shared" ca="1" si="1"/>
        <v>61.60024614435234</v>
      </c>
      <c r="G8" s="156">
        <f ca="1">F8*(100%-'Données projet'!$C$24)*(100%-'Données projet'!$C$25)*(100%-'Données projet'!$C$26)*(100%-'Données projet'!$C$27)</f>
        <v>55.44022152991711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0.85807800000000001</v>
      </c>
      <c r="K8" s="160">
        <f>J8*(100%-'Données projet'!$C$24)*(100%-'Données projet'!$C$25)*(100%-'Données projet'!$C$26)*(100%-'Données projet'!$C$27)</f>
        <v>0.77227020000000002</v>
      </c>
      <c r="L8" s="161">
        <f t="shared" ca="1" si="2"/>
        <v>56.212491729917112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Erable sycomore</v>
      </c>
      <c r="B9" s="163">
        <f>'Données projet'!D12</f>
        <v>0.12992200000000001</v>
      </c>
      <c r="C9" s="156">
        <f ca="1">IF(OR('Données projet'!B12="",'Données projet'!C12="",'Données projet'!C12=0%),0,Calculateur!CD3)</f>
        <v>237.4598967324826</v>
      </c>
      <c r="D9" s="156">
        <f>IF(OR('Données projet'!B12="",'Données projet'!C12="",'Données projet'!C12=0%),0,Calculateur!CE3)</f>
        <v>218.74305466112406</v>
      </c>
      <c r="E9" s="156">
        <f t="shared" ca="1" si="0"/>
        <v>218.74305466112406</v>
      </c>
      <c r="F9" s="156">
        <f t="shared" ca="1" si="1"/>
        <v>28.419535147682563</v>
      </c>
      <c r="G9" s="156">
        <f ca="1">F9*(100%-'Données projet'!$C$24)*(100%-'Données projet'!$C$25)*(100%-'Données projet'!$C$26)*(100%-'Données projet'!$C$27)</f>
        <v>25.577581632914306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2.30936355</v>
      </c>
      <c r="K9" s="160">
        <f>J9*(100%-'Données projet'!$C$24)*(100%-'Données projet'!$C$25)*(100%-'Données projet'!$C$26)*(100%-'Données projet'!$C$27)</f>
        <v>2.0784271950000002</v>
      </c>
      <c r="L9" s="161">
        <f t="shared" ca="1" si="2"/>
        <v>27.656008827914306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347.100020091278</v>
      </c>
      <c r="G16" s="175">
        <f t="shared" ca="1" si="3"/>
        <v>312.39001808215016</v>
      </c>
      <c r="H16" s="176">
        <f t="shared" si="3"/>
        <v>0</v>
      </c>
      <c r="I16" s="176">
        <f t="shared" si="3"/>
        <v>0</v>
      </c>
      <c r="J16" s="177">
        <f t="shared" si="3"/>
        <v>57.546961550000006</v>
      </c>
      <c r="K16" s="177">
        <f t="shared" si="3"/>
        <v>51.792265395000008</v>
      </c>
      <c r="L16" s="178">
        <f t="shared" ca="1" si="3"/>
        <v>364.18228347715024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Mélèze d'Europe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Sapin pectiné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Chêne pédonculé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Erable sycomore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M1" zoomScale="55" zoomScaleNormal="55" workbookViewId="0">
      <selection activeCell="I20" sqref="I2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Mélèze d'Europe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4006.4281422308341</v>
      </c>
      <c r="U10" s="190">
        <f>'Données projet'!D9</f>
        <v>0.9880000000000001</v>
      </c>
      <c r="V10" s="189">
        <f>U10*T10</f>
        <v>3958.3510045240646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Sapin pectiné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489.00405279185389</v>
      </c>
      <c r="U11" s="190">
        <f>'Données projet'!D10</f>
        <v>0.92303900000000005</v>
      </c>
      <c r="V11" s="189">
        <f t="shared" ref="V11" si="0">U11*T11</f>
        <v>451.36981188494008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pédonculé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872.67618881385738</v>
      </c>
      <c r="U12" s="190">
        <f>'Données projet'!D11</f>
        <v>0.429039</v>
      </c>
      <c r="V12" s="189">
        <f t="shared" ref="V12:V19" si="1">U12*T12</f>
        <v>374.41211937250858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Erable sycomore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1807.6655289818914</v>
      </c>
      <c r="U13" s="190">
        <f>'Données projet'!D12</f>
        <v>0.12992200000000001</v>
      </c>
      <c r="V13" s="189">
        <f t="shared" si="1"/>
        <v>234.85552085638531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Mélèze d'Europe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80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79.999999999999929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1599.9999999999986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f>6000*1.2</f>
        <v>7200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18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-12765.011543362101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21</v>
      </c>
      <c r="B24" s="193">
        <f>'Données projet'!D37</f>
        <v>46</v>
      </c>
      <c r="C24" s="206">
        <v>15</v>
      </c>
      <c r="D24" s="194">
        <f t="shared" ref="D24:D42" si="2">B24*C24</f>
        <v>690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116.81905807405093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24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-12881.830601436151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82</v>
      </c>
      <c r="C26" s="206">
        <v>40</v>
      </c>
      <c r="D26" s="194">
        <f t="shared" si="2"/>
        <v>3280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36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42</v>
      </c>
      <c r="B28" s="193">
        <f>'Données projet'!D41</f>
        <v>129</v>
      </c>
      <c r="C28" s="206">
        <v>50</v>
      </c>
      <c r="D28" s="194">
        <f t="shared" si="2"/>
        <v>6450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48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60</v>
      </c>
      <c r="B30" s="193">
        <f>'Données projet'!D43</f>
        <v>369</v>
      </c>
      <c r="C30" s="206">
        <v>70</v>
      </c>
      <c r="D30" s="194">
        <f t="shared" si="2"/>
        <v>25830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Sapin pectiné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45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60</v>
      </c>
      <c r="B55" s="193">
        <f>'Données projet'!D63</f>
        <v>198</v>
      </c>
      <c r="C55" s="204">
        <v>15</v>
      </c>
      <c r="D55" s="191">
        <f t="shared" ref="D55:D73" si="4">B55*C55</f>
        <v>2970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75</v>
      </c>
      <c r="B56" s="193">
        <f>'Données projet'!D64</f>
        <v>286</v>
      </c>
      <c r="C56" s="204">
        <v>20</v>
      </c>
      <c r="D56" s="191">
        <f t="shared" si="4"/>
        <v>5720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90</v>
      </c>
      <c r="B57" s="193">
        <f>'Données projet'!D65</f>
        <v>232</v>
      </c>
      <c r="C57" s="204">
        <v>30</v>
      </c>
      <c r="D57" s="191">
        <f t="shared" si="4"/>
        <v>6960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105</v>
      </c>
      <c r="B58" s="193">
        <f>'Données projet'!D66</f>
        <v>184</v>
      </c>
      <c r="C58" s="204">
        <v>35</v>
      </c>
      <c r="D58" s="191">
        <f t="shared" si="4"/>
        <v>6440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120</v>
      </c>
      <c r="B59" s="193">
        <f>'Données projet'!D67</f>
        <v>156</v>
      </c>
      <c r="C59" s="204">
        <v>35</v>
      </c>
      <c r="D59" s="191">
        <f t="shared" si="4"/>
        <v>5460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135</v>
      </c>
      <c r="B60" s="193">
        <f>'Données projet'!D68</f>
        <v>135</v>
      </c>
      <c r="C60" s="204">
        <v>40</v>
      </c>
      <c r="D60" s="191">
        <f t="shared" si="4"/>
        <v>5400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150</v>
      </c>
      <c r="B61" s="193">
        <f>'Données projet'!D69</f>
        <v>121</v>
      </c>
      <c r="C61" s="204">
        <v>45</v>
      </c>
      <c r="D61" s="191">
        <f t="shared" si="4"/>
        <v>5445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165</v>
      </c>
      <c r="B62" s="193">
        <f>'Données projet'!D70</f>
        <v>946</v>
      </c>
      <c r="C62" s="204">
        <v>50</v>
      </c>
      <c r="D62" s="191">
        <f t="shared" si="4"/>
        <v>47300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Chêne pédonculé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25</v>
      </c>
      <c r="B86" s="193">
        <f>'Données projet'!D89</f>
        <v>8</v>
      </c>
      <c r="C86" s="204">
        <v>15</v>
      </c>
      <c r="D86" s="191">
        <f t="shared" ref="D86:D104" si="6">B86*C86</f>
        <v>120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35</v>
      </c>
      <c r="B88" s="193">
        <f>'Données projet'!D91</f>
        <v>42</v>
      </c>
      <c r="C88" s="204">
        <v>15</v>
      </c>
      <c r="D88" s="191">
        <f t="shared" si="6"/>
        <v>630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45</v>
      </c>
      <c r="B90" s="193">
        <f>'Données projet'!D93</f>
        <v>42</v>
      </c>
      <c r="C90" s="204">
        <v>20</v>
      </c>
      <c r="D90" s="191">
        <f t="shared" si="6"/>
        <v>840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55</v>
      </c>
      <c r="B92" s="193">
        <f>'Données projet'!D95</f>
        <v>42</v>
      </c>
      <c r="C92" s="204">
        <v>30</v>
      </c>
      <c r="D92" s="191">
        <f t="shared" si="6"/>
        <v>1260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65</v>
      </c>
      <c r="B94" s="193">
        <f>'Données projet'!D97</f>
        <v>42</v>
      </c>
      <c r="C94" s="204">
        <v>40</v>
      </c>
      <c r="D94" s="191">
        <f t="shared" si="6"/>
        <v>1680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70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75</v>
      </c>
      <c r="B96" s="193">
        <f>'Données projet'!D99</f>
        <v>42</v>
      </c>
      <c r="C96" s="204">
        <v>50</v>
      </c>
      <c r="D96" s="191">
        <f t="shared" si="6"/>
        <v>2100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80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85</v>
      </c>
      <c r="B98" s="193">
        <f>'Données projet'!D101</f>
        <v>42</v>
      </c>
      <c r="C98" s="204">
        <v>60</v>
      </c>
      <c r="D98" s="191">
        <f t="shared" si="6"/>
        <v>2520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95</v>
      </c>
      <c r="B99" s="193">
        <f>'Données projet'!D102</f>
        <v>42</v>
      </c>
      <c r="C99" s="204">
        <v>80</v>
      </c>
      <c r="D99" s="191">
        <f t="shared" si="6"/>
        <v>3360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105</v>
      </c>
      <c r="B100" s="193">
        <f>'Données projet'!D103</f>
        <v>41</v>
      </c>
      <c r="C100" s="204">
        <v>100</v>
      </c>
      <c r="D100" s="191">
        <f t="shared" si="6"/>
        <v>4100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115</v>
      </c>
      <c r="B101" s="193">
        <f>'Données projet'!D104</f>
        <v>37</v>
      </c>
      <c r="C101" s="204">
        <v>120</v>
      </c>
      <c r="D101" s="191">
        <f t="shared" si="6"/>
        <v>4440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125</v>
      </c>
      <c r="B102" s="193">
        <f>'Données projet'!D105</f>
        <v>33</v>
      </c>
      <c r="C102" s="204">
        <v>150</v>
      </c>
      <c r="D102" s="191">
        <f t="shared" si="6"/>
        <v>4950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135</v>
      </c>
      <c r="B103" s="193">
        <f>'Données projet'!D106</f>
        <v>29</v>
      </c>
      <c r="C103" s="204">
        <v>180</v>
      </c>
      <c r="D103" s="191">
        <f t="shared" si="6"/>
        <v>5220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150</v>
      </c>
      <c r="B104" s="193">
        <f>'Données projet'!D107</f>
        <v>306</v>
      </c>
      <c r="C104" s="204">
        <v>200</v>
      </c>
      <c r="D104" s="191">
        <f t="shared" si="6"/>
        <v>61200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Erable sycomore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25</v>
      </c>
      <c r="B118" s="193">
        <f>'Données projet'!D116</f>
        <v>71.099999999999994</v>
      </c>
      <c r="C118" s="204">
        <v>15</v>
      </c>
      <c r="D118" s="191">
        <f t="shared" si="8"/>
        <v>1066.5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35</v>
      </c>
      <c r="B120" s="193">
        <f>'Données projet'!D118</f>
        <v>56</v>
      </c>
      <c r="C120" s="204">
        <v>25</v>
      </c>
      <c r="D120" s="191">
        <f t="shared" si="8"/>
        <v>1400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45</v>
      </c>
      <c r="B122" s="193">
        <f>'Données projet'!D120</f>
        <v>49.8</v>
      </c>
      <c r="C122" s="204">
        <v>20</v>
      </c>
      <c r="D122" s="191">
        <f t="shared" si="8"/>
        <v>996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50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55</v>
      </c>
      <c r="B124" s="193">
        <f>'Données projet'!D122</f>
        <v>29.9</v>
      </c>
      <c r="C124" s="204">
        <v>30</v>
      </c>
      <c r="D124" s="191">
        <f t="shared" si="8"/>
        <v>897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60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65</v>
      </c>
      <c r="B126" s="193">
        <f>'Données projet'!D124</f>
        <v>22.700000000000003</v>
      </c>
      <c r="C126" s="204">
        <v>50</v>
      </c>
      <c r="D126" s="191">
        <f t="shared" si="8"/>
        <v>1135.0000000000002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70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75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80</v>
      </c>
      <c r="B129" s="193">
        <f>'Données projet'!D127</f>
        <v>294.60000000000002</v>
      </c>
      <c r="C129" s="204">
        <v>100</v>
      </c>
      <c r="D129" s="191">
        <f t="shared" si="8"/>
        <v>29460.000000000004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CamilleS3</cp:lastModifiedBy>
  <dcterms:created xsi:type="dcterms:W3CDTF">2021-02-01T08:22:39Z</dcterms:created>
  <dcterms:modified xsi:type="dcterms:W3CDTF">2022-09-20T16:11:04Z</dcterms:modified>
</cp:coreProperties>
</file>