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DLB\- Déposés\BANNALEC (29) - IND BEAU\dossier déposé\"/>
    </mc:Choice>
  </mc:AlternateContent>
  <xr:revisionPtr revIDLastSave="0" documentId="13_ncr:1_{BF380072-FDD2-4CB9-8686-A0AB892EF1F7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<sst xmlns="http://schemas.openxmlformats.org/spreadsheetml/2006/main" count="1170" uniqueCount="324">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</sst>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1.487708571830886</c:v>
                </c:pt>
                <c:pt idx="2">
                  <c:v>1.8063244645912075</c:v>
                </c:pt>
                <c:pt idx="3">
                  <c:v>2.193441988325747</c:v>
                </c:pt>
                <c:pt idx="4">
                  <c:v>2.6638428125097842</c:v>
                </c:pt>
                <c:pt idx="5">
                  <c:v>3.2355092314076099</c:v>
                </c:pt>
                <c:pt idx="6">
                  <c:v>3.9303193983364859</c:v>
                </c:pt>
                <c:pt idx="7">
                  <c:v>4.7748940234812096</c:v>
                </c:pt>
                <c:pt idx="8">
                  <c:v>5.8016276226126307</c:v>
                </c:pt>
                <c:pt idx="9">
                  <c:v>7.0499446499537939</c:v>
                </c:pt>
                <c:pt idx="10">
                  <c:v>8.5678296847047104</c:v>
                </c:pt>
                <c:pt idx="11">
                  <c:v>10.413691617160287</c:v>
                </c:pt>
                <c:pt idx="12">
                  <c:v>12.658634923786138</c:v>
                </c:pt>
                <c:pt idx="13">
                  <c:v>15.38922715198346</c:v>
                </c:pt>
                <c:pt idx="14">
                  <c:v>18.710871290357538</c:v>
                </c:pt>
                <c:pt idx="15">
                  <c:v>22.751915555095071</c:v>
                </c:pt>
                <c:pt idx="16">
                  <c:v>27.668662224725569</c:v>
                </c:pt>
                <c:pt idx="17">
                  <c:v>33.651472660263259</c:v>
                </c:pt>
                <c:pt idx="18">
                  <c:v>40.932208966857907</c:v>
                </c:pt>
                <c:pt idx="19">
                  <c:v>49.793305609579022</c:v>
                </c:pt>
                <c:pt idx="20">
                  <c:v>60.578828793259014</c:v>
                </c:pt>
                <c:pt idx="21">
                  <c:v>73.707960122497852</c:v>
                </c:pt>
                <c:pt idx="22">
                  <c:v>89.691437108461628</c:v>
                </c:pt>
                <c:pt idx="23">
                  <c:v>109.15160031240815</c:v>
                </c:pt>
                <c:pt idx="24">
                  <c:v>132.84683998665642</c:v>
                </c:pt>
                <c:pt idx="25">
                  <c:v>161.70140970029556</c:v>
                </c:pt>
                <c:pt idx="26">
                  <c:v>136.74439615020125</c:v>
                </c:pt>
                <c:pt idx="27">
                  <c:v>164.75077334312192</c:v>
                </c:pt>
                <c:pt idx="28">
                  <c:v>192.6444161741795</c:v>
                </c:pt>
                <c:pt idx="29">
                  <c:v>220.44397098530533</c:v>
                </c:pt>
                <c:pt idx="30">
                  <c:v>200.23480062612774</c:v>
                </c:pt>
                <c:pt idx="31">
                  <c:v>232.54877790391367</c:v>
                </c:pt>
                <c:pt idx="32">
                  <c:v>264.76009082333889</c:v>
                </c:pt>
                <c:pt idx="33">
                  <c:v>296.88298625047742</c:v>
                </c:pt>
                <c:pt idx="34">
                  <c:v>328.92837104423444</c:v>
                </c:pt>
                <c:pt idx="35">
                  <c:v>296.28142501216269</c:v>
                </c:pt>
                <c:pt idx="36">
                  <c:v>328.7283093698781</c:v>
                </c:pt>
                <c:pt idx="37">
                  <c:v>361.10450336561422</c:v>
                </c:pt>
                <c:pt idx="38">
                  <c:v>393.41722914254575</c:v>
                </c:pt>
                <c:pt idx="39">
                  <c:v>425.67242592235561</c:v>
                </c:pt>
                <c:pt idx="40">
                  <c:v>385.64370369702669</c:v>
                </c:pt>
                <c:pt idx="41">
                  <c:v>415.32485548223758</c:v>
                </c:pt>
                <c:pt idx="42">
                  <c:v>444.96027949966771</c:v>
                </c:pt>
                <c:pt idx="43">
                  <c:v>474.55344560757021</c:v>
                </c:pt>
                <c:pt idx="44">
                  <c:v>504.10735599489294</c:v>
                </c:pt>
                <c:pt idx="45">
                  <c:v>476.67043320372562</c:v>
                </c:pt>
                <c:pt idx="46">
                  <c:v>501.79464523740444</c:v>
                </c:pt>
                <c:pt idx="47">
                  <c:v>526.89224796595784</c:v>
                </c:pt>
                <c:pt idx="48">
                  <c:v>551.96468570905517</c:v>
                </c:pt>
                <c:pt idx="49">
                  <c:v>577.01326101134964</c:v>
                </c:pt>
                <c:pt idx="50">
                  <c:v>602.0391542325317</c:v>
                </c:pt>
                <c:pt idx="51">
                  <c:v>567.62276426035078</c:v>
                </c:pt>
                <c:pt idx="52">
                  <c:v>587.55317950213123</c:v>
                </c:pt>
                <c:pt idx="53">
                  <c:v>607.46951736202516</c:v>
                </c:pt>
                <c:pt idx="54">
                  <c:v>627.37230392798858</c:v>
                </c:pt>
                <c:pt idx="55">
                  <c:v>647.26202921811966</c:v>
                </c:pt>
                <c:pt idx="56">
                  <c:v>667.13915070848282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6.1849999999999996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20</v>
      </c>
      <c r="C9" s="35">
        <v>1</v>
      </c>
      <c r="D9" s="36">
        <f t="shared" ref="D9:D18" si="0">C9*$C$5</f>
        <v>6.1849999999999996</v>
      </c>
      <c r="E9" s="37">
        <v>56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6.1849999999999996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Epicéa de Sitka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155</v>
      </c>
      <c r="C36" s="63">
        <v>1</v>
      </c>
      <c r="D36" s="63">
        <v>52</v>
      </c>
      <c r="E36" s="54">
        <v>0.2</v>
      </c>
      <c r="F36" s="54">
        <v>0.4</v>
      </c>
      <c r="G36" s="54">
        <v>0.4</v>
      </c>
      <c r="H36" s="54"/>
      <c r="I36" s="52">
        <f>IFERROR(B36/A36,"")</f>
        <v>6.2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29</v>
      </c>
      <c r="B37" s="63">
        <v>213</v>
      </c>
      <c r="C37" s="63">
        <v>2</v>
      </c>
      <c r="D37" s="63">
        <v>52</v>
      </c>
      <c r="E37" s="54">
        <v>0.2</v>
      </c>
      <c r="F37" s="54">
        <v>0.4</v>
      </c>
      <c r="G37" s="54">
        <v>0.4</v>
      </c>
      <c r="H37" s="54"/>
      <c r="I37" s="56">
        <f t="shared" ref="I37:I55" si="1">IF(A37&lt;&gt;0,(B37-(B36-D36))/(A37-A36),"")</f>
        <v>27.5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34</v>
      </c>
      <c r="B38" s="63">
        <v>321</v>
      </c>
      <c r="C38" s="63">
        <v>3</v>
      </c>
      <c r="D38" s="63">
        <v>65</v>
      </c>
      <c r="E38" s="54">
        <v>0.3</v>
      </c>
      <c r="F38" s="54">
        <v>0.4</v>
      </c>
      <c r="G38" s="54">
        <v>0.3</v>
      </c>
      <c r="H38" s="54"/>
      <c r="I38" s="56">
        <f t="shared" si="1"/>
        <v>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39</v>
      </c>
      <c r="B39" s="63">
        <v>418</v>
      </c>
      <c r="C39" s="63">
        <v>4</v>
      </c>
      <c r="D39" s="63">
        <v>70</v>
      </c>
      <c r="E39" s="54">
        <v>0.4</v>
      </c>
      <c r="F39" s="54">
        <v>0.2</v>
      </c>
      <c r="G39" s="54">
        <v>0.4</v>
      </c>
      <c r="H39" s="54"/>
      <c r="I39" s="52">
        <f t="shared" si="1"/>
        <v>32.4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44</v>
      </c>
      <c r="B40" s="63">
        <v>497</v>
      </c>
      <c r="C40" s="63">
        <v>5</v>
      </c>
      <c r="D40" s="63">
        <v>53</v>
      </c>
      <c r="E40" s="54">
        <v>0.5</v>
      </c>
      <c r="F40" s="54">
        <v>0.3</v>
      </c>
      <c r="G40" s="54">
        <v>0.2</v>
      </c>
      <c r="H40" s="54"/>
      <c r="I40" s="52">
        <f t="shared" si="1"/>
        <v>29.8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596</v>
      </c>
      <c r="C41" s="63">
        <v>6</v>
      </c>
      <c r="D41" s="63">
        <v>55</v>
      </c>
      <c r="E41" s="54">
        <v>0.5</v>
      </c>
      <c r="F41" s="54">
        <v>0.3</v>
      </c>
      <c r="G41" s="54">
        <v>0.2</v>
      </c>
      <c r="H41" s="54"/>
      <c r="I41" s="56">
        <f t="shared" si="1"/>
        <v>25.333333333333332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662</v>
      </c>
      <c r="C42" s="63">
        <v>7</v>
      </c>
      <c r="D42" s="63">
        <v>662</v>
      </c>
      <c r="E42" s="54">
        <v>0.5</v>
      </c>
      <c r="F42" s="54">
        <v>0.3</v>
      </c>
      <c r="G42" s="54">
        <v>0.2</v>
      </c>
      <c r="H42" s="54"/>
      <c r="I42" s="56">
        <f t="shared" si="1"/>
        <v>20.166666666666668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Epicéa de Sitka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212.75825875635837</v>
      </c>
      <c r="T3" s="62">
        <f>IF('Données projet'!E9&gt;30,$R$33-$H$33,LOOKUP('Données projet'!$E$9,$A$3:$A$203,R3:R203)-LOOKUP('Données projet'!$E$9,$A$3:$A$203,$H$3:$H$203))</f>
        <v>166.61377928936963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6.2</v>
      </c>
      <c r="N4" s="14">
        <f>IF('Données projet'!$A$36&gt;35,N3+M4-V3,IF(A4&lt;'Données projet'!$A$36,$K$205^A4,IF(A4='Données projet'!$A$36,'Données projet'!$B$36,N3+M4-V3)))</f>
        <v>1.2235261841298362</v>
      </c>
      <c r="O4" s="14">
        <f>N4*VLOOKUP('Données projet'!$B$9,Paramètres!$A$1:$I$89,3,0)*VLOOKUP('Données projet'!$B$9,Paramètres!$A$1:$I$89,5,0)</f>
        <v>0.57261025417276334</v>
      </c>
      <c r="P4" s="14">
        <f>EXP(-1.0587+0.8836*LN(O4)+0.284)</f>
        <v>0.28157648563444393</v>
      </c>
      <c r="Q4" s="22">
        <f t="shared" ref="Q4:Q34" si="2">(O4+P4)*0.475*44/12</f>
        <v>1.487708571830886</v>
      </c>
      <c r="R4" s="62">
        <f t="shared" si="0"/>
        <v>294.82104190516418</v>
      </c>
      <c r="S4" s="62">
        <f ca="1">AVERAGE(OFFSET($R$3,0,0,'Données projet'!$E$9+1,1))-AVERAGE(OFFSET($H$3,0,0,'Données projet'!$E$9+1,1))</f>
        <v>212.75825875635837</v>
      </c>
      <c r="T4" s="62">
        <f>$T$3</f>
        <v>166.61377928936963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6.2</v>
      </c>
      <c r="N5" s="14">
        <f>IF('Données projet'!$A$36&gt;35,N4+M5-V4,IF(A5&lt;'Données projet'!$A$36,$K$205^A5,IF(A5='Données projet'!$A$36,'Données projet'!$B$36,N4+M5-V4)))</f>
        <v>1.4970163232513178</v>
      </c>
      <c r="O5" s="14">
        <f>N5*VLOOKUP('Données projet'!$B$9,Paramètres!$A$1:$I$89,3,0)*VLOOKUP('Données projet'!$B$9,Paramètres!$A$1:$I$89,5,0)</f>
        <v>0.70060363928161673</v>
      </c>
      <c r="P5" s="14">
        <f t="shared" ref="P5:P68" si="33">EXP(-1.0587+0.8836*LN(O5)+0.284)</f>
        <v>0.33652045522051222</v>
      </c>
      <c r="Q5" s="22">
        <f t="shared" si="2"/>
        <v>1.8063244645912075</v>
      </c>
      <c r="R5" s="62">
        <f t="shared" si="0"/>
        <v>295.13965779792454</v>
      </c>
      <c r="S5" s="62">
        <f ca="1">AVERAGE(OFFSET($R$3,0,0,'Données projet'!$E$9+1,1))-AVERAGE(OFFSET($H$3,0,0,'Données projet'!$E$9+1,1))</f>
        <v>212.75825875635837</v>
      </c>
      <c r="T5" s="62">
        <f t="shared" ref="T5:T68" si="34">$T$3</f>
        <v>166.61377928936963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6.2</v>
      </c>
      <c r="N6" s="14">
        <f>IF('Données projet'!$A$36&gt;35,N5+M6-V5,IF(A6&lt;'Données projet'!$A$36,$K$205^A6,IF(A6='Données projet'!$A$36,'Données projet'!$B$36,N5+M6-V5)))</f>
        <v>1.8316386695677622</v>
      </c>
      <c r="O6" s="14">
        <f>N6*VLOOKUP('Données projet'!$B$9,Paramètres!$A$1:$I$89,3,0)*VLOOKUP('Données projet'!$B$9,Paramètres!$A$1:$I$89,5,0)</f>
        <v>0.85720689735771283</v>
      </c>
      <c r="P6" s="14">
        <f t="shared" si="33"/>
        <v>0.40218563182453443</v>
      </c>
      <c r="Q6" s="22">
        <f t="shared" si="2"/>
        <v>2.193441988325747</v>
      </c>
      <c r="R6" s="62">
        <f t="shared" si="0"/>
        <v>295.52677532165904</v>
      </c>
      <c r="S6" s="62">
        <f ca="1">AVERAGE(OFFSET($R$3,0,0,'Données projet'!$E$9+1,1))-AVERAGE(OFFSET($H$3,0,0,'Données projet'!$E$9+1,1))</f>
        <v>212.75825875635837</v>
      </c>
      <c r="T6" s="62">
        <f t="shared" si="34"/>
        <v>166.61377928936963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6.2</v>
      </c>
      <c r="N7" s="14">
        <f>IF('Données projet'!$A$36&gt;35,N6+M7-V6,IF(A7&lt;'Données projet'!$A$36,$K$205^A7,IF(A7='Données projet'!$A$36,'Données projet'!$B$36,N6+M7-V6)))</f>
        <v>2.2410578720808942</v>
      </c>
      <c r="O7" s="14">
        <f>N7*VLOOKUP('Données projet'!$B$9,Paramètres!$A$1:$I$89,3,0)*VLOOKUP('Données projet'!$B$9,Paramètres!$A$1:$I$89,5,0)</f>
        <v>1.0488150841338586</v>
      </c>
      <c r="P7" s="14">
        <f t="shared" si="33"/>
        <v>0.48066404266601759</v>
      </c>
      <c r="Q7" s="22">
        <f t="shared" si="2"/>
        <v>2.6638428125097842</v>
      </c>
      <c r="R7" s="62">
        <f t="shared" si="0"/>
        <v>295.99717614584307</v>
      </c>
      <c r="S7" s="62">
        <f ca="1">AVERAGE(OFFSET($R$3,0,0,'Données projet'!$E$9+1,1))-AVERAGE(OFFSET($H$3,0,0,'Données projet'!$E$9+1,1))</f>
        <v>212.75825875635837</v>
      </c>
      <c r="T7" s="62">
        <f t="shared" si="34"/>
        <v>166.61377928936963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6.2</v>
      </c>
      <c r="N8" s="14">
        <f>IF('Données projet'!$A$36&gt;35,N7+M8-V7,IF(A8&lt;'Données projet'!$A$36,$K$205^A8,IF(A8='Données projet'!$A$36,'Données projet'!$B$36,N7+M8-V7)))</f>
        <v>2.7419929866412671</v>
      </c>
      <c r="O8" s="14">
        <f>N8*VLOOKUP('Données projet'!$B$9,Paramètres!$A$1:$I$89,3,0)*VLOOKUP('Données projet'!$B$9,Paramètres!$A$1:$I$89,5,0)</f>
        <v>1.283252717748113</v>
      </c>
      <c r="P8" s="14">
        <f t="shared" si="33"/>
        <v>0.57445593186391197</v>
      </c>
      <c r="Q8" s="22">
        <f t="shared" si="2"/>
        <v>3.2355092314076099</v>
      </c>
      <c r="R8" s="62">
        <f t="shared" si="0"/>
        <v>296.56884256474092</v>
      </c>
      <c r="S8" s="62">
        <f ca="1">AVERAGE(OFFSET($R$3,0,0,'Données projet'!$E$9+1,1))-AVERAGE(OFFSET($H$3,0,0,'Données projet'!$E$9+1,1))</f>
        <v>212.75825875635837</v>
      </c>
      <c r="T8" s="62">
        <f t="shared" si="34"/>
        <v>166.61377928936963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6.2</v>
      </c>
      <c r="N9" s="14">
        <f>IF('Données projet'!$A$36&gt;35,N8+M9-V8,IF(A9&lt;'Données projet'!$A$36,$K$205^A9,IF(A9='Données projet'!$A$36,'Données projet'!$B$36,N8+M9-V8)))</f>
        <v>3.3549002158559627</v>
      </c>
      <c r="O9" s="14">
        <f>N9*VLOOKUP('Données projet'!$B$9,Paramètres!$A$1:$I$89,3,0)*VLOOKUP('Données projet'!$B$9,Paramètres!$A$1:$I$89,5,0)</f>
        <v>1.5700933010205904</v>
      </c>
      <c r="P9" s="14">
        <f t="shared" si="33"/>
        <v>0.68654941572763117</v>
      </c>
      <c r="Q9" s="22">
        <f t="shared" si="2"/>
        <v>3.9303193983364859</v>
      </c>
      <c r="R9" s="62">
        <f t="shared" si="0"/>
        <v>297.26365273166982</v>
      </c>
      <c r="S9" s="62">
        <f ca="1">AVERAGE(OFFSET($R$3,0,0,'Données projet'!$E$9+1,1))-AVERAGE(OFFSET($H$3,0,0,'Données projet'!$E$9+1,1))</f>
        <v>212.75825875635837</v>
      </c>
      <c r="T9" s="62">
        <f t="shared" si="34"/>
        <v>166.61377928936963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6.2</v>
      </c>
      <c r="N10" s="14">
        <f>IF('Données projet'!$A$36&gt;35,N9+M10-V9,IF(A10&lt;'Données projet'!$A$36,$K$205^A10,IF(A10='Données projet'!$A$36,'Données projet'!$B$36,N9+M10-V9)))</f>
        <v>4.1048082592426089</v>
      </c>
      <c r="O10" s="14">
        <f>N10*VLOOKUP('Données projet'!$B$9,Paramètres!$A$1:$I$89,3,0)*VLOOKUP('Données projet'!$B$9,Paramètres!$A$1:$I$89,5,0)</f>
        <v>1.921050265325541</v>
      </c>
      <c r="P10" s="14">
        <f t="shared" si="33"/>
        <v>0.8205156811708475</v>
      </c>
      <c r="Q10" s="22">
        <f t="shared" si="2"/>
        <v>4.7748940234812096</v>
      </c>
      <c r="R10" s="62">
        <f t="shared" si="0"/>
        <v>298.1082273568145</v>
      </c>
      <c r="S10" s="62">
        <f ca="1">AVERAGE(OFFSET($R$3,0,0,'Données projet'!$E$9+1,1))-AVERAGE(OFFSET($H$3,0,0,'Données projet'!$E$9+1,1))</f>
        <v>212.75825875635837</v>
      </c>
      <c r="T10" s="62">
        <f t="shared" si="34"/>
        <v>166.61377928936963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6.2</v>
      </c>
      <c r="N11" s="14">
        <f>IF('Données projet'!$A$36&gt;35,N10+M11-V10,IF(A11&lt;'Données projet'!$A$36,$K$205^A11,IF(A11='Données projet'!$A$36,'Données projet'!$B$36,N10+M11-V10)))</f>
        <v>5.0223403860157454</v>
      </c>
      <c r="O11" s="14">
        <f>N11*VLOOKUP('Données projet'!$B$9,Paramètres!$A$1:$I$89,3,0)*VLOOKUP('Données projet'!$B$9,Paramètres!$A$1:$I$89,5,0)</f>
        <v>2.3504553006553688</v>
      </c>
      <c r="P11" s="14">
        <f t="shared" si="33"/>
        <v>0.98062276017484962</v>
      </c>
      <c r="Q11" s="22">
        <f t="shared" si="2"/>
        <v>5.8016276226126307</v>
      </c>
      <c r="R11" s="62">
        <f t="shared" si="0"/>
        <v>299.13496095594593</v>
      </c>
      <c r="S11" s="62">
        <f ca="1">AVERAGE(OFFSET($R$3,0,0,'Données projet'!$E$9+1,1))-AVERAGE(OFFSET($H$3,0,0,'Données projet'!$E$9+1,1))</f>
        <v>212.75825875635837</v>
      </c>
      <c r="T11" s="62">
        <f t="shared" si="34"/>
        <v>166.61377928936963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6.2</v>
      </c>
      <c r="N12" s="14">
        <f>IF('Données projet'!$A$36&gt;35,N11+M12-V11,IF(A12&lt;'Données projet'!$A$36,$K$205^A12,IF(A12='Données projet'!$A$36,'Données projet'!$B$36,N11+M12-V11)))</f>
        <v>6.1449649679030136</v>
      </c>
      <c r="O12" s="14">
        <f>N12*VLOOKUP('Données projet'!$B$9,Paramètres!$A$1:$I$89,3,0)*VLOOKUP('Données projet'!$B$9,Paramètres!$A$1:$I$89,5,0)</f>
        <v>2.87584360497861</v>
      </c>
      <c r="P12" s="14">
        <f t="shared" si="33"/>
        <v>1.1719715050427075</v>
      </c>
      <c r="Q12" s="22">
        <f t="shared" si="2"/>
        <v>7.0499446499537939</v>
      </c>
      <c r="R12" s="62">
        <f t="shared" si="0"/>
        <v>300.38327798328709</v>
      </c>
      <c r="S12" s="62">
        <f ca="1">AVERAGE(OFFSET($R$3,0,0,'Données projet'!$E$9+1,1))-AVERAGE(OFFSET($H$3,0,0,'Données projet'!$E$9+1,1))</f>
        <v>212.75825875635837</v>
      </c>
      <c r="T12" s="62">
        <f t="shared" si="34"/>
        <v>166.61377928936963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6.2</v>
      </c>
      <c r="N13" s="14">
        <f>IF('Données projet'!$A$36&gt;35,N12+M13-V12,IF(A13&lt;'Données projet'!$A$36,$K$205^A13,IF(A13='Données projet'!$A$36,'Données projet'!$B$36,N12+M13-V12)))</f>
        <v>7.5185255387898957</v>
      </c>
      <c r="O13" s="14">
        <f>N13*VLOOKUP('Données projet'!$B$9,Paramètres!$A$1:$I$89,3,0)*VLOOKUP('Données projet'!$B$9,Paramètres!$A$1:$I$89,5,0)</f>
        <v>3.5186699521536715</v>
      </c>
      <c r="P13" s="14">
        <f t="shared" si="33"/>
        <v>1.4006580964806126</v>
      </c>
      <c r="Q13" s="22">
        <f t="shared" si="2"/>
        <v>8.5678296847047104</v>
      </c>
      <c r="R13" s="62">
        <f t="shared" si="0"/>
        <v>301.90116301803801</v>
      </c>
      <c r="S13" s="62">
        <f ca="1">AVERAGE(OFFSET($R$3,0,0,'Données projet'!$E$9+1,1))-AVERAGE(OFFSET($H$3,0,0,'Données projet'!$E$9+1,1))</f>
        <v>212.75825875635837</v>
      </c>
      <c r="T13" s="62">
        <f t="shared" si="34"/>
        <v>166.61377928936963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6.2</v>
      </c>
      <c r="N14" s="14">
        <f>IF('Données projet'!$A$36&gt;35,N13+M14-V13,IF(A14&lt;'Données projet'!$A$36,$K$205^A14,IF(A14='Données projet'!$A$36,'Données projet'!$B$36,N13+M14-V13)))</f>
        <v>9.1991128627583212</v>
      </c>
      <c r="O14" s="14">
        <f>N14*VLOOKUP('Données projet'!$B$9,Paramètres!$A$1:$I$89,3,0)*VLOOKUP('Données projet'!$B$9,Paramètres!$A$1:$I$89,5,0)</f>
        <v>4.3051848197708944</v>
      </c>
      <c r="P14" s="14">
        <f t="shared" si="33"/>
        <v>1.673968261852238</v>
      </c>
      <c r="Q14" s="22">
        <f t="shared" si="2"/>
        <v>10.413691617160287</v>
      </c>
      <c r="R14" s="62">
        <f t="shared" si="0"/>
        <v>303.7470249504936</v>
      </c>
      <c r="S14" s="62">
        <f ca="1">AVERAGE(OFFSET($R$3,0,0,'Données projet'!$E$9+1,1))-AVERAGE(OFFSET($H$3,0,0,'Données projet'!$E$9+1,1))</f>
        <v>212.75825875635837</v>
      </c>
      <c r="T14" s="62">
        <f t="shared" si="34"/>
        <v>166.61377928936963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6.2</v>
      </c>
      <c r="N15" s="14">
        <f>IF('Données projet'!$A$36&gt;35,N14+M15-V14,IF(A15&lt;'Données projet'!$A$36,$K$205^A15,IF(A15='Données projet'!$A$36,'Données projet'!$B$36,N14+M15-V14)))</f>
        <v>11.255355458350383</v>
      </c>
      <c r="O15" s="14">
        <f>N15*VLOOKUP('Données projet'!$B$9,Paramètres!$A$1:$I$89,3,0)*VLOOKUP('Données projet'!$B$9,Paramètres!$A$1:$I$89,5,0)</f>
        <v>5.2675063545079794</v>
      </c>
      <c r="P15" s="14">
        <f t="shared" si="33"/>
        <v>2.0006093912065501</v>
      </c>
      <c r="Q15" s="22">
        <f t="shared" si="2"/>
        <v>12.658634923786138</v>
      </c>
      <c r="R15" s="62">
        <f t="shared" si="0"/>
        <v>305.99196825711942</v>
      </c>
      <c r="S15" s="62">
        <f ca="1">AVERAGE(OFFSET($R$3,0,0,'Données projet'!$E$9+1,1))-AVERAGE(OFFSET($H$3,0,0,'Données projet'!$E$9+1,1))</f>
        <v>212.75825875635837</v>
      </c>
      <c r="T15" s="62">
        <f t="shared" si="34"/>
        <v>166.61377928936963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6.2</v>
      </c>
      <c r="N16" s="14">
        <f>IF('Données projet'!$A$36&gt;35,N15+M16-V15,IF(A16&lt;'Données projet'!$A$36,$K$205^A16,IF(A16='Données projet'!$A$36,'Données projet'!$B$36,N15+M16-V15)))</f>
        <v>13.771222114980368</v>
      </c>
      <c r="O16" s="14">
        <f>N16*VLOOKUP('Données projet'!$B$9,Paramètres!$A$1:$I$89,3,0)*VLOOKUP('Données projet'!$B$9,Paramètres!$A$1:$I$89,5,0)</f>
        <v>6.4449319498108126</v>
      </c>
      <c r="P16" s="14">
        <f t="shared" si="33"/>
        <v>2.390987946064858</v>
      </c>
      <c r="Q16" s="22">
        <f t="shared" si="2"/>
        <v>15.38922715198346</v>
      </c>
      <c r="R16" s="62">
        <f t="shared" si="0"/>
        <v>308.72256048531676</v>
      </c>
      <c r="S16" s="62">
        <f ca="1">AVERAGE(OFFSET($R$3,0,0,'Données projet'!$E$9+1,1))-AVERAGE(OFFSET($H$3,0,0,'Données projet'!$E$9+1,1))</f>
        <v>212.75825875635837</v>
      </c>
      <c r="T16" s="62">
        <f t="shared" si="34"/>
        <v>166.61377928936963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6.2</v>
      </c>
      <c r="N17" s="14">
        <f>IF('Données projet'!$A$36&gt;35,N16+M17-V16,IF(A17&lt;'Données projet'!$A$36,$K$205^A17,IF(A17='Données projet'!$A$36,'Données projet'!$B$36,N16+M17-V16)))</f>
        <v>16.849450845146343</v>
      </c>
      <c r="O17" s="14">
        <f>N17*VLOOKUP('Données projet'!$B$9,Paramètres!$A$1:$I$89,3,0)*VLOOKUP('Données projet'!$B$9,Paramètres!$A$1:$I$89,5,0)</f>
        <v>7.8855429955284881</v>
      </c>
      <c r="P17" s="14">
        <f t="shared" si="33"/>
        <v>2.8575409989351699</v>
      </c>
      <c r="Q17" s="22">
        <f t="shared" si="2"/>
        <v>18.710871290357538</v>
      </c>
      <c r="R17" s="62">
        <f t="shared" si="0"/>
        <v>312.04420462369086</v>
      </c>
      <c r="S17" s="62">
        <f ca="1">AVERAGE(OFFSET($R$3,0,0,'Données projet'!$E$9+1,1))-AVERAGE(OFFSET($H$3,0,0,'Données projet'!$E$9+1,1))</f>
        <v>212.75825875635837</v>
      </c>
      <c r="T17" s="62">
        <f t="shared" si="34"/>
        <v>166.61377928936963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6.2</v>
      </c>
      <c r="N18" s="14">
        <f>IF('Données projet'!$A$36&gt;35,N17+M18-V17,IF(A18&lt;'Données projet'!$A$36,$K$205^A18,IF(A18='Données projet'!$A$36,'Données projet'!$B$36,N17+M18-V17)))</f>
        <v>20.615744297245143</v>
      </c>
      <c r="O18" s="14">
        <f>N18*VLOOKUP('Données projet'!$B$9,Paramètres!$A$1:$I$89,3,0)*VLOOKUP('Données projet'!$B$9,Paramètres!$A$1:$I$89,5,0)</f>
        <v>9.6481683311107282</v>
      </c>
      <c r="P18" s="14">
        <f t="shared" si="33"/>
        <v>3.4151324660730467</v>
      </c>
      <c r="Q18" s="22">
        <f t="shared" si="2"/>
        <v>22.751915555095071</v>
      </c>
      <c r="R18" s="62">
        <f t="shared" si="0"/>
        <v>316.0852488884284</v>
      </c>
      <c r="S18" s="62">
        <f ca="1">AVERAGE(OFFSET($R$3,0,0,'Données projet'!$E$9+1,1))-AVERAGE(OFFSET($H$3,0,0,'Données projet'!$E$9+1,1))</f>
        <v>212.75825875635837</v>
      </c>
      <c r="T18" s="62">
        <f t="shared" si="34"/>
        <v>166.61377928936963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6.2</v>
      </c>
      <c r="N19" s="14">
        <f>IF('Données projet'!$A$36&gt;35,N18+M19-V18,IF(A19&lt;'Données projet'!$A$36,$K$205^A19,IF(A19='Données projet'!$A$36,'Données projet'!$B$36,N18+M19-V18)))</f>
        <v>25.223902953004785</v>
      </c>
      <c r="O19" s="14">
        <f>N19*VLOOKUP('Données projet'!$B$9,Paramètres!$A$1:$I$89,3,0)*VLOOKUP('Données projet'!$B$9,Paramètres!$A$1:$I$89,5,0)</f>
        <v>11.804786582006239</v>
      </c>
      <c r="P19" s="14">
        <f t="shared" si="33"/>
        <v>4.0815266570706452</v>
      </c>
      <c r="Q19" s="22">
        <f t="shared" si="2"/>
        <v>27.668662224725569</v>
      </c>
      <c r="R19" s="62">
        <f t="shared" si="0"/>
        <v>321.00199555805887</v>
      </c>
      <c r="S19" s="62">
        <f ca="1">AVERAGE(OFFSET($R$3,0,0,'Données projet'!$E$9+1,1))-AVERAGE(OFFSET($H$3,0,0,'Données projet'!$E$9+1,1))</f>
        <v>212.75825875635837</v>
      </c>
      <c r="T19" s="62">
        <f t="shared" si="34"/>
        <v>166.61377928936963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6.2</v>
      </c>
      <c r="N20" s="14">
        <f>IF('Données projet'!$A$36&gt;35,N19+M20-V19,IF(A20&lt;'Données projet'!$A$36,$K$205^A20,IF(A20='Données projet'!$A$36,'Données projet'!$B$36,N19+M20-V19)))</f>
        <v>30.862105728951249</v>
      </c>
      <c r="O20" s="14">
        <f>N20*VLOOKUP('Données projet'!$B$9,Paramètres!$A$1:$I$89,3,0)*VLOOKUP('Données projet'!$B$9,Paramètres!$A$1:$I$89,5,0)</f>
        <v>14.443465481149184</v>
      </c>
      <c r="P20" s="14">
        <f t="shared" si="33"/>
        <v>4.877954228092876</v>
      </c>
      <c r="Q20" s="22">
        <f t="shared" si="2"/>
        <v>33.651472660263259</v>
      </c>
      <c r="R20" s="62">
        <f t="shared" si="0"/>
        <v>326.98480599359658</v>
      </c>
      <c r="S20" s="62">
        <f ca="1">AVERAGE(OFFSET($R$3,0,0,'Données projet'!$E$9+1,1))-AVERAGE(OFFSET($H$3,0,0,'Données projet'!$E$9+1,1))</f>
        <v>212.75825875635837</v>
      </c>
      <c r="T20" s="62">
        <f t="shared" si="34"/>
        <v>166.61377928936963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6.2</v>
      </c>
      <c r="N21" s="14">
        <f>IF('Données projet'!$A$36&gt;35,N20+M21-V20,IF(A21&lt;'Données projet'!$A$36,$K$205^A21,IF(A21='Données projet'!$A$36,'Données projet'!$B$36,N20+M21-V20)))</f>
        <v>37.760594456755285</v>
      </c>
      <c r="O21" s="14">
        <f>N21*VLOOKUP('Données projet'!$B$9,Paramètres!$A$1:$I$89,3,0)*VLOOKUP('Données projet'!$B$9,Paramètres!$A$1:$I$89,5,0)</f>
        <v>17.671958205761474</v>
      </c>
      <c r="P21" s="14">
        <f t="shared" si="33"/>
        <v>5.8297885694679463</v>
      </c>
      <c r="Q21" s="22">
        <f t="shared" si="2"/>
        <v>40.932208966857907</v>
      </c>
      <c r="R21" s="62">
        <f t="shared" si="0"/>
        <v>334.26554230019121</v>
      </c>
      <c r="S21" s="62">
        <f ca="1">AVERAGE(OFFSET($R$3,0,0,'Données projet'!$E$9+1,1))-AVERAGE(OFFSET($H$3,0,0,'Données projet'!$E$9+1,1))</f>
        <v>212.75825875635837</v>
      </c>
      <c r="T21" s="62">
        <f t="shared" si="34"/>
        <v>166.61377928936963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6.2</v>
      </c>
      <c r="N22" s="14">
        <f>IF('Données projet'!$A$36&gt;35,N21+M22-V21,IF(A22&lt;'Données projet'!$A$36,$K$205^A22,IF(A22='Données projet'!$A$36,'Données projet'!$B$36,N21+M22-V21)))</f>
        <v>46.201076046148032</v>
      </c>
      <c r="O22" s="14">
        <f>N22*VLOOKUP('Données projet'!$B$9,Paramètres!$A$1:$I$89,3,0)*VLOOKUP('Données projet'!$B$9,Paramètres!$A$1:$I$89,5,0)</f>
        <v>21.62210358959728</v>
      </c>
      <c r="P22" s="14">
        <f t="shared" si="33"/>
        <v>6.967354176668187</v>
      </c>
      <c r="Q22" s="22">
        <f t="shared" si="2"/>
        <v>49.793305609579022</v>
      </c>
      <c r="R22" s="62">
        <f t="shared" si="0"/>
        <v>343.12663894291234</v>
      </c>
      <c r="S22" s="62">
        <f ca="1">AVERAGE(OFFSET($R$3,0,0,'Données projet'!$E$9+1,1))-AVERAGE(OFFSET($H$3,0,0,'Données projet'!$E$9+1,1))</f>
        <v>212.75825875635837</v>
      </c>
      <c r="T22" s="62">
        <f t="shared" si="34"/>
        <v>166.61377928936963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6.2</v>
      </c>
      <c r="N23" s="14">
        <f>IF('Données projet'!$A$36&gt;35,N22+M23-V22,IF(A23&lt;'Données projet'!$A$36,$K$205^A23,IF(A23='Données projet'!$A$36,'Données projet'!$B$36,N22+M23-V22)))</f>
        <v>56.528226277435891</v>
      </c>
      <c r="O23" s="14">
        <f>N23*VLOOKUP('Données projet'!$B$9,Paramètres!$A$1:$I$89,3,0)*VLOOKUP('Données projet'!$B$9,Paramètres!$A$1:$I$89,5,0)</f>
        <v>26.455209897839996</v>
      </c>
      <c r="P23" s="14">
        <f t="shared" si="33"/>
        <v>8.3268927585766548</v>
      </c>
      <c r="Q23" s="22">
        <f t="shared" si="2"/>
        <v>60.578828793259014</v>
      </c>
      <c r="R23" s="62">
        <f t="shared" si="0"/>
        <v>353.91216212659231</v>
      </c>
      <c r="S23" s="62">
        <f ca="1">AVERAGE(OFFSET($R$3,0,0,'Données projet'!$E$9+1,1))-AVERAGE(OFFSET($H$3,0,0,'Données projet'!$E$9+1,1))</f>
        <v>212.75825875635837</v>
      </c>
      <c r="T23" s="62">
        <f t="shared" si="34"/>
        <v>166.61377928936963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6.2</v>
      </c>
      <c r="N24" s="14">
        <f>IF('Données projet'!$A$36&gt;35,N23+M24-V23,IF(A24&lt;'Données projet'!$A$36,$K$205^A24,IF(A24='Données projet'!$A$36,'Données projet'!$B$36,N23+M24-V23)))</f>
        <v>69.163764992859072</v>
      </c>
      <c r="O24" s="14">
        <f>N24*VLOOKUP('Données projet'!$B$9,Paramètres!$A$1:$I$89,3,0)*VLOOKUP('Données projet'!$B$9,Paramètres!$A$1:$I$89,5,0)</f>
        <v>32.368642016658043</v>
      </c>
      <c r="P24" s="14">
        <f t="shared" si="33"/>
        <v>9.9517178622880955</v>
      </c>
      <c r="Q24" s="22">
        <f t="shared" si="2"/>
        <v>73.707960122497852</v>
      </c>
      <c r="R24" s="62">
        <f t="shared" si="0"/>
        <v>367.04129345583118</v>
      </c>
      <c r="S24" s="62">
        <f ca="1">AVERAGE(OFFSET($R$3,0,0,'Données projet'!$E$9+1,1))-AVERAGE(OFFSET($H$3,0,0,'Données projet'!$E$9+1,1))</f>
        <v>212.75825875635837</v>
      </c>
      <c r="T24" s="62">
        <f t="shared" si="34"/>
        <v>166.61377928936963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6.2</v>
      </c>
      <c r="N25" s="14">
        <f>IF('Données projet'!$A$36&gt;35,N24+M25-V24,IF(A25&lt;'Données projet'!$A$36,$K$205^A25,IF(A25='Données projet'!$A$36,'Données projet'!$B$36,N24+M25-V24)))</f>
        <v>84.62367746176561</v>
      </c>
      <c r="O25" s="14">
        <f>N25*VLOOKUP('Données projet'!$B$9,Paramètres!$A$1:$I$89,3,0)*VLOOKUP('Données projet'!$B$9,Paramètres!$A$1:$I$89,5,0)</f>
        <v>39.603881052106303</v>
      </c>
      <c r="P25" s="14">
        <f t="shared" si="33"/>
        <v>11.893594799641999</v>
      </c>
      <c r="Q25" s="22">
        <f t="shared" si="2"/>
        <v>89.691437108461628</v>
      </c>
      <c r="R25" s="62">
        <f t="shared" si="0"/>
        <v>383.02477044179494</v>
      </c>
      <c r="S25" s="62">
        <f ca="1">AVERAGE(OFFSET($R$3,0,0,'Données projet'!$E$9+1,1))-AVERAGE(OFFSET($H$3,0,0,'Données projet'!$E$9+1,1))</f>
        <v>212.75825875635837</v>
      </c>
      <c r="T25" s="62">
        <f t="shared" si="34"/>
        <v>166.61377928936963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6.2</v>
      </c>
      <c r="N26" s="14">
        <f>IF('Données projet'!$A$36&gt;35,N25+M26-V25,IF(A26&lt;'Données projet'!$A$36,$K$205^A26,IF(A26='Données projet'!$A$36,'Données projet'!$B$36,N25+M26-V25)))</f>
        <v>103.53928517182807</v>
      </c>
      <c r="O26" s="14">
        <f>N26*VLOOKUP('Données projet'!$B$9,Paramètres!$A$1:$I$89,3,0)*VLOOKUP('Données projet'!$B$9,Paramètres!$A$1:$I$89,5,0)</f>
        <v>48.456385460415532</v>
      </c>
      <c r="P26" s="14">
        <f t="shared" si="33"/>
        <v>14.214389838574796</v>
      </c>
      <c r="Q26" s="22">
        <f t="shared" si="2"/>
        <v>109.15160031240815</v>
      </c>
      <c r="R26" s="62">
        <f t="shared" si="0"/>
        <v>402.48493364574148</v>
      </c>
      <c r="S26" s="62">
        <f ca="1">AVERAGE(OFFSET($R$3,0,0,'Données projet'!$E$9+1,1))-AVERAGE(OFFSET($H$3,0,0,'Données projet'!$E$9+1,1))</f>
        <v>212.75825875635837</v>
      </c>
      <c r="T26" s="62">
        <f t="shared" si="34"/>
        <v>166.61377928936963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6.2</v>
      </c>
      <c r="N27" s="14">
        <f>IF('Données projet'!$A$36&gt;35,N26+M27-V26,IF(A27&lt;'Données projet'!$A$36,$K$205^A27,IF(A27='Données projet'!$A$36,'Données projet'!$B$36,N26+M27-V26)))</f>
        <v>126.68302649381775</v>
      </c>
      <c r="O27" s="14">
        <f>N27*VLOOKUP('Données projet'!$B$9,Paramètres!$A$1:$I$89,3,0)*VLOOKUP('Données projet'!$B$9,Paramètres!$A$1:$I$89,5,0)</f>
        <v>59.287656399106709</v>
      </c>
      <c r="P27" s="14">
        <f t="shared" si="33"/>
        <v>16.988041200887402</v>
      </c>
      <c r="Q27" s="22">
        <f t="shared" si="2"/>
        <v>132.84683998665642</v>
      </c>
      <c r="R27" s="62">
        <f t="shared" si="0"/>
        <v>426.18017331998976</v>
      </c>
      <c r="S27" s="62">
        <f ca="1">AVERAGE(OFFSET($R$3,0,0,'Données projet'!$E$9+1,1))-AVERAGE(OFFSET($H$3,0,0,'Données projet'!$E$9+1,1))</f>
        <v>212.75825875635837</v>
      </c>
      <c r="T27" s="62">
        <f t="shared" si="34"/>
        <v>166.61377928936963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155</v>
      </c>
      <c r="L28" s="13">
        <f>VLOOKUP(A28,'Données projet'!$A$35:$I$55,9,0)</f>
        <v>6.2</v>
      </c>
      <c r="M28" s="13">
        <f t="array" ref="M28">INDEX(L:L,MIN(IF(ISNUMBER(L28:L224),ROW(L28:L224),"")))</f>
        <v>6.2</v>
      </c>
      <c r="N28" s="14">
        <f>IF('Données projet'!$A$36&gt;35,N27+M28-V27,IF(A28&lt;'Données projet'!$A$36,$K$205^A28,IF(A28='Données projet'!$A$36,'Données projet'!$B$36,N27+M28-V27)))</f>
        <v>155</v>
      </c>
      <c r="O28" s="14">
        <f>N28*VLOOKUP('Données projet'!$B$9,Paramètres!$A$1:$I$89,3,0)*VLOOKUP('Données projet'!$B$9,Paramètres!$A$1:$I$89,5,0)</f>
        <v>72.539999999999992</v>
      </c>
      <c r="P28" s="14">
        <f t="shared" si="33"/>
        <v>20.302914660456786</v>
      </c>
      <c r="Q28" s="22">
        <f t="shared" si="2"/>
        <v>161.70140970029556</v>
      </c>
      <c r="R28" s="62">
        <f t="shared" si="0"/>
        <v>455.03474303362884</v>
      </c>
      <c r="S28" s="62">
        <f ca="1">AVERAGE(OFFSET($R$3,0,0,'Données projet'!$E$9+1,1))-AVERAGE(OFFSET($H$3,0,0,'Données projet'!$E$9+1,1))</f>
        <v>212.75825875635837</v>
      </c>
      <c r="T28" s="62">
        <f t="shared" si="34"/>
        <v>166.61377928936963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52</v>
      </c>
      <c r="W28" s="17">
        <f>IF(ISNA(VLOOKUP(A28,'Données projet'!$A$35:$I$55,5,0)),0%,VLOOKUP(A28,'Données projet'!$A$35:$I$55,5,0)*VLOOKUP('Données projet'!$B$9,Paramètres!$A$1:$I$89,7,0))</f>
        <v>0.11000000000000001</v>
      </c>
      <c r="X28" s="17">
        <f>IF(ISNA(VLOOKUP(A28,'Données projet'!$A$35:$I$55,6,0)),0%,VLOOKUP(A28,'Données projet'!$A$35:$I$55,6,0)*VLOOKUP('Données projet'!$B$9,Paramètres!$A$1:$I$89,7,0))</f>
        <v>0.22000000000000003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3.5511599846334323</v>
      </c>
      <c r="AA28" s="23">
        <f>EXP(-LN(2)/25)*AA27+(1-EXP(-LN(2)/25))/(LN(2)/25)*Calculateur!V28*Calculateur!X28*VLOOKUP('Données projet'!$B$9,Paramètres!$A$1:$I$89,3,0)*0.475*44/12</f>
        <v>7.0743554293517903</v>
      </c>
      <c r="AB28" s="23">
        <f>EXP(-LN(2)/2)*AB27+(1-EXP(-LN(2)/2))/(LN(2)/2)*V28*Y28*VLOOKUP('Données projet'!$B$9,Paramètres!$A$1:$I$89,3,0)*0.475*44/12</f>
        <v>11.021602077041628</v>
      </c>
      <c r="AC28" s="24">
        <f t="shared" si="3"/>
        <v>21.647117491026851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27.5</v>
      </c>
      <c r="N29" s="14">
        <f>IF('Données projet'!$A$36&gt;35,N28+M29-V28,IF(A29&lt;'Données projet'!$A$36,$K$205^A29,IF(A29='Données projet'!$A$36,'Données projet'!$B$36,N28+M29-V28)))</f>
        <v>130.5</v>
      </c>
      <c r="O29" s="14">
        <f>N29*VLOOKUP('Données projet'!$B$9,Paramètres!$A$1:$I$89,3,0)*VLOOKUP('Données projet'!$B$9,Paramètres!$A$1:$I$89,5,0)</f>
        <v>61.073999999999998</v>
      </c>
      <c r="P29" s="14">
        <f t="shared" si="33"/>
        <v>17.439528890067717</v>
      </c>
      <c r="Q29" s="22">
        <f t="shared" si="2"/>
        <v>136.74439615020125</v>
      </c>
      <c r="R29" s="62">
        <f t="shared" si="0"/>
        <v>430.07772948353454</v>
      </c>
      <c r="S29" s="62">
        <f ca="1">AVERAGE(OFFSET($R$3,0,0,'Données projet'!$E$9+1,1))-AVERAGE(OFFSET($H$3,0,0,'Données projet'!$E$9+1,1))</f>
        <v>212.75825875635837</v>
      </c>
      <c r="T29" s="62">
        <f t="shared" si="34"/>
        <v>166.61377928936963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3.4815239033284873</v>
      </c>
      <c r="AA29" s="23">
        <f>EXP(-LN(2)/25)*AA28+(1-EXP(-LN(2)/25))/(LN(2)/25)*Calculateur!V29*Calculateur!X29*VLOOKUP('Données projet'!$B$9,Paramètres!$A$1:$I$89,3,0)*0.475*44/12</f>
        <v>6.8809068081119822</v>
      </c>
      <c r="AB29" s="23">
        <f>EXP(-LN(2)/2)*AB28+(1-EXP(-LN(2)/2))/(LN(2)/2)*V29*Y29*VLOOKUP('Données projet'!$B$9,Paramètres!$A$1:$I$89,3,0)*0.475*44/12</f>
        <v>7.7934495682158724</v>
      </c>
      <c r="AC29" s="24">
        <f t="shared" si="3"/>
        <v>18.155880279656341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27.5</v>
      </c>
      <c r="N30" s="14">
        <f>IF('Données projet'!$A$36&gt;35,N29+M30-V29,IF(A30&lt;'Données projet'!$A$36,$K$205^A30,IF(A30='Données projet'!$A$36,'Données projet'!$B$36,N29+M30-V29)))</f>
        <v>158</v>
      </c>
      <c r="O30" s="14">
        <f>N30*VLOOKUP('Données projet'!$B$9,Paramètres!$A$1:$I$89,3,0)*VLOOKUP('Données projet'!$B$9,Paramètres!$A$1:$I$89,5,0)</f>
        <v>73.944000000000003</v>
      </c>
      <c r="P30" s="14">
        <f t="shared" si="33"/>
        <v>20.649745460165708</v>
      </c>
      <c r="Q30" s="22">
        <f t="shared" si="2"/>
        <v>164.75077334312192</v>
      </c>
      <c r="R30" s="62">
        <f t="shared" si="0"/>
        <v>458.08410667645524</v>
      </c>
      <c r="S30" s="62">
        <f ca="1">AVERAGE(OFFSET($R$3,0,0,'Données projet'!$E$9+1,1))-AVERAGE(OFFSET($H$3,0,0,'Données projet'!$E$9+1,1))</f>
        <v>212.75825875635837</v>
      </c>
      <c r="T30" s="62">
        <f t="shared" si="34"/>
        <v>166.61377928936963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3.4132533431041163</v>
      </c>
      <c r="AA30" s="23">
        <f>EXP(-LN(2)/25)*AA29+(1-EXP(-LN(2)/25))/(LN(2)/25)*Calculateur!V30*Calculateur!X30*VLOOKUP('Données projet'!$B$9,Paramètres!$A$1:$I$89,3,0)*0.475*44/12</f>
        <v>6.6927480495929972</v>
      </c>
      <c r="AB30" s="23">
        <f>EXP(-LN(2)/2)*AB29+(1-EXP(-LN(2)/2))/(LN(2)/2)*V30*Y30*VLOOKUP('Données projet'!$B$9,Paramètres!$A$1:$I$89,3,0)*0.475*44/12</f>
        <v>5.5108010385208148</v>
      </c>
      <c r="AC30" s="24">
        <f t="shared" si="3"/>
        <v>15.616802431217927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27.5</v>
      </c>
      <c r="N31" s="14">
        <f>IF('Données projet'!$A$36&gt;35,N30+M31-V30,IF(A31&lt;'Données projet'!$A$36,$K$205^A31,IF(A31='Données projet'!$A$36,'Données projet'!$B$36,N30+M31-V30)))</f>
        <v>185.5</v>
      </c>
      <c r="O31" s="14">
        <f>N31*VLOOKUP('Données projet'!$B$9,Paramètres!$A$1:$I$89,3,0)*VLOOKUP('Données projet'!$B$9,Paramètres!$A$1:$I$89,5,0)</f>
        <v>86.814000000000007</v>
      </c>
      <c r="P31" s="14">
        <f t="shared" si="33"/>
        <v>23.79523416699303</v>
      </c>
      <c r="Q31" s="22">
        <f t="shared" si="2"/>
        <v>192.6444161741795</v>
      </c>
      <c r="R31" s="62">
        <f t="shared" si="0"/>
        <v>485.97774950751284</v>
      </c>
      <c r="S31" s="62">
        <f ca="1">AVERAGE(OFFSET($R$3,0,0,'Données projet'!$E$9+1,1))-AVERAGE(OFFSET($H$3,0,0,'Données projet'!$E$9+1,1))</f>
        <v>212.75825875635837</v>
      </c>
      <c r="T31" s="62">
        <f t="shared" si="34"/>
        <v>166.61377928936963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3.3463215269248154</v>
      </c>
      <c r="AA31" s="23">
        <f>EXP(-LN(2)/25)*AA30+(1-EXP(-LN(2)/25))/(LN(2)/25)*Calculateur!V31*Calculateur!X31*VLOOKUP('Données projet'!$B$9,Paramètres!$A$1:$I$89,3,0)*0.475*44/12</f>
        <v>6.5097345022205531</v>
      </c>
      <c r="AB31" s="23">
        <f>EXP(-LN(2)/2)*AB30+(1-EXP(-LN(2)/2))/(LN(2)/2)*V31*Y31*VLOOKUP('Données projet'!$B$9,Paramètres!$A$1:$I$89,3,0)*0.475*44/12</f>
        <v>3.8967247841079371</v>
      </c>
      <c r="AC31" s="24">
        <f t="shared" si="3"/>
        <v>13.752780813253304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>
        <f>VLOOKUP(A32,'Données projet'!$A$35:$I$55,2,0)</f>
        <v>213</v>
      </c>
      <c r="L32" s="13">
        <f>VLOOKUP(A32,'Données projet'!$A$35:$I$55,9,0)</f>
        <v>27.5</v>
      </c>
      <c r="M32" s="13">
        <f t="array" ref="M32">INDEX(L:L,MIN(IF(ISNUMBER(L32:L228),ROW(L32:L228),"")))</f>
        <v>27.5</v>
      </c>
      <c r="N32" s="14">
        <f>IF('Données projet'!$A$36&gt;35,N31+M32-V31,IF(A32&lt;'Données projet'!$A$36,$K$205^A32,IF(A32='Données projet'!$A$36,'Données projet'!$B$36,N31+M32-V31)))</f>
        <v>213</v>
      </c>
      <c r="O32" s="14">
        <f>N32*VLOOKUP('Données projet'!$B$9,Paramètres!$A$1:$I$89,3,0)*VLOOKUP('Données projet'!$B$9,Paramètres!$A$1:$I$89,5,0)</f>
        <v>99.683999999999997</v>
      </c>
      <c r="P32" s="14">
        <f t="shared" si="33"/>
        <v>26.886701044194457</v>
      </c>
      <c r="Q32" s="22">
        <f t="shared" si="2"/>
        <v>220.44397098530533</v>
      </c>
      <c r="R32" s="62">
        <f t="shared" si="0"/>
        <v>513.7773043186387</v>
      </c>
      <c r="S32" s="62">
        <f ca="1">AVERAGE(OFFSET($R$3,0,0,'Données projet'!$E$9+1,1))-AVERAGE(OFFSET($H$3,0,0,'Données projet'!$E$9+1,1))</f>
        <v>212.75825875635837</v>
      </c>
      <c r="T32" s="62">
        <f t="shared" si="34"/>
        <v>166.61377928936963</v>
      </c>
      <c r="U32" s="16">
        <f>IF(ISNA(VLOOKUP(A32,'Données projet'!$A$35:$I$55,3,0)),0,VLOOKUP(A32,'Données projet'!$A$35:$I$55,3,0))</f>
        <v>2</v>
      </c>
      <c r="V32" s="16">
        <f>IF(ISNA(VLOOKUP(A32,'Données projet'!$A$35:$I$55,4,0)),0,VLOOKUP(A32,'Données projet'!$A$35:$I$55,4,0))</f>
        <v>52</v>
      </c>
      <c r="W32" s="17">
        <f>IF(ISNA(VLOOKUP(A32,'Données projet'!$A$35:$I$55,5,0)),0%,VLOOKUP(A32,'Données projet'!$A$35:$I$55,5,0)*VLOOKUP('Données projet'!$B$9,Paramètres!$A$1:$I$89,7,0))</f>
        <v>0.11000000000000001</v>
      </c>
      <c r="X32" s="17">
        <f>IF(ISNA(VLOOKUP(A32,'Données projet'!$A$35:$I$55,6,0)),0%,VLOOKUP(A32,'Données projet'!$A$35:$I$55,6,0)*VLOOKUP('Données projet'!$B$9,Paramètres!$A$1:$I$89,7,0))</f>
        <v>0.22000000000000003</v>
      </c>
      <c r="Y32" s="17">
        <f>IF(ISNA(VLOOKUP(A32,'Données projet'!$A$35:$I$55,7,0)),0%,VLOOKUP(A32,'Données projet'!$A$35:$I$55,7,0))</f>
        <v>0.4</v>
      </c>
      <c r="Z32" s="23">
        <f>EXP(-LN(2)/35)*Z31+(1-EXP(-LN(2)/35))/(LN(2)/35)*V32*W32*VLOOKUP('Données projet'!$B$9,Paramètres!$A$1:$I$89,3,0)*0.475*44/12</f>
        <v>6.831862187469846</v>
      </c>
      <c r="AA32" s="23">
        <f>EXP(-LN(2)/25)*AA31+(1-EXP(-LN(2)/25))/(LN(2)/25)*Calculateur!V32*Calculateur!X32*VLOOKUP('Données projet'!$B$9,Paramètres!$A$1:$I$89,3,0)*0.475*44/12</f>
        <v>13.406080899277063</v>
      </c>
      <c r="AB32" s="23">
        <f>EXP(-LN(2)/2)*AB31+(1-EXP(-LN(2)/2))/(LN(2)/2)*V32*Y32*VLOOKUP('Données projet'!$B$9,Paramètres!$A$1:$I$89,3,0)*0.475*44/12</f>
        <v>13.777002596302037</v>
      </c>
      <c r="AC32" s="24">
        <f t="shared" si="3"/>
        <v>34.01494568304895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32</v>
      </c>
      <c r="N33" s="14">
        <f>IF('Données projet'!$A$36&gt;35,N32+M33-V32,IF(A33&lt;'Données projet'!$A$36,$K$205^A33,IF(A33='Données projet'!$A$36,'Données projet'!$B$36,N32+M33-V32)))</f>
        <v>193</v>
      </c>
      <c r="O33" s="14">
        <f>N33*VLOOKUP('Données projet'!$B$9,Paramètres!$A$1:$I$89,3,0)*VLOOKUP('Données projet'!$B$9,Paramètres!$A$1:$I$89,5,0)</f>
        <v>90.324000000000012</v>
      </c>
      <c r="P33" s="14">
        <f t="shared" si="33"/>
        <v>24.643349641795833</v>
      </c>
      <c r="Q33" s="22">
        <f t="shared" si="2"/>
        <v>200.23480062612774</v>
      </c>
      <c r="R33" s="62">
        <f t="shared" si="0"/>
        <v>493.56813395946108</v>
      </c>
      <c r="S33" s="62">
        <f ca="1">AVERAGE(OFFSET($R$3,0,0,'Données projet'!$E$9+1,1))-AVERAGE(OFFSET($H$3,0,0,'Données projet'!$E$9+1,1))</f>
        <v>212.75825875635837</v>
      </c>
      <c r="T33" s="62">
        <f t="shared" si="34"/>
        <v>166.61377928936963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6.6978935369980368</v>
      </c>
      <c r="AA33" s="23">
        <f>EXP(-LN(2)/25)*AA32+(1-EXP(-LN(2)/25))/(LN(2)/25)*Calculateur!V33*Calculateur!X33*VLOOKUP('Données projet'!$B$9,Paramètres!$A$1:$I$89,3,0)*0.475*44/12</f>
        <v>13.039490912091177</v>
      </c>
      <c r="AB33" s="23">
        <f>EXP(-LN(2)/2)*AB32+(1-EXP(-LN(2)/2))/(LN(2)/2)*V33*Y33*VLOOKUP('Données projet'!$B$9,Paramètres!$A$1:$I$89,3,0)*0.475*44/12</f>
        <v>9.7418119602698425</v>
      </c>
      <c r="AC33" s="24">
        <f t="shared" si="3"/>
        <v>29.479196409359055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32</v>
      </c>
      <c r="N34" s="14">
        <f>IF('Données projet'!$A$36&gt;35,N33+M34-V33,IF(A34&lt;'Données projet'!$A$36,$K$205^A34,IF(A34='Données projet'!$A$36,'Données projet'!$B$36,N33+M34-V33)))</f>
        <v>225</v>
      </c>
      <c r="O34" s="14">
        <f>N34*VLOOKUP('Données projet'!$B$9,Paramètres!$A$1:$I$89,3,0)*VLOOKUP('Données projet'!$B$9,Paramètres!$A$1:$I$89,5,0)</f>
        <v>105.3</v>
      </c>
      <c r="P34" s="14">
        <f t="shared" si="33"/>
        <v>28.220829418515034</v>
      </c>
      <c r="Q34" s="22">
        <f t="shared" si="2"/>
        <v>232.54877790391367</v>
      </c>
      <c r="R34" s="62">
        <f t="shared" si="0"/>
        <v>525.88211123724705</v>
      </c>
      <c r="S34" s="62">
        <f ca="1">AVERAGE(OFFSET($R$3,0,0,'Données projet'!$E$9+1,1))-AVERAGE(OFFSET($H$3,0,0,'Données projet'!$E$9+1,1))</f>
        <v>212.75825875635837</v>
      </c>
      <c r="T34" s="62">
        <f t="shared" si="34"/>
        <v>166.61377928936963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6.5665519300491715</v>
      </c>
      <c r="AA34" s="23">
        <f>EXP(-LN(2)/25)*AA33+(1-EXP(-LN(2)/25))/(LN(2)/25)*Calculateur!V34*Calculateur!X34*VLOOKUP('Données projet'!$B$9,Paramètres!$A$1:$I$89,3,0)*0.475*44/12</f>
        <v>12.682925347383019</v>
      </c>
      <c r="AB34" s="23">
        <f>EXP(-LN(2)/2)*AB33+(1-EXP(-LN(2)/2))/(LN(2)/2)*V34*Y34*VLOOKUP('Données projet'!$B$9,Paramètres!$A$1:$I$89,3,0)*0.475*44/12</f>
        <v>6.8885012981510192</v>
      </c>
      <c r="AC34" s="24">
        <f t="shared" si="3"/>
        <v>26.137978575583212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32</v>
      </c>
      <c r="N35" s="14">
        <f>IF('Données projet'!$A$36&gt;35,N34+M35-V34,IF(A35&lt;'Données projet'!$A$36,$K$205^A35,IF(A35='Données projet'!$A$36,'Données projet'!$B$36,N34+M35-V34)))</f>
        <v>257</v>
      </c>
      <c r="O35" s="14">
        <f>N35*VLOOKUP('Données projet'!$B$9,Paramètres!$A$1:$I$89,3,0)*VLOOKUP('Données projet'!$B$9,Paramètres!$A$1:$I$89,5,0)</f>
        <v>120.276</v>
      </c>
      <c r="P35" s="14">
        <f t="shared" si="33"/>
        <v>31.739363152156315</v>
      </c>
      <c r="Q35" s="22">
        <f t="shared" ref="Q35:Q66" si="53">(O35+P35)*0.475*44/12</f>
        <v>264.76009082333889</v>
      </c>
      <c r="R35" s="62">
        <f t="shared" si="0"/>
        <v>558.0934241566722</v>
      </c>
      <c r="S35" s="62">
        <f ca="1">AVERAGE(OFFSET($R$3,0,0,'Données projet'!$E$9+1,1))-AVERAGE(OFFSET($H$3,0,0,'Données projet'!$E$9+1,1))</f>
        <v>212.75825875635837</v>
      </c>
      <c r="T35" s="62">
        <f t="shared" si="34"/>
        <v>166.61377928936963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6.4377858519021034</v>
      </c>
      <c r="AA35" s="23">
        <f>EXP(-LN(2)/25)*AA34+(1-EXP(-LN(2)/25))/(LN(2)/25)*Calculateur!V35*Calculateur!X35*VLOOKUP('Données projet'!$B$9,Paramètres!$A$1:$I$89,3,0)*0.475*44/12</f>
        <v>12.336110086792774</v>
      </c>
      <c r="AB35" s="23">
        <f>EXP(-LN(2)/2)*AB34+(1-EXP(-LN(2)/2))/(LN(2)/2)*V35*Y35*VLOOKUP('Données projet'!$B$9,Paramètres!$A$1:$I$89,3,0)*0.475*44/12</f>
        <v>4.8709059801349213</v>
      </c>
      <c r="AC35" s="24">
        <f t="shared" si="3"/>
        <v>23.644801918829799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32</v>
      </c>
      <c r="N36" s="14">
        <f>IF('Données projet'!$A$36&gt;35,N35+M36-V35,IF(A36&lt;'Données projet'!$A$36,$K$205^A36,IF(A36='Données projet'!$A$36,'Données projet'!$B$36,N35+M36-V35)))</f>
        <v>289</v>
      </c>
      <c r="O36" s="14">
        <f>N36*VLOOKUP('Données projet'!$B$9,Paramètres!$A$1:$I$89,3,0)*VLOOKUP('Données projet'!$B$9,Paramètres!$A$1:$I$89,5,0)</f>
        <v>135.25199999999998</v>
      </c>
      <c r="P36" s="14">
        <f t="shared" si="33"/>
        <v>35.207130861518152</v>
      </c>
      <c r="Q36" s="22">
        <f t="shared" si="53"/>
        <v>296.88298625047742</v>
      </c>
      <c r="R36" s="62">
        <f t="shared" si="0"/>
        <v>590.21631958381067</v>
      </c>
      <c r="S36" s="62">
        <f ca="1">AVERAGE(OFFSET($R$3,0,0,'Données projet'!$E$9+1,1))-AVERAGE(OFFSET($H$3,0,0,'Données projet'!$E$9+1,1))</f>
        <v>212.75825875635837</v>
      </c>
      <c r="T36" s="62">
        <f t="shared" si="34"/>
        <v>166.61377928936963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6.3115447980079473</v>
      </c>
      <c r="AA36" s="23">
        <f>EXP(-LN(2)/25)*AA35+(1-EXP(-LN(2)/25))/(LN(2)/25)*Calculateur!V36*Calculateur!X36*VLOOKUP('Données projet'!$B$9,Paramètres!$A$1:$I$89,3,0)*0.475*44/12</f>
        <v>11.998778507741591</v>
      </c>
      <c r="AB36" s="23">
        <f>EXP(-LN(2)/2)*AB35+(1-EXP(-LN(2)/2))/(LN(2)/2)*V36*Y36*VLOOKUP('Données projet'!$B$9,Paramètres!$A$1:$I$89,3,0)*0.475*44/12</f>
        <v>3.4442506490755096</v>
      </c>
      <c r="AC36" s="24">
        <f t="shared" si="3"/>
        <v>21.754573954825048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321</v>
      </c>
      <c r="L37" s="13">
        <f>VLOOKUP(A37,'Données projet'!$A$35:$I$55,9,0)</f>
        <v>32</v>
      </c>
      <c r="M37" s="13">
        <f t="array" ref="M37">INDEX(L:L,MIN(IF(ISNUMBER(L37:L233),ROW(L37:L233),"")))</f>
        <v>32</v>
      </c>
      <c r="N37" s="14">
        <f>IF('Données projet'!$A$36&gt;35,N36+M37-V36,IF(A37&lt;'Données projet'!$A$36,$K$205^A37,IF(A37='Données projet'!$A$36,'Données projet'!$B$36,N36+M37-V36)))</f>
        <v>321</v>
      </c>
      <c r="O37" s="14">
        <f>N37*VLOOKUP('Données projet'!$B$9,Paramètres!$A$1:$I$89,3,0)*VLOOKUP('Données projet'!$B$9,Paramètres!$A$1:$I$89,5,0)</f>
        <v>150.22800000000001</v>
      </c>
      <c r="P37" s="14">
        <f t="shared" si="33"/>
        <v>38.630394857933659</v>
      </c>
      <c r="Q37" s="22">
        <f t="shared" si="53"/>
        <v>328.92837104423444</v>
      </c>
      <c r="R37" s="62">
        <f t="shared" si="0"/>
        <v>622.26170437756775</v>
      </c>
      <c r="S37" s="62">
        <f ca="1">AVERAGE(OFFSET($R$3,0,0,'Données projet'!$E$9+1,1))-AVERAGE(OFFSET($H$3,0,0,'Données projet'!$E$9+1,1))</f>
        <v>212.75825875635837</v>
      </c>
      <c r="T37" s="62">
        <f t="shared" si="34"/>
        <v>166.61377928936963</v>
      </c>
      <c r="U37" s="16">
        <f>IF(ISNA(VLOOKUP(A37,'Données projet'!$A$35:$I$55,3,0)),0,VLOOKUP(A37,'Données projet'!$A$35:$I$55,3,0))</f>
        <v>3</v>
      </c>
      <c r="V37" s="16">
        <f>IF(ISNA(VLOOKUP(A37,'Données projet'!$A$35:$I$55,4,0)),0,VLOOKUP(A37,'Données projet'!$A$35:$I$55,4,0))</f>
        <v>65</v>
      </c>
      <c r="W37" s="17">
        <f>IF(ISNA(VLOOKUP(A37,'Données projet'!$A$35:$I$55,5,0)),0%,VLOOKUP(A37,'Données projet'!$A$35:$I$55,5,0)*VLOOKUP('Données projet'!$B$9,Paramètres!$A$1:$I$89,7,0))</f>
        <v>0.16500000000000001</v>
      </c>
      <c r="X37" s="17">
        <f>IF(ISNA(VLOOKUP(A37,'Données projet'!$A$35:$I$55,6,0)),0%,VLOOKUP(A37,'Données projet'!$A$35:$I$55,6,0)*VLOOKUP('Données projet'!$B$9,Paramètres!$A$1:$I$89,7,0))</f>
        <v>0.22000000000000003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12.846204225368901</v>
      </c>
      <c r="AA37" s="23">
        <f>EXP(-LN(2)/25)*AA36+(1-EXP(-LN(2)/25))/(LN(2)/25)*Calculateur!V37*Calculateur!X37*VLOOKUP('Données projet'!$B$9,Paramètres!$A$1:$I$89,3,0)*0.475*44/12</f>
        <v>20.513615565148797</v>
      </c>
      <c r="AB37" s="23">
        <f>EXP(-LN(2)/2)*AB36+(1-EXP(-LN(2)/2))/(LN(2)/2)*V37*Y37*VLOOKUP('Données projet'!$B$9,Paramètres!$A$1:$I$89,3,0)*0.475*44/12</f>
        <v>12.768204937293987</v>
      </c>
      <c r="AC37" s="24">
        <f t="shared" si="3"/>
        <v>46.128024727811685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32.4</v>
      </c>
      <c r="N38" s="14">
        <f>IF('Données projet'!$A$36&gt;35,N37+M38-V37,IF(A38&lt;'Données projet'!$A$36,$K$205^A38,IF(A38='Données projet'!$A$36,'Données projet'!$B$36,N37+M38-V37)))</f>
        <v>288.39999999999998</v>
      </c>
      <c r="O38" s="14">
        <f>N38*VLOOKUP('Données projet'!$B$9,Paramètres!$A$1:$I$89,3,0)*VLOOKUP('Données projet'!$B$9,Paramètres!$A$1:$I$89,5,0)</f>
        <v>134.97119999999998</v>
      </c>
      <c r="P38" s="14">
        <f t="shared" si="33"/>
        <v>35.142536849088657</v>
      </c>
      <c r="Q38" s="22">
        <f t="shared" si="53"/>
        <v>296.28142501216269</v>
      </c>
      <c r="R38" s="62">
        <f t="shared" si="0"/>
        <v>589.61475834549606</v>
      </c>
      <c r="S38" s="62">
        <f ca="1">AVERAGE(OFFSET($R$3,0,0,'Données projet'!$E$9+1,1))-AVERAGE(OFFSET($H$3,0,0,'Données projet'!$E$9+1,1))</f>
        <v>212.75825875635837</v>
      </c>
      <c r="T38" s="62">
        <f t="shared" si="34"/>
        <v>166.61377928936963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12.594297995920311</v>
      </c>
      <c r="AA38" s="23">
        <f>EXP(-LN(2)/25)*AA37+(1-EXP(-LN(2)/25))/(LN(2)/25)*Calculateur!V38*Calculateur!X38*VLOOKUP('Données projet'!$B$9,Paramètres!$A$1:$I$89,3,0)*0.475*44/12</f>
        <v>19.952669668755647</v>
      </c>
      <c r="AB38" s="23">
        <f>EXP(-LN(2)/2)*AB37+(1-EXP(-LN(2)/2))/(LN(2)/2)*V38*Y38*VLOOKUP('Données projet'!$B$9,Paramètres!$A$1:$I$89,3,0)*0.475*44/12</f>
        <v>9.0284842947401351</v>
      </c>
      <c r="AC38" s="24">
        <f t="shared" si="3"/>
        <v>41.5754519594161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32.4</v>
      </c>
      <c r="N39" s="14">
        <f>IF('Données projet'!$A$36&gt;35,N38+M39-V38,IF(A39&lt;'Données projet'!$A$36,$K$205^A39,IF(A39='Données projet'!$A$36,'Données projet'!$B$36,N38+M39-V38)))</f>
        <v>320.79999999999995</v>
      </c>
      <c r="O39" s="14">
        <f>N39*VLOOKUP('Données projet'!$B$9,Paramètres!$A$1:$I$89,3,0)*VLOOKUP('Données projet'!$B$9,Paramètres!$A$1:$I$89,5,0)</f>
        <v>150.1344</v>
      </c>
      <c r="P39" s="14">
        <f t="shared" si="33"/>
        <v>38.609126910934812</v>
      </c>
      <c r="Q39" s="22">
        <f t="shared" si="53"/>
        <v>328.7283093698781</v>
      </c>
      <c r="R39" s="62">
        <f t="shared" si="0"/>
        <v>622.06164270321142</v>
      </c>
      <c r="S39" s="62">
        <f ca="1">AVERAGE(OFFSET($R$3,0,0,'Données projet'!$E$9+1,1))-AVERAGE(OFFSET($H$3,0,0,'Données projet'!$E$9+1,1))</f>
        <v>212.75825875635837</v>
      </c>
      <c r="T39" s="62">
        <f t="shared" si="34"/>
        <v>166.61377928936963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12.34733149398358</v>
      </c>
      <c r="AA39" s="23">
        <f>EXP(-LN(2)/25)*AA38+(1-EXP(-LN(2)/25))/(LN(2)/25)*Calculateur!V39*Calculateur!X39*VLOOKUP('Données projet'!$B$9,Paramètres!$A$1:$I$89,3,0)*0.475*44/12</f>
        <v>19.407062867398228</v>
      </c>
      <c r="AB39" s="23">
        <f>EXP(-LN(2)/2)*AB38+(1-EXP(-LN(2)/2))/(LN(2)/2)*V39*Y39*VLOOKUP('Données projet'!$B$9,Paramètres!$A$1:$I$89,3,0)*0.475*44/12</f>
        <v>6.3841024686469936</v>
      </c>
      <c r="AC39" s="24">
        <f t="shared" si="3"/>
        <v>38.138496830028799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32.4</v>
      </c>
      <c r="N40" s="14">
        <f>IF('Données projet'!$A$36&gt;35,N39+M40-V39,IF(A40&lt;'Données projet'!$A$36,$K$205^A40,IF(A40='Données projet'!$A$36,'Données projet'!$B$36,N39+M40-V39)))</f>
        <v>353.19999999999993</v>
      </c>
      <c r="O40" s="14">
        <f>N40*VLOOKUP('Données projet'!$B$9,Paramètres!$A$1:$I$89,3,0)*VLOOKUP('Données projet'!$B$9,Paramètres!$A$1:$I$89,5,0)</f>
        <v>165.29759999999996</v>
      </c>
      <c r="P40" s="14">
        <f t="shared" si="33"/>
        <v>42.035129205137387</v>
      </c>
      <c r="Q40" s="22">
        <f t="shared" si="53"/>
        <v>361.10450336561422</v>
      </c>
      <c r="R40" s="62">
        <f t="shared" si="0"/>
        <v>654.43783669894754</v>
      </c>
      <c r="S40" s="62">
        <f ca="1">AVERAGE(OFFSET($R$3,0,0,'Données projet'!$E$9+1,1))-AVERAGE(OFFSET($H$3,0,0,'Données projet'!$E$9+1,1))</f>
        <v>212.75825875635837</v>
      </c>
      <c r="T40" s="62">
        <f t="shared" si="34"/>
        <v>166.61377928936963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12.105207854515136</v>
      </c>
      <c r="AA40" s="23">
        <f>EXP(-LN(2)/25)*AA39+(1-EXP(-LN(2)/25))/(LN(2)/25)*Calculateur!V40*Calculateur!X40*VLOOKUP('Données projet'!$B$9,Paramètres!$A$1:$I$89,3,0)*0.475*44/12</f>
        <v>18.876375712716143</v>
      </c>
      <c r="AB40" s="23">
        <f>EXP(-LN(2)/2)*AB39+(1-EXP(-LN(2)/2))/(LN(2)/2)*V40*Y40*VLOOKUP('Données projet'!$B$9,Paramètres!$A$1:$I$89,3,0)*0.475*44/12</f>
        <v>4.5142421473700676</v>
      </c>
      <c r="AC40" s="24">
        <f t="shared" si="3"/>
        <v>35.495825714601345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32.4</v>
      </c>
      <c r="N41" s="14">
        <f>IF('Données projet'!$A$36&gt;35,N40+M41-V40,IF(A41&lt;'Données projet'!$A$36,$K$205^A41,IF(A41='Données projet'!$A$36,'Données projet'!$B$36,N40+M41-V40)))</f>
        <v>385.59999999999991</v>
      </c>
      <c r="O41" s="14">
        <f>N41*VLOOKUP('Données projet'!$B$9,Paramètres!$A$1:$I$89,3,0)*VLOOKUP('Données projet'!$B$9,Paramètres!$A$1:$I$89,5,0)</f>
        <v>180.46079999999998</v>
      </c>
      <c r="P41" s="14">
        <f t="shared" si="33"/>
        <v>45.424690416772727</v>
      </c>
      <c r="Q41" s="22">
        <f t="shared" si="53"/>
        <v>393.41722914254575</v>
      </c>
      <c r="R41" s="62">
        <f t="shared" si="0"/>
        <v>686.75056247587906</v>
      </c>
      <c r="S41" s="62">
        <f ca="1">AVERAGE(OFFSET($R$3,0,0,'Données projet'!$E$9+1,1))-AVERAGE(OFFSET($H$3,0,0,'Données projet'!$E$9+1,1))</f>
        <v>212.75825875635837</v>
      </c>
      <c r="T41" s="62">
        <f t="shared" si="34"/>
        <v>166.61377928936963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11.867832111935831</v>
      </c>
      <c r="AA41" s="23">
        <f>EXP(-LN(2)/25)*AA40+(1-EXP(-LN(2)/25))/(LN(2)/25)*Calculateur!V41*Calculateur!X41*VLOOKUP('Données projet'!$B$9,Paramètres!$A$1:$I$89,3,0)*0.475*44/12</f>
        <v>18.360200226186464</v>
      </c>
      <c r="AB41" s="23">
        <f>EXP(-LN(2)/2)*AB40+(1-EXP(-LN(2)/2))/(LN(2)/2)*V41*Y41*VLOOKUP('Données projet'!$B$9,Paramètres!$A$1:$I$89,3,0)*0.475*44/12</f>
        <v>3.1920512343234968</v>
      </c>
      <c r="AC41" s="24">
        <f t="shared" si="3"/>
        <v>33.42008357244579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>
        <f>VLOOKUP(A42,'Données projet'!$A$35:$I$55,2,0)</f>
        <v>418</v>
      </c>
      <c r="L42" s="13">
        <f>VLOOKUP(A42,'Données projet'!$A$35:$I$55,9,0)</f>
        <v>32.4</v>
      </c>
      <c r="M42" s="13">
        <f t="array" ref="M42">INDEX(L:L,MIN(IF(ISNUMBER(L42:L238),ROW(L42:L238),"")))</f>
        <v>32.4</v>
      </c>
      <c r="N42" s="14">
        <f>IF('Données projet'!$A$36&gt;35,N41+M42-V41,IF(A42&lt;'Données projet'!$A$36,$K$205^A42,IF(A42='Données projet'!$A$36,'Données projet'!$B$36,N41+M42-V41)))</f>
        <v>417.99999999999989</v>
      </c>
      <c r="O42" s="14">
        <f>N42*VLOOKUP('Données projet'!$B$9,Paramètres!$A$1:$I$89,3,0)*VLOOKUP('Données projet'!$B$9,Paramètres!$A$1:$I$89,5,0)</f>
        <v>195.62399999999997</v>
      </c>
      <c r="P42" s="14">
        <f t="shared" si="33"/>
        <v>48.781220625276006</v>
      </c>
      <c r="Q42" s="22">
        <f t="shared" si="53"/>
        <v>425.67242592235561</v>
      </c>
      <c r="R42" s="62">
        <f t="shared" si="0"/>
        <v>719.00575925568887</v>
      </c>
      <c r="S42" s="62">
        <f ca="1">AVERAGE(OFFSET($R$3,0,0,'Données projet'!$E$9+1,1))-AVERAGE(OFFSET($H$3,0,0,'Données projet'!$E$9+1,1))</f>
        <v>212.75825875635837</v>
      </c>
      <c r="T42" s="62">
        <f t="shared" si="34"/>
        <v>166.61377928936963</v>
      </c>
      <c r="U42" s="16">
        <f>IF(ISNA(VLOOKUP(A42,'Données projet'!$A$35:$I$55,3,0)),0,VLOOKUP(A42,'Données projet'!$A$35:$I$55,3,0))</f>
        <v>4</v>
      </c>
      <c r="V42" s="16">
        <f>IF(ISNA(VLOOKUP(A42,'Données projet'!$A$35:$I$55,4,0)),0,VLOOKUP(A42,'Données projet'!$A$35:$I$55,4,0))</f>
        <v>70</v>
      </c>
      <c r="W42" s="17">
        <f>IF(ISNA(VLOOKUP(A42,'Données projet'!$A$35:$I$55,5,0)),0%,VLOOKUP(A42,'Données projet'!$A$35:$I$55,5,0)*VLOOKUP('Données projet'!$B$9,Paramètres!$A$1:$I$89,7,0))</f>
        <v>0.22000000000000003</v>
      </c>
      <c r="X42" s="17">
        <f>IF(ISNA(VLOOKUP(A42,'Données projet'!$A$35:$I$55,6,0)),0%,VLOOKUP(A42,'Données projet'!$A$35:$I$55,6,0)*VLOOKUP('Données projet'!$B$9,Paramètres!$A$1:$I$89,7,0))</f>
        <v>0.11000000000000001</v>
      </c>
      <c r="Y42" s="17">
        <f>IF(ISNA(VLOOKUP(A42,'Données projet'!$A$35:$I$55,7,0)),0%,VLOOKUP(A42,'Données projet'!$A$35:$I$55,7,0))</f>
        <v>0.4</v>
      </c>
      <c r="Z42" s="23">
        <f>EXP(-LN(2)/35)*Z41+(1-EXP(-LN(2)/35))/(LN(2)/35)*V42*W42*VLOOKUP('Données projet'!$B$9,Paramètres!$A$1:$I$89,3,0)*0.475*44/12</f>
        <v>21.195926506127453</v>
      </c>
      <c r="AA42" s="23">
        <f>EXP(-LN(2)/25)*AA41+(1-EXP(-LN(2)/25))/(LN(2)/25)*Calculateur!V42*Calculateur!X42*VLOOKUP('Données projet'!$B$9,Paramètres!$A$1:$I$89,3,0)*0.475*44/12</f>
        <v>22.619724970621057</v>
      </c>
      <c r="AB42" s="23">
        <f>EXP(-LN(2)/2)*AB41+(1-EXP(-LN(2)/2))/(LN(2)/2)*V42*Y42*VLOOKUP('Données projet'!$B$9,Paramètres!$A$1:$I$89,3,0)*0.475*44/12</f>
        <v>17.093893100471842</v>
      </c>
      <c r="AC42" s="24">
        <f t="shared" si="3"/>
        <v>60.909544577220359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29.8</v>
      </c>
      <c r="N43" s="14">
        <f>IF('Données projet'!$A$36&gt;35,N42+M43-V42,IF(A43&lt;'Données projet'!$A$36,$K$205^A43,IF(A43='Données projet'!$A$36,'Données projet'!$B$36,N42+M43-V42)))</f>
        <v>377.7999999999999</v>
      </c>
      <c r="O43" s="14">
        <f>N43*VLOOKUP('Données projet'!$B$9,Paramètres!$A$1:$I$89,3,0)*VLOOKUP('Données projet'!$B$9,Paramètres!$A$1:$I$89,5,0)</f>
        <v>176.81039999999996</v>
      </c>
      <c r="P43" s="14">
        <f t="shared" si="33"/>
        <v>44.611822218388589</v>
      </c>
      <c r="Q43" s="22">
        <f t="shared" si="53"/>
        <v>385.64370369702669</v>
      </c>
      <c r="R43" s="62">
        <f t="shared" si="0"/>
        <v>678.97703703035995</v>
      </c>
      <c r="S43" s="62">
        <f ca="1">AVERAGE(OFFSET($R$3,0,0,'Données projet'!$E$9+1,1))-AVERAGE(OFFSET($H$3,0,0,'Données projet'!$E$9+1,1))</f>
        <v>212.75825875635837</v>
      </c>
      <c r="T43" s="62">
        <f t="shared" si="34"/>
        <v>166.61377928936963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20.780287315580903</v>
      </c>
      <c r="AA43" s="23">
        <f>EXP(-LN(2)/25)*AA42+(1-EXP(-LN(2)/25))/(LN(2)/25)*Calculateur!V43*Calculateur!X43*VLOOKUP('Données projet'!$B$9,Paramètres!$A$1:$I$89,3,0)*0.475*44/12</f>
        <v>22.001187401779784</v>
      </c>
      <c r="AB43" s="23">
        <f>EXP(-LN(2)/2)*AB42+(1-EXP(-LN(2)/2))/(LN(2)/2)*V43*Y43*VLOOKUP('Données projet'!$B$9,Paramètres!$A$1:$I$89,3,0)*0.475*44/12</f>
        <v>12.087207728221578</v>
      </c>
      <c r="AC43" s="24">
        <f t="shared" si="3"/>
        <v>54.868682445582266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29.8</v>
      </c>
      <c r="N44" s="14">
        <f>IF('Données projet'!$A$36&gt;35,N43+M44-V43,IF(A44&lt;'Données projet'!$A$36,$K$205^A44,IF(A44='Données projet'!$A$36,'Données projet'!$B$36,N43+M44-V43)))</f>
        <v>407.59999999999991</v>
      </c>
      <c r="O44" s="14">
        <f>N44*VLOOKUP('Données projet'!$B$9,Paramètres!$A$1:$I$89,3,0)*VLOOKUP('Données projet'!$B$9,Paramètres!$A$1:$I$89,5,0)</f>
        <v>190.75679999999997</v>
      </c>
      <c r="P44" s="14">
        <f t="shared" si="33"/>
        <v>47.707231855830237</v>
      </c>
      <c r="Q44" s="22">
        <f t="shared" si="53"/>
        <v>415.32485548223758</v>
      </c>
      <c r="R44" s="62">
        <f t="shared" si="0"/>
        <v>708.65818881557084</v>
      </c>
      <c r="S44" s="62">
        <f ca="1">AVERAGE(OFFSET($R$3,0,0,'Données projet'!$E$9+1,1))-AVERAGE(OFFSET($H$3,0,0,'Données projet'!$E$9+1,1))</f>
        <v>212.75825875635837</v>
      </c>
      <c r="T44" s="62">
        <f t="shared" si="34"/>
        <v>166.61377928936963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20.372798556046099</v>
      </c>
      <c r="AA44" s="23">
        <f>EXP(-LN(2)/25)*AA43+(1-EXP(-LN(2)/25))/(LN(2)/25)*Calculateur!V44*Calculateur!X44*VLOOKUP('Données projet'!$B$9,Paramètres!$A$1:$I$89,3,0)*0.475*44/12</f>
        <v>21.399563775285955</v>
      </c>
      <c r="AB44" s="23">
        <f>EXP(-LN(2)/2)*AB43+(1-EXP(-LN(2)/2))/(LN(2)/2)*V44*Y44*VLOOKUP('Données projet'!$B$9,Paramètres!$A$1:$I$89,3,0)*0.475*44/12</f>
        <v>8.5469465502359228</v>
      </c>
      <c r="AC44" s="24">
        <f t="shared" si="3"/>
        <v>50.319308881567977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29.8</v>
      </c>
      <c r="N45" s="14">
        <f>IF('Données projet'!$A$36&gt;35,N44+M45-V44,IF(A45&lt;'Données projet'!$A$36,$K$205^A45,IF(A45='Données projet'!$A$36,'Données projet'!$B$36,N44+M45-V44)))</f>
        <v>437.39999999999992</v>
      </c>
      <c r="O45" s="14">
        <f>N45*VLOOKUP('Données projet'!$B$9,Paramètres!$A$1:$I$89,3,0)*VLOOKUP('Données projet'!$B$9,Paramètres!$A$1:$I$89,5,0)</f>
        <v>204.70319999999998</v>
      </c>
      <c r="P45" s="14">
        <f t="shared" si="33"/>
        <v>50.776386315598728</v>
      </c>
      <c r="Q45" s="22">
        <f t="shared" si="53"/>
        <v>444.96027949966771</v>
      </c>
      <c r="R45" s="62">
        <f t="shared" si="0"/>
        <v>738.29361283300102</v>
      </c>
      <c r="S45" s="62">
        <f ca="1">AVERAGE(OFFSET($R$3,0,0,'Données projet'!$E$9+1,1))-AVERAGE(OFFSET($H$3,0,0,'Données projet'!$E$9+1,1))</f>
        <v>212.75825875635837</v>
      </c>
      <c r="T45" s="62">
        <f t="shared" si="34"/>
        <v>166.61377928936963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19.973300402542172</v>
      </c>
      <c r="AA45" s="23">
        <f>EXP(-LN(2)/25)*AA44+(1-EXP(-LN(2)/25))/(LN(2)/25)*Calculateur!V45*Calculateur!X45*VLOOKUP('Données projet'!$B$9,Paramètres!$A$1:$I$89,3,0)*0.475*44/12</f>
        <v>20.814391578496611</v>
      </c>
      <c r="AB45" s="23">
        <f>EXP(-LN(2)/2)*AB44+(1-EXP(-LN(2)/2))/(LN(2)/2)*V45*Y45*VLOOKUP('Données projet'!$B$9,Paramètres!$A$1:$I$89,3,0)*0.475*44/12</f>
        <v>6.0436038641107901</v>
      </c>
      <c r="AC45" s="24">
        <f t="shared" si="3"/>
        <v>46.831295845149576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29.8</v>
      </c>
      <c r="N46" s="14">
        <f>IF('Données projet'!$A$36&gt;35,N45+M46-V45,IF(A46&lt;'Données projet'!$A$36,$K$205^A46,IF(A46='Données projet'!$A$36,'Données projet'!$B$36,N45+M46-V45)))</f>
        <v>467.19999999999993</v>
      </c>
      <c r="O46" s="14">
        <f>N46*VLOOKUP('Données projet'!$B$9,Paramètres!$A$1:$I$89,3,0)*VLOOKUP('Données projet'!$B$9,Paramètres!$A$1:$I$89,5,0)</f>
        <v>218.64959999999999</v>
      </c>
      <c r="P46" s="14">
        <f t="shared" si="33"/>
        <v>53.821277860805893</v>
      </c>
      <c r="Q46" s="22">
        <f t="shared" si="53"/>
        <v>474.55344560757021</v>
      </c>
      <c r="R46" s="62">
        <f t="shared" si="0"/>
        <v>767.88677894090347</v>
      </c>
      <c r="S46" s="62">
        <f ca="1">AVERAGE(OFFSET($R$3,0,0,'Données projet'!$E$9+1,1))-AVERAGE(OFFSET($H$3,0,0,'Données projet'!$E$9+1,1))</f>
        <v>212.75825875635837</v>
      </c>
      <c r="T46" s="62">
        <f t="shared" si="34"/>
        <v>166.61377928936963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19.581636164158642</v>
      </c>
      <c r="AA46" s="23">
        <f>EXP(-LN(2)/25)*AA45+(1-EXP(-LN(2)/25))/(LN(2)/25)*Calculateur!V46*Calculateur!X46*VLOOKUP('Données projet'!$B$9,Paramètres!$A$1:$I$89,3,0)*0.475*44/12</f>
        <v>20.245220946201339</v>
      </c>
      <c r="AB46" s="23">
        <f>EXP(-LN(2)/2)*AB45+(1-EXP(-LN(2)/2))/(LN(2)/2)*V46*Y46*VLOOKUP('Données projet'!$B$9,Paramètres!$A$1:$I$89,3,0)*0.475*44/12</f>
        <v>4.2734732751179623</v>
      </c>
      <c r="AC46" s="24">
        <f t="shared" si="3"/>
        <v>44.100330385477946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497</v>
      </c>
      <c r="L47" s="13">
        <f>VLOOKUP(A47,'Données projet'!$A$35:$I$55,9,0)</f>
        <v>29.8</v>
      </c>
      <c r="M47" s="13">
        <f t="array" ref="M47">INDEX(L:L,MIN(IF(ISNUMBER(L47:L243),ROW(L47:L243),"")))</f>
        <v>29.8</v>
      </c>
      <c r="N47" s="14">
        <f>IF('Données projet'!$A$36&gt;35,N46+M47-V46,IF(A47&lt;'Données projet'!$A$36,$K$205^A47,IF(A47='Données projet'!$A$36,'Données projet'!$B$36,N46+M47-V46)))</f>
        <v>496.99999999999994</v>
      </c>
      <c r="O47" s="14">
        <f>N47*VLOOKUP('Données projet'!$B$9,Paramètres!$A$1:$I$89,3,0)*VLOOKUP('Données projet'!$B$9,Paramètres!$A$1:$I$89,5,0)</f>
        <v>232.59599999999995</v>
      </c>
      <c r="P47" s="14">
        <f t="shared" si="33"/>
        <v>56.843630236302218</v>
      </c>
      <c r="Q47" s="22">
        <f t="shared" si="53"/>
        <v>504.10735599489294</v>
      </c>
      <c r="R47" s="62">
        <f t="shared" si="0"/>
        <v>797.4406893282262</v>
      </c>
      <c r="S47" s="62">
        <f ca="1">AVERAGE(OFFSET($R$3,0,0,'Données projet'!$E$9+1,1))-AVERAGE(OFFSET($H$3,0,0,'Données projet'!$E$9+1,1))</f>
        <v>212.75825875635837</v>
      </c>
      <c r="T47" s="62">
        <f t="shared" si="34"/>
        <v>166.61377928936963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53</v>
      </c>
      <c r="W47" s="17">
        <f>IF(ISNA(VLOOKUP(A47,'Données projet'!$A$35:$I$55,5,0)),0%,VLOOKUP(A47,'Données projet'!$A$35:$I$55,5,0)*VLOOKUP('Données projet'!$B$9,Paramètres!$A$1:$I$89,7,0))</f>
        <v>0.27500000000000002</v>
      </c>
      <c r="X47" s="17">
        <f>IF(ISNA(VLOOKUP(A47,'Données projet'!$A$35:$I$55,6,0)),0%,VLOOKUP(A47,'Données projet'!$A$35:$I$55,6,0)*VLOOKUP('Données projet'!$B$9,Paramètres!$A$1:$I$89,7,0))</f>
        <v>0.16500000000000001</v>
      </c>
      <c r="Y47" s="17">
        <f>IF(ISNA(VLOOKUP(A47,'Données projet'!$A$35:$I$55,7,0)),0%,VLOOKUP(A47,'Données projet'!$A$35:$I$55,7,0))</f>
        <v>0.2</v>
      </c>
      <c r="Z47" s="23">
        <f>EXP(-LN(2)/35)*Z46+(1-EXP(-LN(2)/35))/(LN(2)/35)*V47*W47*VLOOKUP('Données projet'!$B$9,Paramètres!$A$1:$I$89,3,0)*0.475*44/12</f>
        <v>28.246281029596865</v>
      </c>
      <c r="AA47" s="23">
        <f>EXP(-LN(2)/25)*AA46+(1-EXP(-LN(2)/25))/(LN(2)/25)*Calculateur!V47*Calculateur!X47*VLOOKUP('Données projet'!$B$9,Paramètres!$A$1:$I$89,3,0)*0.475*44/12</f>
        <v>25.099414859330132</v>
      </c>
      <c r="AB47" s="23">
        <f>EXP(-LN(2)/2)*AB46+(1-EXP(-LN(2)/2))/(LN(2)/2)*V47*Y47*VLOOKUP('Données projet'!$B$9,Paramètres!$A$1:$I$89,3,0)*0.475*44/12</f>
        <v>8.6385799136246888</v>
      </c>
      <c r="AC47" s="24">
        <f t="shared" si="3"/>
        <v>61.984275802551686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25.333333333333332</v>
      </c>
      <c r="N48" s="14">
        <f>IF('Données projet'!$A$36&gt;35,N47+M48-V47,IF(A48&lt;'Données projet'!$A$36,$K$205^A48,IF(A48='Données projet'!$A$36,'Données projet'!$B$36,N47+M48-V47)))</f>
        <v>469.33333333333326</v>
      </c>
      <c r="O48" s="14">
        <f>N48*VLOOKUP('Données projet'!$B$9,Paramètres!$A$1:$I$89,3,0)*VLOOKUP('Données projet'!$B$9,Paramètres!$A$1:$I$89,5,0)</f>
        <v>219.64799999999997</v>
      </c>
      <c r="P48" s="14">
        <f t="shared" si="33"/>
        <v>54.03837313132572</v>
      </c>
      <c r="Q48" s="22">
        <f t="shared" si="53"/>
        <v>476.67043320372562</v>
      </c>
      <c r="R48" s="62">
        <f t="shared" si="0"/>
        <v>770.00376653705894</v>
      </c>
      <c r="S48" s="62">
        <f ca="1">AVERAGE(OFFSET($R$3,0,0,'Données projet'!$E$9+1,1))-AVERAGE(OFFSET($H$3,0,0,'Données projet'!$E$9+1,1))</f>
        <v>212.75825875635837</v>
      </c>
      <c r="T48" s="62">
        <f t="shared" si="34"/>
        <v>166.61377928936963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27.692388687136724</v>
      </c>
      <c r="AA48" s="23">
        <f>EXP(-LN(2)/25)*AA47+(1-EXP(-LN(2)/25))/(LN(2)/25)*Calculateur!V48*Calculateur!X48*VLOOKUP('Données projet'!$B$9,Paramètres!$A$1:$I$89,3,0)*0.475*44/12</f>
        <v>24.413070040080889</v>
      </c>
      <c r="AB48" s="23">
        <f>EXP(-LN(2)/2)*AB47+(1-EXP(-LN(2)/2))/(LN(2)/2)*V48*Y48*VLOOKUP('Données projet'!$B$9,Paramètres!$A$1:$I$89,3,0)*0.475*44/12</f>
        <v>6.1083984367459179</v>
      </c>
      <c r="AC48" s="24">
        <f t="shared" si="3"/>
        <v>58.213857163963524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25.333333333333332</v>
      </c>
      <c r="N49" s="14">
        <f>IF('Données projet'!$A$36&gt;35,N48+M49-V48,IF(A49&lt;'Données projet'!$A$36,$K$205^A49,IF(A49='Données projet'!$A$36,'Données projet'!$B$36,N48+M49-V48)))</f>
        <v>494.66666666666657</v>
      </c>
      <c r="O49" s="14">
        <f>N49*VLOOKUP('Données projet'!$B$9,Paramètres!$A$1:$I$89,3,0)*VLOOKUP('Données projet'!$B$9,Paramètres!$A$1:$I$89,5,0)</f>
        <v>231.50399999999996</v>
      </c>
      <c r="P49" s="14">
        <f t="shared" si="33"/>
        <v>56.607758031045634</v>
      </c>
      <c r="Q49" s="22">
        <f t="shared" si="53"/>
        <v>501.79464523740444</v>
      </c>
      <c r="R49" s="62">
        <f t="shared" si="0"/>
        <v>795.1279785707377</v>
      </c>
      <c r="S49" s="62">
        <f ca="1">AVERAGE(OFFSET($R$3,0,0,'Données projet'!$E$9+1,1))-AVERAGE(OFFSET($H$3,0,0,'Données projet'!$E$9+1,1))</f>
        <v>212.75825875635837</v>
      </c>
      <c r="T49" s="62">
        <f t="shared" si="34"/>
        <v>166.61377928936963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27.149357835671253</v>
      </c>
      <c r="AA49" s="23">
        <f>EXP(-LN(2)/25)*AA48+(1-EXP(-LN(2)/25))/(LN(2)/25)*Calculateur!V49*Calculateur!X49*VLOOKUP('Données projet'!$B$9,Paramètres!$A$1:$I$89,3,0)*0.475*44/12</f>
        <v>23.745493356007319</v>
      </c>
      <c r="AB49" s="23">
        <f>EXP(-LN(2)/2)*AB48+(1-EXP(-LN(2)/2))/(LN(2)/2)*V49*Y49*VLOOKUP('Données projet'!$B$9,Paramètres!$A$1:$I$89,3,0)*0.475*44/12</f>
        <v>4.3192899568123453</v>
      </c>
      <c r="AC49" s="24">
        <f t="shared" si="3"/>
        <v>55.214141148490917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25.333333333333332</v>
      </c>
      <c r="N50" s="14">
        <f>IF('Données projet'!$A$36&gt;35,N49+M50-V49,IF(A50&lt;'Données projet'!$A$36,$K$205^A50,IF(A50='Données projet'!$A$36,'Données projet'!$B$36,N49+M50-V49)))</f>
        <v>519.99999999999989</v>
      </c>
      <c r="O50" s="14">
        <f>N50*VLOOKUP('Données projet'!$B$9,Paramètres!$A$1:$I$89,3,0)*VLOOKUP('Données projet'!$B$9,Paramètres!$A$1:$I$89,5,0)</f>
        <v>243.35999999999996</v>
      </c>
      <c r="P50" s="14">
        <f t="shared" si="33"/>
        <v>59.161864860837127</v>
      </c>
      <c r="Q50" s="22">
        <f t="shared" si="53"/>
        <v>526.89224796595784</v>
      </c>
      <c r="R50" s="62">
        <f t="shared" si="0"/>
        <v>820.22558129929121</v>
      </c>
      <c r="S50" s="62">
        <f ca="1">AVERAGE(OFFSET($R$3,0,0,'Données projet'!$E$9+1,1))-AVERAGE(OFFSET($H$3,0,0,'Données projet'!$E$9+1,1))</f>
        <v>212.75825875635837</v>
      </c>
      <c r="T50" s="62">
        <f t="shared" si="34"/>
        <v>166.61377928936963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26.616975487986906</v>
      </c>
      <c r="AA50" s="23">
        <f>EXP(-LN(2)/25)*AA49+(1-EXP(-LN(2)/25))/(LN(2)/25)*Calculateur!V50*Calculateur!X50*VLOOKUP('Données projet'!$B$9,Paramètres!$A$1:$I$89,3,0)*0.475*44/12</f>
        <v>23.096171591466074</v>
      </c>
      <c r="AB50" s="23">
        <f>EXP(-LN(2)/2)*AB49+(1-EXP(-LN(2)/2))/(LN(2)/2)*V50*Y50*VLOOKUP('Données projet'!$B$9,Paramètres!$A$1:$I$89,3,0)*0.475*44/12</f>
        <v>3.0541992183729594</v>
      </c>
      <c r="AC50" s="24">
        <f t="shared" si="3"/>
        <v>52.767346297825938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25.333333333333332</v>
      </c>
      <c r="N51" s="14">
        <f>IF('Données projet'!$A$36&gt;35,N50+M51-V50,IF(A51&lt;'Données projet'!$A$36,$K$205^A51,IF(A51='Données projet'!$A$36,'Données projet'!$B$36,N50+M51-V50)))</f>
        <v>545.33333333333326</v>
      </c>
      <c r="O51" s="14">
        <f>N51*VLOOKUP('Données projet'!$B$9,Paramètres!$A$1:$I$89,3,0)*VLOOKUP('Données projet'!$B$9,Paramètres!$A$1:$I$89,5,0)</f>
        <v>255.21599999999995</v>
      </c>
      <c r="P51" s="14">
        <f t="shared" si="33"/>
        <v>61.701522895151371</v>
      </c>
      <c r="Q51" s="22">
        <f t="shared" si="53"/>
        <v>551.96468570905517</v>
      </c>
      <c r="R51" s="62">
        <f t="shared" si="0"/>
        <v>845.29801904238843</v>
      </c>
      <c r="S51" s="62">
        <f ca="1">AVERAGE(OFFSET($R$3,0,0,'Données projet'!$E$9+1,1))-AVERAGE(OFFSET($H$3,0,0,'Données projet'!$E$9+1,1))</f>
        <v>212.75825875635837</v>
      </c>
      <c r="T51" s="62">
        <f t="shared" si="34"/>
        <v>166.61377928936963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26.095032833419481</v>
      </c>
      <c r="AA51" s="23">
        <f>EXP(-LN(2)/25)*AA50+(1-EXP(-LN(2)/25))/(LN(2)/25)*Calculateur!V51*Calculateur!X51*VLOOKUP('Données projet'!$B$9,Paramètres!$A$1:$I$89,3,0)*0.475*44/12</f>
        <v>22.464605564722557</v>
      </c>
      <c r="AB51" s="23">
        <f>EXP(-LN(2)/2)*AB50+(1-EXP(-LN(2)/2))/(LN(2)/2)*V51*Y51*VLOOKUP('Données projet'!$B$9,Paramètres!$A$1:$I$89,3,0)*0.475*44/12</f>
        <v>2.1596449784061726</v>
      </c>
      <c r="AC51" s="24">
        <f t="shared" si="3"/>
        <v>50.719283376548212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25.333333333333332</v>
      </c>
      <c r="N52" s="14">
        <f>IF('Données projet'!$A$36&gt;35,N51+M52-V51,IF(A52&lt;'Données projet'!$A$36,$K$205^A52,IF(A52='Données projet'!$A$36,'Données projet'!$B$36,N51+M52-V51)))</f>
        <v>570.66666666666663</v>
      </c>
      <c r="O52" s="14">
        <f>N52*VLOOKUP('Données projet'!$B$9,Paramètres!$A$1:$I$89,3,0)*VLOOKUP('Données projet'!$B$9,Paramètres!$A$1:$I$89,5,0)</f>
        <v>267.07199999999995</v>
      </c>
      <c r="P52" s="14">
        <f t="shared" si="33"/>
        <v>64.227480006516572</v>
      </c>
      <c r="Q52" s="22">
        <f t="shared" si="53"/>
        <v>577.01326101134964</v>
      </c>
      <c r="R52" s="62">
        <f t="shared" si="0"/>
        <v>870.3465943446829</v>
      </c>
      <c r="S52" s="62">
        <f ca="1">AVERAGE(OFFSET($R$3,0,0,'Données projet'!$E$9+1,1))-AVERAGE(OFFSET($H$3,0,0,'Données projet'!$E$9+1,1))</f>
        <v>212.75825875635837</v>
      </c>
      <c r="T52" s="62">
        <f t="shared" si="34"/>
        <v>166.61377928936963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25.58332515595454</v>
      </c>
      <c r="AA52" s="23">
        <f>EXP(-LN(2)/25)*AA51+(1-EXP(-LN(2)/25))/(LN(2)/25)*Calculateur!V52*Calculateur!X52*VLOOKUP('Données projet'!$B$9,Paramètres!$A$1:$I$89,3,0)*0.475*44/12</f>
        <v>21.850309744192955</v>
      </c>
      <c r="AB52" s="23">
        <f>EXP(-LN(2)/2)*AB51+(1-EXP(-LN(2)/2))/(LN(2)/2)*V52*Y52*VLOOKUP('Données projet'!$B$9,Paramètres!$A$1:$I$89,3,0)*0.475*44/12</f>
        <v>1.5270996091864797</v>
      </c>
      <c r="AC52" s="24">
        <f t="shared" si="3"/>
        <v>48.960734509333975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596</v>
      </c>
      <c r="L53" s="13">
        <f>VLOOKUP(A53,'Données projet'!$A$35:$I$55,9,0)</f>
        <v>25.333333333333332</v>
      </c>
      <c r="M53" s="13">
        <f t="array" ref="M53">INDEX(L:L,MIN(IF(ISNUMBER(L53:L249),ROW(L53:L249),"")))</f>
        <v>25.333333333333332</v>
      </c>
      <c r="N53" s="14">
        <f>IF('Données projet'!$A$36&gt;35,N52+M53-V52,IF(A53&lt;'Données projet'!$A$36,$K$205^A53,IF(A53='Données projet'!$A$36,'Données projet'!$B$36,N52+M53-V52)))</f>
        <v>596</v>
      </c>
      <c r="O53" s="14">
        <f>N53*VLOOKUP('Données projet'!$B$9,Paramètres!$A$1:$I$89,3,0)*VLOOKUP('Données projet'!$B$9,Paramètres!$A$1:$I$89,5,0)</f>
        <v>278.928</v>
      </c>
      <c r="P53" s="14">
        <f t="shared" si="33"/>
        <v>66.740413913415367</v>
      </c>
      <c r="Q53" s="22">
        <f t="shared" si="53"/>
        <v>602.0391542325317</v>
      </c>
      <c r="R53" s="62">
        <f t="shared" si="0"/>
        <v>895.37248756586496</v>
      </c>
      <c r="S53" s="62">
        <f ca="1">AVERAGE(OFFSET($R$3,0,0,'Données projet'!$E$9+1,1))-AVERAGE(OFFSET($H$3,0,0,'Données projet'!$E$9+1,1))</f>
        <v>212.75825875635837</v>
      </c>
      <c r="T53" s="62">
        <f t="shared" si="34"/>
        <v>166.61377928936963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55</v>
      </c>
      <c r="W53" s="17">
        <f>IF(ISNA(VLOOKUP(A53,'Données projet'!$A$35:$I$55,5,0)),0%,VLOOKUP(A53,'Données projet'!$A$35:$I$55,5,0)*VLOOKUP('Données projet'!$B$9,Paramètres!$A$1:$I$89,7,0))</f>
        <v>0.27500000000000002</v>
      </c>
      <c r="X53" s="17">
        <f>IF(ISNA(VLOOKUP(A53,'Données projet'!$A$35:$I$55,6,0)),0%,VLOOKUP(A53,'Données projet'!$A$35:$I$55,6,0)*VLOOKUP('Données projet'!$B$9,Paramètres!$A$1:$I$89,7,0))</f>
        <v>0.16500000000000001</v>
      </c>
      <c r="Y53" s="17">
        <f>IF(ISNA(VLOOKUP(A53,'Données projet'!$A$35:$I$55,7,0)),0%,VLOOKUP(A53,'Données projet'!$A$35:$I$55,7,0))</f>
        <v>0.2</v>
      </c>
      <c r="Z53" s="23">
        <f>EXP(-LN(2)/35)*Z52+(1-EXP(-LN(2)/35))/(LN(2)/35)*V53*W53*VLOOKUP('Données projet'!$B$9,Paramètres!$A$1:$I$89,3,0)*0.475*44/12</f>
        <v>34.471738251762609</v>
      </c>
      <c r="AA53" s="23">
        <f>EXP(-LN(2)/25)*AA52+(1-EXP(-LN(2)/25))/(LN(2)/25)*Calculateur!V53*Calculateur!X53*VLOOKUP('Données projet'!$B$9,Paramètres!$A$1:$I$89,3,0)*0.475*44/12</f>
        <v>26.864680364810173</v>
      </c>
      <c r="AB53" s="23">
        <f>EXP(-LN(2)/2)*AB52+(1-EXP(-LN(2)/2))/(LN(2)/2)*V53*Y53*VLOOKUP('Données projet'!$B$9,Paramètres!$A$1:$I$89,3,0)*0.475*44/12</f>
        <v>6.9085543568693328</v>
      </c>
      <c r="AC53" s="24">
        <f t="shared" si="3"/>
        <v>68.244972973442117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20.166666666666668</v>
      </c>
      <c r="N54" s="14">
        <f>IF('Données projet'!$A$36&gt;35,N53+M54-V53,IF(A54&lt;'Données projet'!$A$36,$K$205^A54,IF(A54='Données projet'!$A$36,'Données projet'!$B$36,N53+M54-V53)))</f>
        <v>561.16666666666663</v>
      </c>
      <c r="O54" s="14">
        <f>N54*VLOOKUP('Données projet'!$B$9,Paramètres!$A$1:$I$89,3,0)*VLOOKUP('Données projet'!$B$9,Paramètres!$A$1:$I$89,5,0)</f>
        <v>262.62599999999998</v>
      </c>
      <c r="P54" s="14">
        <f t="shared" si="33"/>
        <v>63.281807230823453</v>
      </c>
      <c r="Q54" s="22">
        <f t="shared" si="53"/>
        <v>567.62276426035078</v>
      </c>
      <c r="R54" s="62">
        <f t="shared" si="0"/>
        <v>860.95609759368404</v>
      </c>
      <c r="S54" s="62">
        <f ca="1">AVERAGE(OFFSET($R$3,0,0,'Données projet'!$E$9+1,1))-AVERAGE(OFFSET($H$3,0,0,'Données projet'!$E$9+1,1))</f>
        <v>212.75825875635837</v>
      </c>
      <c r="T54" s="62">
        <f t="shared" si="34"/>
        <v>166.61377928936963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33.795768490329763</v>
      </c>
      <c r="AA54" s="23">
        <f>EXP(-LN(2)/25)*AA53+(1-EXP(-LN(2)/25))/(LN(2)/25)*Calculateur!V54*Calculateur!X54*VLOOKUP('Données projet'!$B$9,Paramètres!$A$1:$I$89,3,0)*0.475*44/12</f>
        <v>26.1300642674823</v>
      </c>
      <c r="AB54" s="23">
        <f>EXP(-LN(2)/2)*AB53+(1-EXP(-LN(2)/2))/(LN(2)/2)*V54*Y54*VLOOKUP('Données projet'!$B$9,Paramètres!$A$1:$I$89,3,0)*0.475*44/12</f>
        <v>4.8850856339381732</v>
      </c>
      <c r="AC54" s="24">
        <f t="shared" si="3"/>
        <v>64.810918391750235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20.166666666666668</v>
      </c>
      <c r="N55" s="14">
        <f>IF('Données projet'!$A$36&gt;35,N54+M55-V54,IF(A55&lt;'Données projet'!$A$36,$K$205^A55,IF(A55='Données projet'!$A$36,'Données projet'!$B$36,N54+M55-V54)))</f>
        <v>581.33333333333326</v>
      </c>
      <c r="O55" s="14">
        <f>N55*VLOOKUP('Données projet'!$B$9,Paramètres!$A$1:$I$89,3,0)*VLOOKUP('Données projet'!$B$9,Paramètres!$A$1:$I$89,5,0)</f>
        <v>272.06399999999996</v>
      </c>
      <c r="P55" s="14">
        <f t="shared" si="33"/>
        <v>65.287107848113664</v>
      </c>
      <c r="Q55" s="22">
        <f t="shared" si="53"/>
        <v>587.55317950213123</v>
      </c>
      <c r="R55" s="62">
        <f t="shared" si="0"/>
        <v>880.8865128354646</v>
      </c>
      <c r="S55" s="62">
        <f ca="1">AVERAGE(OFFSET($R$3,0,0,'Données projet'!$E$9+1,1))-AVERAGE(OFFSET($H$3,0,0,'Données projet'!$E$9+1,1))</f>
        <v>212.75825875635837</v>
      </c>
      <c r="T55" s="62">
        <f t="shared" si="34"/>
        <v>166.61377928936963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33.133054083617772</v>
      </c>
      <c r="AA55" s="23">
        <f>EXP(-LN(2)/25)*AA54+(1-EXP(-LN(2)/25))/(LN(2)/25)*Calculateur!V55*Calculateur!X55*VLOOKUP('Données projet'!$B$9,Paramètres!$A$1:$I$89,3,0)*0.475*44/12</f>
        <v>25.415536285967637</v>
      </c>
      <c r="AB55" s="23">
        <f>EXP(-LN(2)/2)*AB54+(1-EXP(-LN(2)/2))/(LN(2)/2)*V55*Y55*VLOOKUP('Données projet'!$B$9,Paramètres!$A$1:$I$89,3,0)*0.475*44/12</f>
        <v>3.4542771784346669</v>
      </c>
      <c r="AC55" s="24">
        <f t="shared" si="3"/>
        <v>62.002867548020077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20.166666666666668</v>
      </c>
      <c r="N56" s="14">
        <f>IF('Données projet'!$A$36&gt;35,N55+M56-V55,IF(A56&lt;'Données projet'!$A$36,$K$205^A56,IF(A56='Données projet'!$A$36,'Données projet'!$B$36,N55+M56-V55)))</f>
        <v>601.49999999999989</v>
      </c>
      <c r="O56" s="14">
        <f>N56*VLOOKUP('Données projet'!$B$9,Paramètres!$A$1:$I$89,3,0)*VLOOKUP('Données projet'!$B$9,Paramètres!$A$1:$I$89,5,0)</f>
        <v>281.50199999999995</v>
      </c>
      <c r="P56" s="14">
        <f t="shared" si="33"/>
        <v>67.28432575810065</v>
      </c>
      <c r="Q56" s="22">
        <f t="shared" si="53"/>
        <v>607.46951736202516</v>
      </c>
      <c r="R56" s="62">
        <f t="shared" si="0"/>
        <v>900.80285069535853</v>
      </c>
      <c r="S56" s="62">
        <f ca="1">AVERAGE(OFFSET($R$3,0,0,'Données projet'!$E$9+1,1))-AVERAGE(OFFSET($H$3,0,0,'Données projet'!$E$9+1,1))</f>
        <v>212.75825875635837</v>
      </c>
      <c r="T56" s="62">
        <f t="shared" si="34"/>
        <v>166.61377928936963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32.48333510220553</v>
      </c>
      <c r="AA56" s="23">
        <f>EXP(-LN(2)/25)*AA55+(1-EXP(-LN(2)/25))/(LN(2)/25)*Calculateur!V56*Calculateur!X56*VLOOKUP('Données projet'!$B$9,Paramètres!$A$1:$I$89,3,0)*0.475*44/12</f>
        <v>24.720547109682887</v>
      </c>
      <c r="AB56" s="23">
        <f>EXP(-LN(2)/2)*AB55+(1-EXP(-LN(2)/2))/(LN(2)/2)*V56*Y56*VLOOKUP('Données projet'!$B$9,Paramètres!$A$1:$I$89,3,0)*0.475*44/12</f>
        <v>2.442542816969087</v>
      </c>
      <c r="AC56" s="24">
        <f t="shared" si="3"/>
        <v>59.6464250288575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20.166666666666668</v>
      </c>
      <c r="N57" s="14">
        <f>IF('Données projet'!$A$36&gt;35,N56+M57-V56,IF(A57&lt;'Données projet'!$A$36,$K$205^A57,IF(A57='Données projet'!$A$36,'Données projet'!$B$36,N56+M57-V56)))</f>
        <v>621.66666666666652</v>
      </c>
      <c r="O57" s="14">
        <f>N57*VLOOKUP('Données projet'!$B$9,Paramètres!$A$1:$I$89,3,0)*VLOOKUP('Données projet'!$B$9,Paramètres!$A$1:$I$89,5,0)</f>
        <v>290.93999999999994</v>
      </c>
      <c r="P57" s="14">
        <f t="shared" si="33"/>
        <v>69.27376302085473</v>
      </c>
      <c r="Q57" s="22">
        <f t="shared" si="53"/>
        <v>627.37230392798858</v>
      </c>
      <c r="R57" s="62">
        <f t="shared" si="0"/>
        <v>920.70563726132195</v>
      </c>
      <c r="S57" s="62">
        <f ca="1">AVERAGE(OFFSET($R$3,0,0,'Données projet'!$E$9+1,1))-AVERAGE(OFFSET($H$3,0,0,'Données projet'!$E$9+1,1))</f>
        <v>212.75825875635837</v>
      </c>
      <c r="T57" s="62">
        <f t="shared" si="34"/>
        <v>166.61377928936963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31.846356713729332</v>
      </c>
      <c r="AA57" s="23">
        <f>EXP(-LN(2)/25)*AA56+(1-EXP(-LN(2)/25))/(LN(2)/25)*Calculateur!V57*Calculateur!X57*VLOOKUP('Données projet'!$B$9,Paramètres!$A$1:$I$89,3,0)*0.475*44/12</f>
        <v>24.044562448971536</v>
      </c>
      <c r="AB57" s="23">
        <f>EXP(-LN(2)/2)*AB56+(1-EXP(-LN(2)/2))/(LN(2)/2)*V57*Y57*VLOOKUP('Données projet'!$B$9,Paramètres!$A$1:$I$89,3,0)*0.475*44/12</f>
        <v>1.7271385892173337</v>
      </c>
      <c r="AC57" s="24">
        <f t="shared" si="3"/>
        <v>57.618057751918201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20.166666666666668</v>
      </c>
      <c r="N58" s="14">
        <f>IF('Données projet'!$A$36&gt;35,N57+M58-V57,IF(A58&lt;'Données projet'!$A$36,$K$205^A58,IF(A58='Données projet'!$A$36,'Données projet'!$B$36,N57+M58-V57)))</f>
        <v>641.83333333333314</v>
      </c>
      <c r="O58" s="14">
        <f>N58*VLOOKUP('Données projet'!$B$9,Paramètres!$A$1:$I$89,3,0)*VLOOKUP('Données projet'!$B$9,Paramètres!$A$1:$I$89,5,0)</f>
        <v>300.37799999999993</v>
      </c>
      <c r="P58" s="14">
        <f t="shared" si="33"/>
        <v>71.255700986480306</v>
      </c>
      <c r="Q58" s="22">
        <f t="shared" si="53"/>
        <v>647.26202921811966</v>
      </c>
      <c r="R58" s="62">
        <f t="shared" si="0"/>
        <v>940.59536255145304</v>
      </c>
      <c r="S58" s="62">
        <f ca="1">AVERAGE(OFFSET($R$3,0,0,'Données projet'!$E$9+1,1))-AVERAGE(OFFSET($H$3,0,0,'Données projet'!$E$9+1,1))</f>
        <v>212.75825875635837</v>
      </c>
      <c r="T58" s="62">
        <f t="shared" si="34"/>
        <v>166.61377928936963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31.221869082932699</v>
      </c>
      <c r="AA58" s="23">
        <f>EXP(-LN(2)/25)*AA57+(1-EXP(-LN(2)/25))/(LN(2)/25)*Calculateur!V58*Calculateur!X58*VLOOKUP('Données projet'!$B$9,Paramètres!$A$1:$I$89,3,0)*0.475*44/12</f>
        <v>23.387062624355824</v>
      </c>
      <c r="AB58" s="23">
        <f>EXP(-LN(2)/2)*AB57+(1-EXP(-LN(2)/2))/(LN(2)/2)*V58*Y58*VLOOKUP('Données projet'!$B$9,Paramètres!$A$1:$I$89,3,0)*0.475*44/12</f>
        <v>1.2212714084845435</v>
      </c>
      <c r="AC58" s="24">
        <f t="shared" si="3"/>
        <v>55.83020311577306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662</v>
      </c>
      <c r="L59" s="13">
        <f>VLOOKUP(A59,'Données projet'!$A$35:$I$55,9,0)</f>
        <v>20.166666666666668</v>
      </c>
      <c r="M59" s="13">
        <f t="array" ref="M59">INDEX(L:L,MIN(IF(ISNUMBER(L59:L255),ROW(L59:L255),"")))</f>
        <v>20.166666666666668</v>
      </c>
      <c r="N59" s="14">
        <f>IF('Données projet'!$A$36&gt;35,N58+M59-V58,IF(A59&lt;'Données projet'!$A$36,$K$205^A59,IF(A59='Données projet'!$A$36,'Données projet'!$B$36,N58+M59-V58)))</f>
        <v>661.99999999999977</v>
      </c>
      <c r="O59" s="14">
        <f>N59*VLOOKUP('Données projet'!$B$9,Paramètres!$A$1:$I$89,3,0)*VLOOKUP('Données projet'!$B$9,Paramètres!$A$1:$I$89,5,0)</f>
        <v>309.81599999999992</v>
      </c>
      <c r="P59" s="14">
        <f t="shared" si="33"/>
        <v>73.230402320660119</v>
      </c>
      <c r="Q59" s="22">
        <f t="shared" si="53"/>
        <v>667.13915070848282</v>
      </c>
      <c r="R59" s="62">
        <f t="shared" si="0"/>
        <v>960.47248404181619</v>
      </c>
      <c r="S59" s="62">
        <f ca="1">AVERAGE(OFFSET($R$3,0,0,'Données projet'!$E$9+1,1))-AVERAGE(OFFSET($H$3,0,0,'Données projet'!$E$9+1,1))</f>
        <v>212.75825875635837</v>
      </c>
      <c r="T59" s="62">
        <f t="shared" si="34"/>
        <v>166.61377928936963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662</v>
      </c>
      <c r="W59" s="17">
        <f>IF(ISNA(VLOOKUP(A59,'Données projet'!$A$35:$I$55,5,0)),0%,VLOOKUP(A59,'Données projet'!$A$35:$I$55,5,0)*VLOOKUP('Données projet'!$B$9,Paramètres!$A$1:$I$89,7,0))</f>
        <v>0.27500000000000002</v>
      </c>
      <c r="X59" s="17">
        <f>IF(ISNA(VLOOKUP(A59,'Données projet'!$A$35:$I$55,6,0)),0%,VLOOKUP(A59,'Données projet'!$A$35:$I$55,6,0)*VLOOKUP('Données projet'!$B$9,Paramètres!$A$1:$I$89,7,0))</f>
        <v>0.16500000000000001</v>
      </c>
      <c r="Y59" s="17">
        <f>IF(ISNA(VLOOKUP(A59,'Données projet'!$A$35:$I$55,7,0)),0%,VLOOKUP(A59,'Données projet'!$A$35:$I$55,7,0))</f>
        <v>0.2</v>
      </c>
      <c r="Z59" s="23">
        <f>EXP(-LN(2)/35)*Z58+(1-EXP(-LN(2)/35))/(LN(2)/35)*V59*W59*VLOOKUP('Données projet'!$B$9,Paramètres!$A$1:$I$89,3,0)*0.475*44/12</f>
        <v>143.63212293845172</v>
      </c>
      <c r="AA59" s="23">
        <f>EXP(-LN(2)/25)*AA58+(1-EXP(-LN(2)/25))/(LN(2)/25)*Calculateur!V59*Calculateur!X59*VLOOKUP('Données projet'!$B$9,Paramètres!$A$1:$I$89,3,0)*0.475*44/12</f>
        <v>90.294031987658386</v>
      </c>
      <c r="AB59" s="23">
        <f>EXP(-LN(2)/2)*AB58+(1-EXP(-LN(2)/2))/(LN(2)/2)*V59*Y59*VLOOKUP('Données projet'!$B$9,Paramètres!$A$1:$I$89,3,0)*0.475*44/12</f>
        <v>71.020305592700581</v>
      </c>
      <c r="AC59" s="24">
        <f t="shared" si="3"/>
        <v>304.94646051881068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-2.2737367544323206E-13</v>
      </c>
      <c r="O60" s="14">
        <f>N60*VLOOKUP('Données projet'!$B$9,Paramètres!$A$1:$I$89,3,0)*VLOOKUP('Données projet'!$B$9,Paramètres!$A$1:$I$89,5,0)</f>
        <v>-1.064108801074326E-13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212.75825875635837</v>
      </c>
      <c r="T60" s="62">
        <f t="shared" si="34"/>
        <v>166.61377928936963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140.8155846145732</v>
      </c>
      <c r="AA60" s="23">
        <f>EXP(-LN(2)/25)*AA59+(1-EXP(-LN(2)/25))/(LN(2)/25)*Calculateur!V60*Calculateur!X60*VLOOKUP('Données projet'!$B$9,Paramètres!$A$1:$I$89,3,0)*0.475*44/12</f>
        <v>87.824936934599094</v>
      </c>
      <c r="AB60" s="23">
        <f>EXP(-LN(2)/2)*AB59+(1-EXP(-LN(2)/2))/(LN(2)/2)*V60*Y60*VLOOKUP('Données projet'!$B$9,Paramètres!$A$1:$I$89,3,0)*0.475*44/12</f>
        <v>50.218939686539471</v>
      </c>
      <c r="AC60" s="24">
        <f t="shared" si="3"/>
        <v>278.85946123571176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-2.2737367544323206E-13</v>
      </c>
      <c r="O61" s="14">
        <f>N61*VLOOKUP('Données projet'!$B$9,Paramètres!$A$1:$I$89,3,0)*VLOOKUP('Données projet'!$B$9,Paramètres!$A$1:$I$89,5,0)</f>
        <v>-1.064108801074326E-13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212.75825875635837</v>
      </c>
      <c r="T61" s="62">
        <f t="shared" si="34"/>
        <v>166.61377928936963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138.0542768893072</v>
      </c>
      <c r="AA61" s="23">
        <f>EXP(-LN(2)/25)*AA60+(1-EXP(-LN(2)/25))/(LN(2)/25)*Calculateur!V61*Calculateur!X61*VLOOKUP('Données projet'!$B$9,Paramètres!$A$1:$I$89,3,0)*0.475*44/12</f>
        <v>85.423359415609781</v>
      </c>
      <c r="AB61" s="23">
        <f>EXP(-LN(2)/2)*AB60+(1-EXP(-LN(2)/2))/(LN(2)/2)*V61*Y61*VLOOKUP('Données projet'!$B$9,Paramètres!$A$1:$I$89,3,0)*0.475*44/12</f>
        <v>35.510152796350297</v>
      </c>
      <c r="AC61" s="24">
        <f t="shared" si="3"/>
        <v>258.98778910126725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-2.2737367544323206E-13</v>
      </c>
      <c r="O62" s="14">
        <f>N62*VLOOKUP('Données projet'!$B$9,Paramètres!$A$1:$I$89,3,0)*VLOOKUP('Données projet'!$B$9,Paramètres!$A$1:$I$89,5,0)</f>
        <v>-1.064108801074326E-13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212.75825875635837</v>
      </c>
      <c r="T62" s="62">
        <f t="shared" si="34"/>
        <v>166.61377928936963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135.34711672430225</v>
      </c>
      <c r="AA62" s="23">
        <f>EXP(-LN(2)/25)*AA61+(1-EXP(-LN(2)/25))/(LN(2)/25)*Calculateur!V62*Calculateur!X62*VLOOKUP('Données projet'!$B$9,Paramètres!$A$1:$I$89,3,0)*0.475*44/12</f>
        <v>83.087453160170696</v>
      </c>
      <c r="AB62" s="23">
        <f>EXP(-LN(2)/2)*AB61+(1-EXP(-LN(2)/2))/(LN(2)/2)*V62*Y62*VLOOKUP('Données projet'!$B$9,Paramètres!$A$1:$I$89,3,0)*0.475*44/12</f>
        <v>25.109469843269739</v>
      </c>
      <c r="AC62" s="24">
        <f t="shared" si="3"/>
        <v>243.5440397277427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-2.2737367544323206E-13</v>
      </c>
      <c r="O63" s="14">
        <f>N63*VLOOKUP('Données projet'!$B$9,Paramètres!$A$1:$I$89,3,0)*VLOOKUP('Données projet'!$B$9,Paramètres!$A$1:$I$89,5,0)</f>
        <v>-1.064108801074326E-13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212.75825875635837</v>
      </c>
      <c r="T63" s="62">
        <f t="shared" si="34"/>
        <v>166.61377928936963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132.69304231892841</v>
      </c>
      <c r="AA63" s="23">
        <f>EXP(-LN(2)/25)*AA62+(1-EXP(-LN(2)/25))/(LN(2)/25)*Calculateur!V63*Calculateur!X63*VLOOKUP('Données projet'!$B$9,Paramètres!$A$1:$I$89,3,0)*0.475*44/12</f>
        <v>80.815422384126563</v>
      </c>
      <c r="AB63" s="23">
        <f>EXP(-LN(2)/2)*AB62+(1-EXP(-LN(2)/2))/(LN(2)/2)*V63*Y63*VLOOKUP('Données projet'!$B$9,Paramètres!$A$1:$I$89,3,0)*0.475*44/12</f>
        <v>17.755076398175149</v>
      </c>
      <c r="AC63" s="24">
        <f t="shared" si="3"/>
        <v>231.26354110123015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-1.064108801074326E-13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212.75825875635837</v>
      </c>
      <c r="T64" s="62">
        <f t="shared" si="34"/>
        <v>166.61377928936963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130.09101269381839</v>
      </c>
      <c r="AA64" s="23">
        <f>EXP(-LN(2)/25)*AA63+(1-EXP(-LN(2)/25))/(LN(2)/25)*Calculateur!V64*Calculateur!X64*VLOOKUP('Données projet'!$B$9,Paramètres!$A$1:$I$89,3,0)*0.475*44/12</f>
        <v>78.605520409134272</v>
      </c>
      <c r="AB64" s="23">
        <f>EXP(-LN(2)/2)*AB63+(1-EXP(-LN(2)/2))/(LN(2)/2)*V64*Y64*VLOOKUP('Données projet'!$B$9,Paramètres!$A$1:$I$89,3,0)*0.475*44/12</f>
        <v>12.55473492163487</v>
      </c>
      <c r="AC64" s="24">
        <f t="shared" si="3"/>
        <v>221.25126802458752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-1.064108801074326E-13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212.75825875635837</v>
      </c>
      <c r="T65" s="62">
        <f t="shared" si="34"/>
        <v>166.61377928936963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127.54000728257542</v>
      </c>
      <c r="AA65" s="23">
        <f>EXP(-LN(2)/25)*AA64+(1-EXP(-LN(2)/25))/(LN(2)/25)*Calculateur!V65*Calculateur!X65*VLOOKUP('Données projet'!$B$9,Paramètres!$A$1:$I$89,3,0)*0.475*44/12</f>
        <v>76.456048319861836</v>
      </c>
      <c r="AB65" s="23">
        <f>EXP(-LN(2)/2)*AB64+(1-EXP(-LN(2)/2))/(LN(2)/2)*V65*Y65*VLOOKUP('Données projet'!$B$9,Paramètres!$A$1:$I$89,3,0)*0.475*44/12</f>
        <v>8.8775381990875744</v>
      </c>
      <c r="AC65" s="24">
        <f t="shared" si="3"/>
        <v>212.87359380152483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-1.064108801074326E-13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212.75825875635837</v>
      </c>
      <c r="T66" s="62">
        <f t="shared" si="34"/>
        <v>166.61377928936963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125.03902553148725</v>
      </c>
      <c r="AA66" s="23">
        <f>EXP(-LN(2)/25)*AA65+(1-EXP(-LN(2)/25))/(LN(2)/25)*Calculateur!V66*Calculateur!X66*VLOOKUP('Données projet'!$B$9,Paramètres!$A$1:$I$89,3,0)*0.475*44/12</f>
        <v>74.365353657906368</v>
      </c>
      <c r="AB66" s="23">
        <f>EXP(-LN(2)/2)*AB65+(1-EXP(-LN(2)/2))/(LN(2)/2)*V66*Y66*VLOOKUP('Données projet'!$B$9,Paramètres!$A$1:$I$89,3,0)*0.475*44/12</f>
        <v>6.2773674608174348</v>
      </c>
      <c r="AC66" s="24">
        <f t="shared" si="3"/>
        <v>205.68174665021107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-1.064108801074326E-13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212.75825875635837</v>
      </c>
      <c r="T67" s="62">
        <f t="shared" si="34"/>
        <v>166.61377928936963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122.58708650708969</v>
      </c>
      <c r="AA67" s="23">
        <f>EXP(-LN(2)/25)*AA66+(1-EXP(-LN(2)/25))/(LN(2)/25)*Calculateur!V67*Calculateur!X67*VLOOKUP('Données projet'!$B$9,Paramètres!$A$1:$I$89,3,0)*0.475*44/12</f>
        <v>72.33182915142693</v>
      </c>
      <c r="AB67" s="23">
        <f>EXP(-LN(2)/2)*AB66+(1-EXP(-LN(2)/2))/(LN(2)/2)*V67*Y67*VLOOKUP('Données projet'!$B$9,Paramètres!$A$1:$I$89,3,0)*0.475*44/12</f>
        <v>4.4387690995437872</v>
      </c>
      <c r="AC67" s="24">
        <f t="shared" si="3"/>
        <v>199.3576847580604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-1.064108801074326E-13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212.75825875635837</v>
      </c>
      <c r="T68" s="62">
        <f t="shared" si="34"/>
        <v>166.61377928936963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120.18322851142544</v>
      </c>
      <c r="AA68" s="23">
        <f>EXP(-LN(2)/25)*AA67+(1-EXP(-LN(2)/25))/(LN(2)/25)*Calculateur!V68*Calculateur!X68*VLOOKUP('Données projet'!$B$9,Paramètres!$A$1:$I$89,3,0)*0.475*44/12</f>
        <v>70.353911479515588</v>
      </c>
      <c r="AB68" s="23">
        <f>EXP(-LN(2)/2)*AB67+(1-EXP(-LN(2)/2))/(LN(2)/2)*V68*Y68*VLOOKUP('Données projet'!$B$9,Paramètres!$A$1:$I$89,3,0)*0.475*44/12</f>
        <v>3.1386837304087174</v>
      </c>
      <c r="AC68" s="24">
        <f t="shared" ref="AC68:AC131" si="57">SUM(Z68:AB68)</f>
        <v>193.67582372134976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-1.064108801074326E-13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212.75825875635837</v>
      </c>
      <c r="T69" s="62">
        <f t="shared" ref="T69:T132" si="88">$T$3</f>
        <v>166.61377928936963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117.82650870484756</v>
      </c>
      <c r="AA69" s="23">
        <f>EXP(-LN(2)/25)*AA68+(1-EXP(-LN(2)/25))/(LN(2)/25)*Calculateur!V69*Calculateur!X69*VLOOKUP('Données projet'!$B$9,Paramètres!$A$1:$I$89,3,0)*0.475*44/12</f>
        <v>68.430080070356823</v>
      </c>
      <c r="AB69" s="23">
        <f>EXP(-LN(2)/2)*AB68+(1-EXP(-LN(2)/2))/(LN(2)/2)*V69*Y69*VLOOKUP('Données projet'!$B$9,Paramètres!$A$1:$I$89,3,0)*0.475*44/12</f>
        <v>2.2193845497718936</v>
      </c>
      <c r="AC69" s="24">
        <f t="shared" si="57"/>
        <v>188.47597332497625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-1.064108801074326E-13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212.75825875635837</v>
      </c>
      <c r="T70" s="62">
        <f t="shared" si="88"/>
        <v>166.61377928936963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115.51600273621952</v>
      </c>
      <c r="AA70" s="23">
        <f>EXP(-LN(2)/25)*AA69+(1-EXP(-LN(2)/25))/(LN(2)/25)*Calculateur!V70*Calculateur!X70*VLOOKUP('Données projet'!$B$9,Paramètres!$A$1:$I$89,3,0)*0.475*44/12</f>
        <v>66.558855932251404</v>
      </c>
      <c r="AB70" s="23">
        <f>EXP(-LN(2)/2)*AB69+(1-EXP(-LN(2)/2))/(LN(2)/2)*V70*Y70*VLOOKUP('Données projet'!$B$9,Paramètres!$A$1:$I$89,3,0)*0.475*44/12</f>
        <v>1.5693418652043587</v>
      </c>
      <c r="AC70" s="24">
        <f t="shared" si="57"/>
        <v>183.6442005336753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-1.064108801074326E-13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212.75825875635837</v>
      </c>
      <c r="T71" s="62">
        <f t="shared" si="88"/>
        <v>166.61377928936963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113.25080438036679</v>
      </c>
      <c r="AA71" s="23">
        <f>EXP(-LN(2)/25)*AA70+(1-EXP(-LN(2)/25))/(LN(2)/25)*Calculateur!V71*Calculateur!X71*VLOOKUP('Données projet'!$B$9,Paramètres!$A$1:$I$89,3,0)*0.475*44/12</f>
        <v>64.738800516605878</v>
      </c>
      <c r="AB71" s="23">
        <f>EXP(-LN(2)/2)*AB70+(1-EXP(-LN(2)/2))/(LN(2)/2)*V71*Y71*VLOOKUP('Données projet'!$B$9,Paramètres!$A$1:$I$89,3,0)*0.475*44/12</f>
        <v>1.1096922748859468</v>
      </c>
      <c r="AC71" s="24">
        <f t="shared" si="57"/>
        <v>179.09929717185861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-1.064108801074326E-13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212.75825875635837</v>
      </c>
      <c r="T72" s="62">
        <f t="shared" si="88"/>
        <v>166.61377928936963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111.03002518263776</v>
      </c>
      <c r="AA72" s="23">
        <f>EXP(-LN(2)/25)*AA71+(1-EXP(-LN(2)/25))/(LN(2)/25)*Calculateur!V72*Calculateur!X72*VLOOKUP('Données projet'!$B$9,Paramètres!$A$1:$I$89,3,0)*0.475*44/12</f>
        <v>62.968514612013735</v>
      </c>
      <c r="AB72" s="23">
        <f>EXP(-LN(2)/2)*AB71+(1-EXP(-LN(2)/2))/(LN(2)/2)*V72*Y72*VLOOKUP('Données projet'!$B$9,Paramètres!$A$1:$I$89,3,0)*0.475*44/12</f>
        <v>0.78467093260217935</v>
      </c>
      <c r="AC72" s="24">
        <f t="shared" si="57"/>
        <v>174.78321072725367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-1.064108801074326E-13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212.75825875635837</v>
      </c>
      <c r="T73" s="62">
        <f t="shared" si="88"/>
        <v>166.61377928936963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108.85279411043464</v>
      </c>
      <c r="AA73" s="23">
        <f>EXP(-LN(2)/25)*AA72+(1-EXP(-LN(2)/25))/(LN(2)/25)*Calculateur!V73*Calculateur!X73*VLOOKUP('Données projet'!$B$9,Paramètres!$A$1:$I$89,3,0)*0.475*44/12</f>
        <v>61.246637268577949</v>
      </c>
      <c r="AB73" s="23">
        <f>EXP(-LN(2)/2)*AB72+(1-EXP(-LN(2)/2))/(LN(2)/2)*V73*Y73*VLOOKUP('Données projet'!$B$9,Paramètres!$A$1:$I$89,3,0)*0.475*44/12</f>
        <v>0.5548461374429734</v>
      </c>
      <c r="AC73" s="24">
        <f t="shared" si="57"/>
        <v>170.65427751645558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-1.064108801074326E-13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212.75825875635837</v>
      </c>
      <c r="T74" s="62">
        <f t="shared" si="88"/>
        <v>166.61377928936963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106.71825721157759</v>
      </c>
      <c r="AA74" s="23">
        <f>EXP(-LN(2)/25)*AA73+(1-EXP(-LN(2)/25))/(LN(2)/25)*Calculateur!V74*Calculateur!X74*VLOOKUP('Données projet'!$B$9,Paramètres!$A$1:$I$89,3,0)*0.475*44/12</f>
        <v>59.571844751648015</v>
      </c>
      <c r="AB74" s="23">
        <f>EXP(-LN(2)/2)*AB73+(1-EXP(-LN(2)/2))/(LN(2)/2)*V74*Y74*VLOOKUP('Données projet'!$B$9,Paramètres!$A$1:$I$89,3,0)*0.475*44/12</f>
        <v>0.39233546630108967</v>
      </c>
      <c r="AC74" s="24">
        <f t="shared" si="57"/>
        <v>166.68243742952669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-1.064108801074326E-13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212.75825875635837</v>
      </c>
      <c r="T75" s="62">
        <f t="shared" si="88"/>
        <v>166.61377928936963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104.62557727936819</v>
      </c>
      <c r="AA75" s="23">
        <f>EXP(-LN(2)/25)*AA74+(1-EXP(-LN(2)/25))/(LN(2)/25)*Calculateur!V75*Calculateur!X75*VLOOKUP('Données projet'!$B$9,Paramètres!$A$1:$I$89,3,0)*0.475*44/12</f>
        <v>57.942849524167038</v>
      </c>
      <c r="AB75" s="23">
        <f>EXP(-LN(2)/2)*AB74+(1-EXP(-LN(2)/2))/(LN(2)/2)*V75*Y75*VLOOKUP('Données projet'!$B$9,Paramètres!$A$1:$I$89,3,0)*0.475*44/12</f>
        <v>0.2774230687214867</v>
      </c>
      <c r="AC75" s="24">
        <f t="shared" si="57"/>
        <v>162.84584987225671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-1.064108801074326E-13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212.75825875635837</v>
      </c>
      <c r="T76" s="62">
        <f t="shared" si="88"/>
        <v>166.61377928936963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102.57393352422068</v>
      </c>
      <c r="AA76" s="23">
        <f>EXP(-LN(2)/25)*AA75+(1-EXP(-LN(2)/25))/(LN(2)/25)*Calculateur!V76*Calculateur!X76*VLOOKUP('Données projet'!$B$9,Paramètres!$A$1:$I$89,3,0)*0.475*44/12</f>
        <v>56.358399256846667</v>
      </c>
      <c r="AB76" s="23">
        <f>EXP(-LN(2)/2)*AB75+(1-EXP(-LN(2)/2))/(LN(2)/2)*V76*Y76*VLOOKUP('Données projet'!$B$9,Paramètres!$A$1:$I$89,3,0)*0.475*44/12</f>
        <v>0.19616773315054484</v>
      </c>
      <c r="AC76" s="24">
        <f t="shared" si="57"/>
        <v>159.12850051421788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-1.064108801074326E-13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212.75825875635837</v>
      </c>
      <c r="T77" s="62">
        <f t="shared" si="88"/>
        <v>166.61377928936963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100.56252125173249</v>
      </c>
      <c r="AA77" s="23">
        <f>EXP(-LN(2)/25)*AA76+(1-EXP(-LN(2)/25))/(LN(2)/25)*Calculateur!V77*Calculateur!X77*VLOOKUP('Données projet'!$B$9,Paramètres!$A$1:$I$89,3,0)*0.475*44/12</f>
        <v>54.817275865408789</v>
      </c>
      <c r="AB77" s="23">
        <f>EXP(-LN(2)/2)*AB76+(1-EXP(-LN(2)/2))/(LN(2)/2)*V77*Y77*VLOOKUP('Données projet'!$B$9,Paramètres!$A$1:$I$89,3,0)*0.475*44/12</f>
        <v>0.13871153436074335</v>
      </c>
      <c r="AC77" s="24">
        <f t="shared" si="57"/>
        <v>155.518508651502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-1.064108801074326E-13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212.75825875635837</v>
      </c>
      <c r="T78" s="62">
        <f t="shared" si="88"/>
        <v>166.61377928936963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98.590551547067449</v>
      </c>
      <c r="AA78" s="23">
        <f>EXP(-LN(2)/25)*AA77+(1-EXP(-LN(2)/25))/(LN(2)/25)*Calculateur!V78*Calculateur!X78*VLOOKUP('Données projet'!$B$9,Paramètres!$A$1:$I$89,3,0)*0.475*44/12</f>
        <v>53.318294574153931</v>
      </c>
      <c r="AB78" s="23">
        <f>EXP(-LN(2)/2)*AB77+(1-EXP(-LN(2)/2))/(LN(2)/2)*V78*Y78*VLOOKUP('Données projet'!$B$9,Paramètres!$A$1:$I$89,3,0)*0.475*44/12</f>
        <v>9.8083866575272419E-2</v>
      </c>
      <c r="AC78" s="24">
        <f t="shared" si="57"/>
        <v>152.00692998779667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-1.064108801074326E-13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212.75825875635837</v>
      </c>
      <c r="T79" s="62">
        <f t="shared" si="88"/>
        <v>166.61377928936963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96.657250965528135</v>
      </c>
      <c r="AA79" s="23">
        <f>EXP(-LN(2)/25)*AA78+(1-EXP(-LN(2)/25))/(LN(2)/25)*Calculateur!V79*Calculateur!X79*VLOOKUP('Données projet'!$B$9,Paramètres!$A$1:$I$89,3,0)*0.475*44/12</f>
        <v>51.860303005136444</v>
      </c>
      <c r="AB79" s="23">
        <f>EXP(-LN(2)/2)*AB78+(1-EXP(-LN(2)/2))/(LN(2)/2)*V79*Y79*VLOOKUP('Données projet'!$B$9,Paramètres!$A$1:$I$89,3,0)*0.475*44/12</f>
        <v>6.9355767180371675E-2</v>
      </c>
      <c r="AC79" s="24">
        <f t="shared" si="57"/>
        <v>148.58690973784496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-1.064108801074326E-13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212.75825875635837</v>
      </c>
      <c r="T80" s="62">
        <f t="shared" si="88"/>
        <v>166.61377928936963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94.761861229195887</v>
      </c>
      <c r="AA80" s="23">
        <f>EXP(-LN(2)/25)*AA79+(1-EXP(-LN(2)/25))/(LN(2)/25)*Calculateur!V80*Calculateur!X80*VLOOKUP('Données projet'!$B$9,Paramètres!$A$1:$I$89,3,0)*0.475*44/12</f>
        <v>50.442180292246178</v>
      </c>
      <c r="AB80" s="23">
        <f>EXP(-LN(2)/2)*AB79+(1-EXP(-LN(2)/2))/(LN(2)/2)*V80*Y80*VLOOKUP('Données projet'!$B$9,Paramètres!$A$1:$I$89,3,0)*0.475*44/12</f>
        <v>4.9041933287636209E-2</v>
      </c>
      <c r="AC80" s="24">
        <f t="shared" si="57"/>
        <v>145.2530834547297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-1.064108801074326E-13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212.75825875635837</v>
      </c>
      <c r="T81" s="62">
        <f t="shared" si="88"/>
        <v>166.61377928936963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92.903638929519531</v>
      </c>
      <c r="AA81" s="23">
        <f>EXP(-LN(2)/25)*AA80+(1-EXP(-LN(2)/25))/(LN(2)/25)*Calculateur!V81*Calculateur!X81*VLOOKUP('Données projet'!$B$9,Paramètres!$A$1:$I$89,3,0)*0.475*44/12</f>
        <v>49.062836219515731</v>
      </c>
      <c r="AB81" s="23">
        <f>EXP(-LN(2)/2)*AB80+(1-EXP(-LN(2)/2))/(LN(2)/2)*V81*Y81*VLOOKUP('Données projet'!$B$9,Paramètres!$A$1:$I$89,3,0)*0.475*44/12</f>
        <v>3.4677883590185837E-2</v>
      </c>
      <c r="AC81" s="24">
        <f t="shared" si="57"/>
        <v>142.00115303262544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-1.064108801074326E-13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212.75825875635837</v>
      </c>
      <c r="T82" s="62">
        <f t="shared" si="88"/>
        <v>166.61377928936963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91.081855235736128</v>
      </c>
      <c r="AA82" s="23">
        <f>EXP(-LN(2)/25)*AA81+(1-EXP(-LN(2)/25))/(LN(2)/25)*Calculateur!V82*Calculateur!X82*VLOOKUP('Données projet'!$B$9,Paramètres!$A$1:$I$89,3,0)*0.475*44/12</f>
        <v>47.721210382990648</v>
      </c>
      <c r="AB82" s="23">
        <f>EXP(-LN(2)/2)*AB81+(1-EXP(-LN(2)/2))/(LN(2)/2)*V82*Y82*VLOOKUP('Données projet'!$B$9,Paramètres!$A$1:$I$89,3,0)*0.475*44/12</f>
        <v>2.4520966643818105E-2</v>
      </c>
      <c r="AC82" s="24">
        <f t="shared" si="57"/>
        <v>138.8275865853706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-1.064108801074326E-13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212.75825875635837</v>
      </c>
      <c r="T83" s="62">
        <f t="shared" si="88"/>
        <v>166.61377928936963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89.295795609009488</v>
      </c>
      <c r="AA83" s="23">
        <f>EXP(-LN(2)/25)*AA82+(1-EXP(-LN(2)/25))/(LN(2)/25)*Calculateur!V83*Calculateur!X83*VLOOKUP('Données projet'!$B$9,Paramètres!$A$1:$I$89,3,0)*0.475*44/12</f>
        <v>46.416271375518384</v>
      </c>
      <c r="AB83" s="23">
        <f>EXP(-LN(2)/2)*AB82+(1-EXP(-LN(2)/2))/(LN(2)/2)*V83*Y83*VLOOKUP('Données projet'!$B$9,Paramètres!$A$1:$I$89,3,0)*0.475*44/12</f>
        <v>1.7338941795092919E-2</v>
      </c>
      <c r="AC83" s="24">
        <f t="shared" si="57"/>
        <v>135.72940592632295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-1.064108801074326E-13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212.75825875635837</v>
      </c>
      <c r="T84" s="62">
        <f t="shared" si="88"/>
        <v>166.61377928936963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87.544759522174161</v>
      </c>
      <c r="AA84" s="23">
        <f>EXP(-LN(2)/25)*AA83+(1-EXP(-LN(2)/25))/(LN(2)/25)*Calculateur!V84*Calculateur!X84*VLOOKUP('Données projet'!$B$9,Paramètres!$A$1:$I$89,3,0)*0.475*44/12</f>
        <v>45.147015993829207</v>
      </c>
      <c r="AB84" s="23">
        <f>EXP(-LN(2)/2)*AB83+(1-EXP(-LN(2)/2))/(LN(2)/2)*V84*Y84*VLOOKUP('Données projet'!$B$9,Paramètres!$A$1:$I$89,3,0)*0.475*44/12</f>
        <v>1.2260483321909052E-2</v>
      </c>
      <c r="AC84" s="24">
        <f t="shared" si="57"/>
        <v>132.70403599932527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-1.064108801074326E-13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212.75825875635837</v>
      </c>
      <c r="T85" s="62">
        <f t="shared" si="88"/>
        <v>166.61377928936963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85.828060184975115</v>
      </c>
      <c r="AA85" s="23">
        <f>EXP(-LN(2)/25)*AA84+(1-EXP(-LN(2)/25))/(LN(2)/25)*Calculateur!V85*Calculateur!X85*VLOOKUP('Données projet'!$B$9,Paramètres!$A$1:$I$89,3,0)*0.475*44/12</f>
        <v>43.912468467299561</v>
      </c>
      <c r="AB85" s="23">
        <f>EXP(-LN(2)/2)*AB84+(1-EXP(-LN(2)/2))/(LN(2)/2)*V85*Y85*VLOOKUP('Données projet'!$B$9,Paramètres!$A$1:$I$89,3,0)*0.475*44/12</f>
        <v>8.6694708975464593E-3</v>
      </c>
      <c r="AC85" s="24">
        <f t="shared" si="57"/>
        <v>129.74919812317225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-1.064108801074326E-13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212.75825875635837</v>
      </c>
      <c r="T86" s="62">
        <f t="shared" si="88"/>
        <v>166.61377928936963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84.145024274695345</v>
      </c>
      <c r="AA86" s="23">
        <f>EXP(-LN(2)/25)*AA85+(1-EXP(-LN(2)/25))/(LN(2)/25)*Calculateur!V86*Calculateur!X86*VLOOKUP('Données projet'!$B$9,Paramètres!$A$1:$I$89,3,0)*0.475*44/12</f>
        <v>42.711679707804905</v>
      </c>
      <c r="AB86" s="23">
        <f>EXP(-LN(2)/2)*AB85+(1-EXP(-LN(2)/2))/(LN(2)/2)*V86*Y86*VLOOKUP('Données projet'!$B$9,Paramètres!$A$1:$I$89,3,0)*0.475*44/12</f>
        <v>6.1302416609545262E-3</v>
      </c>
      <c r="AC86" s="24">
        <f t="shared" si="57"/>
        <v>126.8628342241612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-1.064108801074326E-13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212.75825875635837</v>
      </c>
      <c r="T87" s="62">
        <f t="shared" si="88"/>
        <v>166.61377928936963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82.494991672065609</v>
      </c>
      <c r="AA87" s="23">
        <f>EXP(-LN(2)/25)*AA86+(1-EXP(-LN(2)/25))/(LN(2)/25)*Calculateur!V87*Calculateur!X87*VLOOKUP('Données projet'!$B$9,Paramètres!$A$1:$I$89,3,0)*0.475*44/12</f>
        <v>41.543726580085362</v>
      </c>
      <c r="AB87" s="23">
        <f>EXP(-LN(2)/2)*AB86+(1-EXP(-LN(2)/2))/(LN(2)/2)*V87*Y87*VLOOKUP('Données projet'!$B$9,Paramètres!$A$1:$I$89,3,0)*0.475*44/12</f>
        <v>4.3347354487732297E-3</v>
      </c>
      <c r="AC87" s="24">
        <f t="shared" si="57"/>
        <v>124.04305298759975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-1.064108801074326E-13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212.75825875635837</v>
      </c>
      <c r="T88" s="62">
        <f t="shared" si="88"/>
        <v>166.61377928936963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80.877315202352932</v>
      </c>
      <c r="AA88" s="23">
        <f>EXP(-LN(2)/25)*AA87+(1-EXP(-LN(2)/25))/(LN(2)/25)*Calculateur!V88*Calculateur!X88*VLOOKUP('Données projet'!$B$9,Paramètres!$A$1:$I$89,3,0)*0.475*44/12</f>
        <v>40.407711192063296</v>
      </c>
      <c r="AB88" s="23">
        <f>EXP(-LN(2)/2)*AB87+(1-EXP(-LN(2)/2))/(LN(2)/2)*V88*Y88*VLOOKUP('Données projet'!$B$9,Paramètres!$A$1:$I$89,3,0)*0.475*44/12</f>
        <v>3.0651208304772631E-3</v>
      </c>
      <c r="AC88" s="24">
        <f t="shared" si="57"/>
        <v>121.28809151524671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-1.064108801074326E-13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212.75825875635837</v>
      </c>
      <c r="T89" s="62">
        <f t="shared" si="88"/>
        <v>166.61377928936963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79.291360381526104</v>
      </c>
      <c r="AA89" s="23">
        <f>EXP(-LN(2)/25)*AA88+(1-EXP(-LN(2)/25))/(LN(2)/25)*Calculateur!V89*Calculateur!X89*VLOOKUP('Données projet'!$B$9,Paramètres!$A$1:$I$89,3,0)*0.475*44/12</f>
        <v>39.30276020456715</v>
      </c>
      <c r="AB89" s="23">
        <f>EXP(-LN(2)/2)*AB88+(1-EXP(-LN(2)/2))/(LN(2)/2)*V89*Y89*VLOOKUP('Données projet'!$B$9,Paramètres!$A$1:$I$89,3,0)*0.475*44/12</f>
        <v>2.1673677243866148E-3</v>
      </c>
      <c r="AC89" s="24">
        <f t="shared" si="57"/>
        <v>118.59628795381764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-1.064108801074326E-13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212.75825875635837</v>
      </c>
      <c r="T90" s="62">
        <f t="shared" si="88"/>
        <v>166.61377928936963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77.736505167398761</v>
      </c>
      <c r="AA90" s="23">
        <f>EXP(-LN(2)/25)*AA89+(1-EXP(-LN(2)/25))/(LN(2)/25)*Calculateur!V90*Calculateur!X90*VLOOKUP('Données projet'!$B$9,Paramètres!$A$1:$I$89,3,0)*0.475*44/12</f>
        <v>38.228024159930932</v>
      </c>
      <c r="AB90" s="23">
        <f>EXP(-LN(2)/2)*AB89+(1-EXP(-LN(2)/2))/(LN(2)/2)*V90*Y90*VLOOKUP('Données projet'!$B$9,Paramètres!$A$1:$I$89,3,0)*0.475*44/12</f>
        <v>1.5325604152386315E-3</v>
      </c>
      <c r="AC90" s="24">
        <f t="shared" si="57"/>
        <v>115.96606188774494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-1.064108801074326E-13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212.75825875635837</v>
      </c>
      <c r="T91" s="62">
        <f t="shared" si="88"/>
        <v>166.61377928936963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76.212139715652427</v>
      </c>
      <c r="AA91" s="23">
        <f>EXP(-LN(2)/25)*AA90+(1-EXP(-LN(2)/25))/(LN(2)/25)*Calculateur!V91*Calculateur!X91*VLOOKUP('Données projet'!$B$9,Paramètres!$A$1:$I$89,3,0)*0.475*44/12</f>
        <v>37.182676828953198</v>
      </c>
      <c r="AB91" s="23">
        <f>EXP(-LN(2)/2)*AB90+(1-EXP(-LN(2)/2))/(LN(2)/2)*V91*Y91*VLOOKUP('Données projet'!$B$9,Paramètres!$A$1:$I$89,3,0)*0.475*44/12</f>
        <v>1.0836838621933074E-3</v>
      </c>
      <c r="AC91" s="24">
        <f t="shared" si="57"/>
        <v>113.39590022846781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-1.064108801074326E-13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212.75825875635837</v>
      </c>
      <c r="T92" s="62">
        <f t="shared" si="88"/>
        <v>166.61377928936963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74.717666140643715</v>
      </c>
      <c r="AA92" s="23">
        <f>EXP(-LN(2)/25)*AA91+(1-EXP(-LN(2)/25))/(LN(2)/25)*Calculateur!V92*Calculateur!X92*VLOOKUP('Données projet'!$B$9,Paramètres!$A$1:$I$89,3,0)*0.475*44/12</f>
        <v>36.165914575713479</v>
      </c>
      <c r="AB92" s="23">
        <f>EXP(-LN(2)/2)*AB91+(1-EXP(-LN(2)/2))/(LN(2)/2)*V92*Y92*VLOOKUP('Données projet'!$B$9,Paramètres!$A$1:$I$89,3,0)*0.475*44/12</f>
        <v>7.6628020761931577E-4</v>
      </c>
      <c r="AC92" s="24">
        <f t="shared" si="57"/>
        <v>110.8843469965648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-1.064108801074326E-13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212.75825875635837</v>
      </c>
      <c r="T93" s="62">
        <f t="shared" si="88"/>
        <v>166.61377928936963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73.252498280902046</v>
      </c>
      <c r="AA93" s="23">
        <f>EXP(-LN(2)/25)*AA92+(1-EXP(-LN(2)/25))/(LN(2)/25)*Calculateur!V93*Calculateur!X93*VLOOKUP('Données projet'!$B$9,Paramètres!$A$1:$I$89,3,0)*0.475*44/12</f>
        <v>35.176955739757808</v>
      </c>
      <c r="AB93" s="23">
        <f>EXP(-LN(2)/2)*AB92+(1-EXP(-LN(2)/2))/(LN(2)/2)*V93*Y93*VLOOKUP('Données projet'!$B$9,Paramètres!$A$1:$I$89,3,0)*0.475*44/12</f>
        <v>5.4184193109665371E-4</v>
      </c>
      <c r="AC93" s="24">
        <f t="shared" si="57"/>
        <v>108.42999586259094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-1.064108801074326E-13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212.75825875635837</v>
      </c>
      <c r="T94" s="62">
        <f t="shared" si="88"/>
        <v>166.61377928936963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71.816061469225758</v>
      </c>
      <c r="AA94" s="23">
        <f>EXP(-LN(2)/25)*AA93+(1-EXP(-LN(2)/25))/(LN(2)/25)*Calculateur!V94*Calculateur!X94*VLOOKUP('Données projet'!$B$9,Paramètres!$A$1:$I$89,3,0)*0.475*44/12</f>
        <v>34.215040035178426</v>
      </c>
      <c r="AB94" s="23">
        <f>EXP(-LN(2)/2)*AB93+(1-EXP(-LN(2)/2))/(LN(2)/2)*V94*Y94*VLOOKUP('Données projet'!$B$9,Paramètres!$A$1:$I$89,3,0)*0.475*44/12</f>
        <v>3.8314010380965789E-4</v>
      </c>
      <c r="AC94" s="24">
        <f t="shared" si="57"/>
        <v>106.03148464450798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-1.064108801074326E-13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212.75825875635837</v>
      </c>
      <c r="T95" s="62">
        <f t="shared" si="88"/>
        <v>166.61377928936963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70.407792307286499</v>
      </c>
      <c r="AA95" s="23">
        <f>EXP(-LN(2)/25)*AA94+(1-EXP(-LN(2)/25))/(LN(2)/25)*Calculateur!V95*Calculateur!X95*VLOOKUP('Données projet'!$B$9,Paramètres!$A$1:$I$89,3,0)*0.475*44/12</f>
        <v>33.279427966125716</v>
      </c>
      <c r="AB95" s="23">
        <f>EXP(-LN(2)/2)*AB94+(1-EXP(-LN(2)/2))/(LN(2)/2)*V95*Y95*VLOOKUP('Données projet'!$B$9,Paramètres!$A$1:$I$89,3,0)*0.475*44/12</f>
        <v>2.7092096554832685E-4</v>
      </c>
      <c r="AC95" s="24">
        <f t="shared" si="57"/>
        <v>103.68749119437776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-1.064108801074326E-13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212.75825875635837</v>
      </c>
      <c r="T96" s="62">
        <f t="shared" si="88"/>
        <v>166.61377928936963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69.027138444653502</v>
      </c>
      <c r="AA96" s="23">
        <f>EXP(-LN(2)/25)*AA95+(1-EXP(-LN(2)/25))/(LN(2)/25)*Calculateur!V96*Calculateur!X96*VLOOKUP('Données projet'!$B$9,Paramètres!$A$1:$I$89,3,0)*0.475*44/12</f>
        <v>32.369400258302953</v>
      </c>
      <c r="AB96" s="23">
        <f>EXP(-LN(2)/2)*AB95+(1-EXP(-LN(2)/2))/(LN(2)/2)*V96*Y96*VLOOKUP('Données projet'!$B$9,Paramètres!$A$1:$I$89,3,0)*0.475*44/12</f>
        <v>1.9157005190482894E-4</v>
      </c>
      <c r="AC96" s="24">
        <f t="shared" si="57"/>
        <v>101.39673027300837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-1.064108801074326E-13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212.75825875635837</v>
      </c>
      <c r="T97" s="62">
        <f t="shared" si="88"/>
        <v>166.61377928936963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67.673558362151027</v>
      </c>
      <c r="AA97" s="23">
        <f>EXP(-LN(2)/25)*AA96+(1-EXP(-LN(2)/25))/(LN(2)/25)*Calculateur!V97*Calculateur!X97*VLOOKUP('Données projet'!$B$9,Paramètres!$A$1:$I$89,3,0)*0.475*44/12</f>
        <v>31.484257306006882</v>
      </c>
      <c r="AB97" s="23">
        <f>EXP(-LN(2)/2)*AB96+(1-EXP(-LN(2)/2))/(LN(2)/2)*V97*Y97*VLOOKUP('Données projet'!$B$9,Paramètres!$A$1:$I$89,3,0)*0.475*44/12</f>
        <v>1.3546048277416343E-4</v>
      </c>
      <c r="AC97" s="24">
        <f t="shared" si="57"/>
        <v>99.15795112864069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-1.064108801074326E-13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212.75825875635837</v>
      </c>
      <c r="T98" s="62">
        <f t="shared" si="88"/>
        <v>166.61377928936963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66.346521159464103</v>
      </c>
      <c r="AA98" s="23">
        <f>EXP(-LN(2)/25)*AA97+(1-EXP(-LN(2)/25))/(LN(2)/25)*Calculateur!V98*Calculateur!X98*VLOOKUP('Données projet'!$B$9,Paramètres!$A$1:$I$89,3,0)*0.475*44/12</f>
        <v>30.623318634288989</v>
      </c>
      <c r="AB98" s="23">
        <f>EXP(-LN(2)/2)*AB97+(1-EXP(-LN(2)/2))/(LN(2)/2)*V98*Y98*VLOOKUP('Données projet'!$B$9,Paramètres!$A$1:$I$89,3,0)*0.475*44/12</f>
        <v>9.5785025952414471E-5</v>
      </c>
      <c r="AC98" s="24">
        <f t="shared" si="57"/>
        <v>96.969935578779044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-1.064108801074326E-13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212.75825875635837</v>
      </c>
      <c r="T99" s="62">
        <f t="shared" si="88"/>
        <v>166.61377928936963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65.045506346909093</v>
      </c>
      <c r="AA99" s="23">
        <f>EXP(-LN(2)/25)*AA98+(1-EXP(-LN(2)/25))/(LN(2)/25)*Calculateur!V99*Calculateur!X99*VLOOKUP('Données projet'!$B$9,Paramètres!$A$1:$I$89,3,0)*0.475*44/12</f>
        <v>29.785922375824018</v>
      </c>
      <c r="AB99" s="23">
        <f>EXP(-LN(2)/2)*AB98+(1-EXP(-LN(2)/2))/(LN(2)/2)*V99*Y99*VLOOKUP('Données projet'!$B$9,Paramètres!$A$1:$I$89,3,0)*0.475*44/12</f>
        <v>6.7730241387081714E-5</v>
      </c>
      <c r="AC99" s="24">
        <f t="shared" si="57"/>
        <v>94.831496452974491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-1.064108801074326E-13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212.75825875635837</v>
      </c>
      <c r="T100" s="62">
        <f t="shared" si="88"/>
        <v>166.61377928936963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63.770003641287609</v>
      </c>
      <c r="AA100" s="23">
        <f>EXP(-LN(2)/25)*AA99+(1-EXP(-LN(2)/25))/(LN(2)/25)*Calculateur!V100*Calculateur!X100*VLOOKUP('Données projet'!$B$9,Paramètres!$A$1:$I$89,3,0)*0.475*44/12</f>
        <v>28.971424762083529</v>
      </c>
      <c r="AB100" s="23">
        <f>EXP(-LN(2)/2)*AB99+(1-EXP(-LN(2)/2))/(LN(2)/2)*V100*Y100*VLOOKUP('Données projet'!$B$9,Paramètres!$A$1:$I$89,3,0)*0.475*44/12</f>
        <v>4.7892512976207236E-5</v>
      </c>
      <c r="AC100" s="24">
        <f t="shared" si="57"/>
        <v>92.741476295884127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-1.064108801074326E-13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212.75825875635837</v>
      </c>
      <c r="T101" s="62">
        <f t="shared" si="88"/>
        <v>166.61377928936963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62.519512765743535</v>
      </c>
      <c r="AA101" s="23">
        <f>EXP(-LN(2)/25)*AA100+(1-EXP(-LN(2)/25))/(LN(2)/25)*Calculateur!V101*Calculateur!X101*VLOOKUP('Données projet'!$B$9,Paramètres!$A$1:$I$89,3,0)*0.475*44/12</f>
        <v>28.179199628423341</v>
      </c>
      <c r="AB101" s="23">
        <f>EXP(-LN(2)/2)*AB100+(1-EXP(-LN(2)/2))/(LN(2)/2)*V101*Y101*VLOOKUP('Données projet'!$B$9,Paramètres!$A$1:$I$89,3,0)*0.475*44/12</f>
        <v>3.3865120693540857E-5</v>
      </c>
      <c r="AC101" s="24">
        <f t="shared" si="57"/>
        <v>90.698746259287574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-1.064108801074326E-13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212.75825875635837</v>
      </c>
      <c r="T102" s="62">
        <f t="shared" si="88"/>
        <v>166.61377928936963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61.293543253544755</v>
      </c>
      <c r="AA102" s="23">
        <f>EXP(-LN(2)/25)*AA101+(1-EXP(-LN(2)/25))/(LN(2)/25)*Calculateur!V102*Calculateur!X102*VLOOKUP('Données projet'!$B$9,Paramètres!$A$1:$I$89,3,0)*0.475*44/12</f>
        <v>27.408637932704401</v>
      </c>
      <c r="AB102" s="23">
        <f>EXP(-LN(2)/2)*AB101+(1-EXP(-LN(2)/2))/(LN(2)/2)*V102*Y102*VLOOKUP('Données projet'!$B$9,Paramètres!$A$1:$I$89,3,0)*0.475*44/12</f>
        <v>2.3946256488103618E-5</v>
      </c>
      <c r="AC102" s="24">
        <f t="shared" si="57"/>
        <v>88.702205132505654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-1.064108801074326E-13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212.75825875635837</v>
      </c>
      <c r="T103" s="62">
        <f t="shared" si="88"/>
        <v>166.61377928936963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60.091614255712628</v>
      </c>
      <c r="AA103" s="23">
        <f>EXP(-LN(2)/25)*AA102+(1-EXP(-LN(2)/25))/(LN(2)/25)*Calculateur!V103*Calculateur!X103*VLOOKUP('Données projet'!$B$9,Paramètres!$A$1:$I$89,3,0)*0.475*44/12</f>
        <v>26.659147287076973</v>
      </c>
      <c r="AB103" s="23">
        <f>EXP(-LN(2)/2)*AB102+(1-EXP(-LN(2)/2))/(LN(2)/2)*V103*Y103*VLOOKUP('Données projet'!$B$9,Paramètres!$A$1:$I$89,3,0)*0.475*44/12</f>
        <v>1.6932560346770428E-5</v>
      </c>
      <c r="AC103" s="24">
        <f t="shared" si="57"/>
        <v>86.750778475349946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-1.064108801074326E-13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212.75825875635837</v>
      </c>
      <c r="T104" s="62">
        <f t="shared" si="88"/>
        <v>166.61377928936963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58.913254352423685</v>
      </c>
      <c r="AA104" s="23">
        <f>EXP(-LN(2)/25)*AA103+(1-EXP(-LN(2)/25))/(LN(2)/25)*Calculateur!V104*Calculateur!X104*VLOOKUP('Données projet'!$B$9,Paramètres!$A$1:$I$89,3,0)*0.475*44/12</f>
        <v>25.930151502568229</v>
      </c>
      <c r="AB104" s="23">
        <f>EXP(-LN(2)/2)*AB103+(1-EXP(-LN(2)/2))/(LN(2)/2)*V104*Y104*VLOOKUP('Données projet'!$B$9,Paramètres!$A$1:$I$89,3,0)*0.475*44/12</f>
        <v>1.1973128244051809E-5</v>
      </c>
      <c r="AC104" s="24">
        <f t="shared" si="57"/>
        <v>84.843417828120153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-1.064108801074326E-13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212.75825875635837</v>
      </c>
      <c r="T105" s="62">
        <f t="shared" si="88"/>
        <v>166.61377928936963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57.758001368109667</v>
      </c>
      <c r="AA105" s="23">
        <f>EXP(-LN(2)/25)*AA104+(1-EXP(-LN(2)/25))/(LN(2)/25)*Calculateur!V105*Calculateur!X105*VLOOKUP('Données projet'!$B$9,Paramètres!$A$1:$I$89,3,0)*0.475*44/12</f>
        <v>25.221090146123096</v>
      </c>
      <c r="AB105" s="23">
        <f>EXP(-LN(2)/2)*AB104+(1-EXP(-LN(2)/2))/(LN(2)/2)*V105*Y105*VLOOKUP('Données projet'!$B$9,Paramètres!$A$1:$I$89,3,0)*0.475*44/12</f>
        <v>8.4662801733852142E-6</v>
      </c>
      <c r="AC105" s="24">
        <f t="shared" si="57"/>
        <v>82.979099980512942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-1.064108801074326E-13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212.75825875635837</v>
      </c>
      <c r="T106" s="62">
        <f t="shared" si="88"/>
        <v>166.61377928936963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56.625402190183308</v>
      </c>
      <c r="AA106" s="23">
        <f>EXP(-LN(2)/25)*AA105+(1-EXP(-LN(2)/25))/(LN(2)/25)*Calculateur!V106*Calculateur!X106*VLOOKUP('Données projet'!$B$9,Paramètres!$A$1:$I$89,3,0)*0.475*44/12</f>
        <v>24.531418109757873</v>
      </c>
      <c r="AB106" s="23">
        <f>EXP(-LN(2)/2)*AB105+(1-EXP(-LN(2)/2))/(LN(2)/2)*V106*Y106*VLOOKUP('Données projet'!$B$9,Paramètres!$A$1:$I$89,3,0)*0.475*44/12</f>
        <v>5.9865641220259045E-6</v>
      </c>
      <c r="AC106" s="24">
        <f t="shared" si="57"/>
        <v>81.156826286505307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-1.064108801074326E-13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212.75825875635837</v>
      </c>
      <c r="T107" s="62">
        <f t="shared" si="88"/>
        <v>166.61377928936963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55.515012591318801</v>
      </c>
      <c r="AA107" s="23">
        <f>EXP(-LN(2)/25)*AA106+(1-EXP(-LN(2)/25))/(LN(2)/25)*Calculateur!V107*Calculateur!X107*VLOOKUP('Données projet'!$B$9,Paramètres!$A$1:$I$89,3,0)*0.475*44/12</f>
        <v>23.860605191495331</v>
      </c>
      <c r="AB107" s="23">
        <f>EXP(-LN(2)/2)*AB106+(1-EXP(-LN(2)/2))/(LN(2)/2)*V107*Y107*VLOOKUP('Données projet'!$B$9,Paramètres!$A$1:$I$89,3,0)*0.475*44/12</f>
        <v>4.2331400866926071E-6</v>
      </c>
      <c r="AC107" s="24">
        <f t="shared" si="57"/>
        <v>79.375622015954221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-1.064108801074326E-13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212.75825875635837</v>
      </c>
      <c r="T108" s="62">
        <f t="shared" si="88"/>
        <v>166.61377928936963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54.426397055217244</v>
      </c>
      <c r="AA108" s="23">
        <f>EXP(-LN(2)/25)*AA107+(1-EXP(-LN(2)/25))/(LN(2)/25)*Calculateur!V108*Calculateur!X108*VLOOKUP('Données projet'!$B$9,Paramètres!$A$1:$I$89,3,0)*0.475*44/12</f>
        <v>23.208135687759199</v>
      </c>
      <c r="AB108" s="23">
        <f>EXP(-LN(2)/2)*AB107+(1-EXP(-LN(2)/2))/(LN(2)/2)*V108*Y108*VLOOKUP('Données projet'!$B$9,Paramètres!$A$1:$I$89,3,0)*0.475*44/12</f>
        <v>2.9932820610129522E-6</v>
      </c>
      <c r="AC108" s="24">
        <f t="shared" si="57"/>
        <v>77.634535736258513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-1.064108801074326E-13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212.75825875635837</v>
      </c>
      <c r="T109" s="62">
        <f t="shared" si="88"/>
        <v>166.61377928936963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53.359128605788726</v>
      </c>
      <c r="AA109" s="23">
        <f>EXP(-LN(2)/25)*AA108+(1-EXP(-LN(2)/25))/(LN(2)/25)*Calculateur!V109*Calculateur!X109*VLOOKUP('Données projet'!$B$9,Paramètres!$A$1:$I$89,3,0)*0.475*44/12</f>
        <v>22.573507996914611</v>
      </c>
      <c r="AB109" s="23">
        <f>EXP(-LN(2)/2)*AB108+(1-EXP(-LN(2)/2))/(LN(2)/2)*V109*Y109*VLOOKUP('Données projet'!$B$9,Paramètres!$A$1:$I$89,3,0)*0.475*44/12</f>
        <v>2.1165700433463035E-6</v>
      </c>
      <c r="AC109" s="24">
        <f t="shared" si="57"/>
        <v>75.932638719273385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-1.064108801074326E-13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212.75825875635837</v>
      </c>
      <c r="T110" s="62">
        <f t="shared" si="88"/>
        <v>166.61377928936963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52.312788639684022</v>
      </c>
      <c r="AA110" s="23">
        <f>EXP(-LN(2)/25)*AA109+(1-EXP(-LN(2)/25))/(LN(2)/25)*Calculateur!V110*Calculateur!X110*VLOOKUP('Données projet'!$B$9,Paramètres!$A$1:$I$89,3,0)*0.475*44/12</f>
        <v>21.956234233649788</v>
      </c>
      <c r="AB110" s="23">
        <f>EXP(-LN(2)/2)*AB109+(1-EXP(-LN(2)/2))/(LN(2)/2)*V110*Y110*VLOOKUP('Données projet'!$B$9,Paramètres!$A$1:$I$89,3,0)*0.475*44/12</f>
        <v>1.4966410305064761E-6</v>
      </c>
      <c r="AC110" s="24">
        <f t="shared" si="57"/>
        <v>74.269024369974844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-1.064108801074326E-13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212.75825875635837</v>
      </c>
      <c r="T111" s="62">
        <f t="shared" si="88"/>
        <v>166.61377928936963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51.286966762110268</v>
      </c>
      <c r="AA111" s="23">
        <f>EXP(-LN(2)/25)*AA110+(1-EXP(-LN(2)/25))/(LN(2)/25)*Calculateur!V111*Calculateur!X111*VLOOKUP('Données projet'!$B$9,Paramètres!$A$1:$I$89,3,0)*0.475*44/12</f>
        <v>21.355839853902456</v>
      </c>
      <c r="AB111" s="23">
        <f>EXP(-LN(2)/2)*AB110+(1-EXP(-LN(2)/2))/(LN(2)/2)*V111*Y111*VLOOKUP('Données projet'!$B$9,Paramètres!$A$1:$I$89,3,0)*0.475*44/12</f>
        <v>1.0582850216731518E-6</v>
      </c>
      <c r="AC111" s="24">
        <f t="shared" si="57"/>
        <v>72.642807674297742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-1.064108801074326E-13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212.75825875635837</v>
      </c>
      <c r="T112" s="62">
        <f t="shared" si="88"/>
        <v>166.61377928936963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50.281260625866175</v>
      </c>
      <c r="AA112" s="23">
        <f>EXP(-LN(2)/25)*AA111+(1-EXP(-LN(2)/25))/(LN(2)/25)*Calculateur!V112*Calculateur!X112*VLOOKUP('Données projet'!$B$9,Paramètres!$A$1:$I$89,3,0)*0.475*44/12</f>
        <v>20.771863290042685</v>
      </c>
      <c r="AB112" s="23">
        <f>EXP(-LN(2)/2)*AB111+(1-EXP(-LN(2)/2))/(LN(2)/2)*V112*Y112*VLOOKUP('Données projet'!$B$9,Paramètres!$A$1:$I$89,3,0)*0.475*44/12</f>
        <v>7.4832051525323806E-7</v>
      </c>
      <c r="AC112" s="24">
        <f t="shared" si="57"/>
        <v>71.053124664229372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-1.064108801074326E-13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212.75825875635837</v>
      </c>
      <c r="T113" s="62">
        <f t="shared" si="88"/>
        <v>166.61377928936963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49.295275773533653</v>
      </c>
      <c r="AA113" s="23">
        <f>EXP(-LN(2)/25)*AA112+(1-EXP(-LN(2)/25))/(LN(2)/25)*Calculateur!V113*Calculateur!X113*VLOOKUP('Données projet'!$B$9,Paramètres!$A$1:$I$89,3,0)*0.475*44/12</f>
        <v>20.203855596031651</v>
      </c>
      <c r="AB113" s="23">
        <f>EXP(-LN(2)/2)*AB112+(1-EXP(-LN(2)/2))/(LN(2)/2)*V113*Y113*VLOOKUP('Données projet'!$B$9,Paramètres!$A$1:$I$89,3,0)*0.475*44/12</f>
        <v>5.2914251083657589E-7</v>
      </c>
      <c r="AC113" s="24">
        <f t="shared" si="57"/>
        <v>69.499131898707816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-1.064108801074326E-13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212.75825875635837</v>
      </c>
      <c r="T114" s="62">
        <f t="shared" si="88"/>
        <v>166.61377928936963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48.328625482763997</v>
      </c>
      <c r="AA114" s="23">
        <f>EXP(-LN(2)/25)*AA113+(1-EXP(-LN(2)/25))/(LN(2)/25)*Calculateur!V114*Calculateur!X114*VLOOKUP('Données projet'!$B$9,Paramètres!$A$1:$I$89,3,0)*0.475*44/12</f>
        <v>19.651380102283575</v>
      </c>
      <c r="AB114" s="23">
        <f>EXP(-LN(2)/2)*AB113+(1-EXP(-LN(2)/2))/(LN(2)/2)*V114*Y114*VLOOKUP('Données projet'!$B$9,Paramètres!$A$1:$I$89,3,0)*0.475*44/12</f>
        <v>3.7416025762661903E-7</v>
      </c>
      <c r="AC114" s="24">
        <f t="shared" si="57"/>
        <v>67.980005959207816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-1.064108801074326E-13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212.75825875635837</v>
      </c>
      <c r="T115" s="62">
        <f t="shared" si="88"/>
        <v>166.61377928936963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47.380930614597872</v>
      </c>
      <c r="AA115" s="23">
        <f>EXP(-LN(2)/25)*AA114+(1-EXP(-LN(2)/25))/(LN(2)/25)*Calculateur!V115*Calculateur!X115*VLOOKUP('Données projet'!$B$9,Paramètres!$A$1:$I$89,3,0)*0.475*44/12</f>
        <v>19.114012079965466</v>
      </c>
      <c r="AB115" s="23">
        <f>EXP(-LN(2)/2)*AB114+(1-EXP(-LN(2)/2))/(LN(2)/2)*V115*Y115*VLOOKUP('Données projet'!$B$9,Paramètres!$A$1:$I$89,3,0)*0.475*44/12</f>
        <v>2.6457125541828794E-7</v>
      </c>
      <c r="AC115" s="24">
        <f t="shared" si="57"/>
        <v>66.49494295913459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-1.064108801074326E-13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212.75825875635837</v>
      </c>
      <c r="T116" s="62">
        <f t="shared" si="88"/>
        <v>166.61377928936963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46.451819464759694</v>
      </c>
      <c r="AA116" s="23">
        <f>EXP(-LN(2)/25)*AA115+(1-EXP(-LN(2)/25))/(LN(2)/25)*Calculateur!V116*Calculateur!X116*VLOOKUP('Données projet'!$B$9,Paramètres!$A$1:$I$89,3,0)*0.475*44/12</f>
        <v>18.591338414476599</v>
      </c>
      <c r="AB116" s="23">
        <f>EXP(-LN(2)/2)*AB115+(1-EXP(-LN(2)/2))/(LN(2)/2)*V116*Y116*VLOOKUP('Données projet'!$B$9,Paramètres!$A$1:$I$89,3,0)*0.475*44/12</f>
        <v>1.8708012881330951E-7</v>
      </c>
      <c r="AC116" s="24">
        <f t="shared" si="57"/>
        <v>65.043158066316423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-1.064108801074326E-13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212.75825875635837</v>
      </c>
      <c r="T117" s="62">
        <f t="shared" si="88"/>
        <v>166.61377928936963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45.540927617868</v>
      </c>
      <c r="AA117" s="23">
        <f>EXP(-LN(2)/25)*AA116+(1-EXP(-LN(2)/25))/(LN(2)/25)*Calculateur!V117*Calculateur!X117*VLOOKUP('Données projet'!$B$9,Paramètres!$A$1:$I$89,3,0)*0.475*44/12</f>
        <v>18.08295728785674</v>
      </c>
      <c r="AB117" s="23">
        <f>EXP(-LN(2)/2)*AB116+(1-EXP(-LN(2)/2))/(LN(2)/2)*V117*Y117*VLOOKUP('Données projet'!$B$9,Paramètres!$A$1:$I$89,3,0)*0.475*44/12</f>
        <v>1.3228562770914397E-7</v>
      </c>
      <c r="AC117" s="24">
        <f t="shared" si="57"/>
        <v>63.623885038010364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-1.064108801074326E-13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212.75825875635837</v>
      </c>
      <c r="T118" s="62">
        <f t="shared" si="88"/>
        <v>166.61377928936963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44.64789780450468</v>
      </c>
      <c r="AA118" s="23">
        <f>EXP(-LN(2)/25)*AA117+(1-EXP(-LN(2)/25))/(LN(2)/25)*Calculateur!V118*Calculateur!X118*VLOOKUP('Données projet'!$B$9,Paramètres!$A$1:$I$89,3,0)*0.475*44/12</f>
        <v>17.588477869878904</v>
      </c>
      <c r="AB118" s="23">
        <f>EXP(-LN(2)/2)*AB117+(1-EXP(-LN(2)/2))/(LN(2)/2)*V118*Y118*VLOOKUP('Données projet'!$B$9,Paramètres!$A$1:$I$89,3,0)*0.475*44/12</f>
        <v>9.3540064406654757E-8</v>
      </c>
      <c r="AC118" s="24">
        <f t="shared" si="57"/>
        <v>62.236375767923647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-1.064108801074326E-13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212.75825875635837</v>
      </c>
      <c r="T119" s="62">
        <f t="shared" si="88"/>
        <v>166.61377928936963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43.772379761087016</v>
      </c>
      <c r="AA119" s="23">
        <f>EXP(-LN(2)/25)*AA118+(1-EXP(-LN(2)/25))/(LN(2)/25)*Calculateur!V119*Calculateur!X119*VLOOKUP('Données projet'!$B$9,Paramètres!$A$1:$I$89,3,0)*0.475*44/12</f>
        <v>17.107520017589213</v>
      </c>
      <c r="AB119" s="23">
        <f>EXP(-LN(2)/2)*AB118+(1-EXP(-LN(2)/2))/(LN(2)/2)*V119*Y119*VLOOKUP('Données projet'!$B$9,Paramètres!$A$1:$I$89,3,0)*0.475*44/12</f>
        <v>6.6142813854571986E-8</v>
      </c>
      <c r="AC119" s="24">
        <f t="shared" si="57"/>
        <v>60.879899844819043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-1.064108801074326E-13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212.75825875635837</v>
      </c>
      <c r="T120" s="62">
        <f t="shared" si="88"/>
        <v>166.61377928936963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42.914030092487494</v>
      </c>
      <c r="AA120" s="23">
        <f>EXP(-LN(2)/25)*AA119+(1-EXP(-LN(2)/25))/(LN(2)/25)*Calculateur!V120*Calculateur!X120*VLOOKUP('Données projet'!$B$9,Paramètres!$A$1:$I$89,3,0)*0.475*44/12</f>
        <v>16.639713983062858</v>
      </c>
      <c r="AB120" s="23">
        <f>EXP(-LN(2)/2)*AB119+(1-EXP(-LN(2)/2))/(LN(2)/2)*V120*Y120*VLOOKUP('Données projet'!$B$9,Paramètres!$A$1:$I$89,3,0)*0.475*44/12</f>
        <v>4.6770032203327379E-8</v>
      </c>
      <c r="AC120" s="24">
        <f t="shared" si="57"/>
        <v>59.553744122320388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-1.064108801074326E-13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212.75825875635837</v>
      </c>
      <c r="T121" s="62">
        <f t="shared" si="88"/>
        <v>166.61377928936963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42.072512137347609</v>
      </c>
      <c r="AA121" s="23">
        <f>EXP(-LN(2)/25)*AA120+(1-EXP(-LN(2)/25))/(LN(2)/25)*Calculateur!V121*Calculateur!X121*VLOOKUP('Données projet'!$B$9,Paramètres!$A$1:$I$89,3,0)*0.475*44/12</f>
        <v>16.184700129151476</v>
      </c>
      <c r="AB121" s="23">
        <f>EXP(-LN(2)/2)*AB120+(1-EXP(-LN(2)/2))/(LN(2)/2)*V121*Y121*VLOOKUP('Données projet'!$B$9,Paramètres!$A$1:$I$89,3,0)*0.475*44/12</f>
        <v>3.3071406927285993E-8</v>
      </c>
      <c r="AC121" s="24">
        <f t="shared" si="57"/>
        <v>58.25721229957049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-1.064108801074326E-13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212.75825875635837</v>
      </c>
      <c r="T122" s="62">
        <f t="shared" si="88"/>
        <v>166.61377928936963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41.247495836032741</v>
      </c>
      <c r="AA122" s="23">
        <f>EXP(-LN(2)/25)*AA121+(1-EXP(-LN(2)/25))/(LN(2)/25)*Calculateur!V122*Calculateur!X122*VLOOKUP('Données projet'!$B$9,Paramètres!$A$1:$I$89,3,0)*0.475*44/12</f>
        <v>15.742128653003441</v>
      </c>
      <c r="AB122" s="23">
        <f>EXP(-LN(2)/2)*AB121+(1-EXP(-LN(2)/2))/(LN(2)/2)*V122*Y122*VLOOKUP('Données projet'!$B$9,Paramètres!$A$1:$I$89,3,0)*0.475*44/12</f>
        <v>2.3385016101663689E-8</v>
      </c>
      <c r="AC122" s="24">
        <f t="shared" si="57"/>
        <v>56.989624512421194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-1.064108801074326E-13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212.75825875635837</v>
      </c>
      <c r="T123" s="62">
        <f t="shared" si="88"/>
        <v>166.61377928936963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40.438657601176402</v>
      </c>
      <c r="AA123" s="23">
        <f>EXP(-LN(2)/25)*AA122+(1-EXP(-LN(2)/25))/(LN(2)/25)*Calculateur!V123*Calculateur!X123*VLOOKUP('Données projet'!$B$9,Paramètres!$A$1:$I$89,3,0)*0.475*44/12</f>
        <v>15.311659317144494</v>
      </c>
      <c r="AB123" s="23">
        <f>EXP(-LN(2)/2)*AB122+(1-EXP(-LN(2)/2))/(LN(2)/2)*V123*Y123*VLOOKUP('Données projet'!$B$9,Paramètres!$A$1:$I$89,3,0)*0.475*44/12</f>
        <v>1.6535703463642996E-8</v>
      </c>
      <c r="AC123" s="24">
        <f t="shared" si="57"/>
        <v>55.750316934856599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-1.064108801074326E-13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212.75825875635837</v>
      </c>
      <c r="T124" s="62">
        <f t="shared" si="88"/>
        <v>166.61377928936963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39.645680190762988</v>
      </c>
      <c r="AA124" s="23">
        <f>EXP(-LN(2)/25)*AA123+(1-EXP(-LN(2)/25))/(LN(2)/25)*Calculateur!V124*Calculateur!X124*VLOOKUP('Données projet'!$B$9,Paramètres!$A$1:$I$89,3,0)*0.475*44/12</f>
        <v>14.892961187912009</v>
      </c>
      <c r="AB124" s="23">
        <f>EXP(-LN(2)/2)*AB123+(1-EXP(-LN(2)/2))/(LN(2)/2)*V124*Y124*VLOOKUP('Données projet'!$B$9,Paramètres!$A$1:$I$89,3,0)*0.475*44/12</f>
        <v>1.1692508050831845E-8</v>
      </c>
      <c r="AC124" s="24">
        <f t="shared" si="57"/>
        <v>54.538641390367502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-1.064108801074326E-13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212.75825875635837</v>
      </c>
      <c r="T125" s="62">
        <f t="shared" si="88"/>
        <v>166.61377928936963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38.868252583699316</v>
      </c>
      <c r="AA125" s="23">
        <f>EXP(-LN(2)/25)*AA124+(1-EXP(-LN(2)/25))/(LN(2)/25)*Calculateur!V125*Calculateur!X125*VLOOKUP('Données projet'!$B$9,Paramètres!$A$1:$I$89,3,0)*0.475*44/12</f>
        <v>14.485712381041765</v>
      </c>
      <c r="AB125" s="23">
        <f>EXP(-LN(2)/2)*AB124+(1-EXP(-LN(2)/2))/(LN(2)/2)*V125*Y125*VLOOKUP('Données projet'!$B$9,Paramètres!$A$1:$I$89,3,0)*0.475*44/12</f>
        <v>8.2678517318214982E-9</v>
      </c>
      <c r="AC125" s="24">
        <f t="shared" si="57"/>
        <v>53.353964973008935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-1.064108801074326E-13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212.75825875635837</v>
      </c>
      <c r="T126" s="62">
        <f t="shared" si="88"/>
        <v>166.61377928936963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38.106069857826149</v>
      </c>
      <c r="AA126" s="23">
        <f>EXP(-LN(2)/25)*AA125+(1-EXP(-LN(2)/25))/(LN(2)/25)*Calculateur!V126*Calculateur!X126*VLOOKUP('Données projet'!$B$9,Paramètres!$A$1:$I$89,3,0)*0.475*44/12</f>
        <v>14.08959981421167</v>
      </c>
      <c r="AB126" s="23">
        <f>EXP(-LN(2)/2)*AB125+(1-EXP(-LN(2)/2))/(LN(2)/2)*V126*Y126*VLOOKUP('Données projet'!$B$9,Paramètres!$A$1:$I$89,3,0)*0.475*44/12</f>
        <v>5.8462540254159223E-9</v>
      </c>
      <c r="AC126" s="24">
        <f t="shared" si="57"/>
        <v>52.195669677884077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-1.064108801074326E-13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212.75825875635837</v>
      </c>
      <c r="T127" s="62">
        <f t="shared" si="88"/>
        <v>166.61377928936963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37.358833070321793</v>
      </c>
      <c r="AA127" s="23">
        <f>EXP(-LN(2)/25)*AA126+(1-EXP(-LN(2)/25))/(LN(2)/25)*Calculateur!V127*Calculateur!X127*VLOOKUP('Données projet'!$B$9,Paramètres!$A$1:$I$89,3,0)*0.475*44/12</f>
        <v>13.704318966352201</v>
      </c>
      <c r="AB127" s="23">
        <f>EXP(-LN(2)/2)*AB126+(1-EXP(-LN(2)/2))/(LN(2)/2)*V127*Y127*VLOOKUP('Données projet'!$B$9,Paramètres!$A$1:$I$89,3,0)*0.475*44/12</f>
        <v>4.1339258659107491E-9</v>
      </c>
      <c r="AC127" s="24">
        <f t="shared" si="57"/>
        <v>51.063152040807921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-1.064108801074326E-13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212.75825875635837</v>
      </c>
      <c r="T128" s="62">
        <f t="shared" si="88"/>
        <v>166.61377928936963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36.626249140450959</v>
      </c>
      <c r="AA128" s="23">
        <f>EXP(-LN(2)/25)*AA127+(1-EXP(-LN(2)/25))/(LN(2)/25)*Calculateur!V128*Calculateur!X128*VLOOKUP('Données projet'!$B$9,Paramètres!$A$1:$I$89,3,0)*0.475*44/12</f>
        <v>13.329573643538486</v>
      </c>
      <c r="AB128" s="23">
        <f>EXP(-LN(2)/2)*AB127+(1-EXP(-LN(2)/2))/(LN(2)/2)*V128*Y128*VLOOKUP('Données projet'!$B$9,Paramètres!$A$1:$I$89,3,0)*0.475*44/12</f>
        <v>2.9231270127079612E-9</v>
      </c>
      <c r="AC128" s="24">
        <f t="shared" si="57"/>
        <v>49.955822786912577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-1.064108801074326E-13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212.75825875635837</v>
      </c>
      <c r="T129" s="62">
        <f t="shared" si="88"/>
        <v>166.61377928936963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35.908030734612815</v>
      </c>
      <c r="AA129" s="23">
        <f>EXP(-LN(2)/25)*AA128+(1-EXP(-LN(2)/25))/(LN(2)/25)*Calculateur!V129*Calculateur!X129*VLOOKUP('Données projet'!$B$9,Paramètres!$A$1:$I$89,3,0)*0.475*44/12</f>
        <v>12.965075751284115</v>
      </c>
      <c r="AB129" s="23">
        <f>EXP(-LN(2)/2)*AB128+(1-EXP(-LN(2)/2))/(LN(2)/2)*V129*Y129*VLOOKUP('Données projet'!$B$9,Paramètres!$A$1:$I$89,3,0)*0.475*44/12</f>
        <v>2.0669629329553746E-9</v>
      </c>
      <c r="AC129" s="24">
        <f t="shared" si="57"/>
        <v>48.873106487963888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-1.064108801074326E-13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212.75825875635837</v>
      </c>
      <c r="T130" s="62">
        <f t="shared" si="88"/>
        <v>166.61377928936963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35.203896153643186</v>
      </c>
      <c r="AA130" s="23">
        <f>EXP(-LN(2)/25)*AA129+(1-EXP(-LN(2)/25))/(LN(2)/25)*Calculateur!V130*Calculateur!X130*VLOOKUP('Données projet'!$B$9,Paramètres!$A$1:$I$89,3,0)*0.475*44/12</f>
        <v>12.610545073061548</v>
      </c>
      <c r="AB130" s="23">
        <f>EXP(-LN(2)/2)*AB129+(1-EXP(-LN(2)/2))/(LN(2)/2)*V130*Y130*VLOOKUP('Données projet'!$B$9,Paramètres!$A$1:$I$89,3,0)*0.475*44/12</f>
        <v>1.4615635063539806E-9</v>
      </c>
      <c r="AC130" s="24">
        <f t="shared" si="57"/>
        <v>47.814441228166295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-1.064108801074326E-13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212.75825875635837</v>
      </c>
      <c r="T131" s="62">
        <f t="shared" si="88"/>
        <v>166.61377928936963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34.513569222326687</v>
      </c>
      <c r="AA131" s="23">
        <f>EXP(-LN(2)/25)*AA130+(1-EXP(-LN(2)/25))/(LN(2)/25)*Calculateur!V131*Calculateur!X131*VLOOKUP('Données projet'!$B$9,Paramètres!$A$1:$I$89,3,0)*0.475*44/12</f>
        <v>12.265709054878936</v>
      </c>
      <c r="AB131" s="23">
        <f>EXP(-LN(2)/2)*AB130+(1-EXP(-LN(2)/2))/(LN(2)/2)*V131*Y131*VLOOKUP('Données projet'!$B$9,Paramètres!$A$1:$I$89,3,0)*0.475*44/12</f>
        <v>1.0334814664776873E-9</v>
      </c>
      <c r="AC131" s="24">
        <f t="shared" si="57"/>
        <v>46.779278278239104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-1.064108801074326E-13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212.75825875635837</v>
      </c>
      <c r="T132" s="62">
        <f t="shared" si="88"/>
        <v>166.61377928936963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33.836779181075457</v>
      </c>
      <c r="AA132" s="23">
        <f>EXP(-LN(2)/25)*AA131+(1-EXP(-LN(2)/25))/(LN(2)/25)*Calculateur!V132*Calculateur!X132*VLOOKUP('Données projet'!$B$9,Paramètres!$A$1:$I$89,3,0)*0.475*44/12</f>
        <v>11.930302595747666</v>
      </c>
      <c r="AB132" s="23">
        <f>EXP(-LN(2)/2)*AB131+(1-EXP(-LN(2)/2))/(LN(2)/2)*V132*Y132*VLOOKUP('Données projet'!$B$9,Paramètres!$A$1:$I$89,3,0)*0.475*44/12</f>
        <v>7.3078175317699029E-10</v>
      </c>
      <c r="AC132" s="24">
        <f t="shared" ref="AC132:AC153" si="111">SUM(Z132:AB132)</f>
        <v>45.767081777553898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-1.064108801074326E-13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212.75825875635837</v>
      </c>
      <c r="T133" s="62">
        <f t="shared" ref="T133:T196" si="142">$T$3</f>
        <v>166.61377928936963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33.173260579731995</v>
      </c>
      <c r="AA133" s="23">
        <f>EXP(-LN(2)/25)*AA132+(1-EXP(-LN(2)/25))/(LN(2)/25)*Calculateur!V133*Calculateur!X133*VLOOKUP('Données projet'!$B$9,Paramètres!$A$1:$I$89,3,0)*0.475*44/12</f>
        <v>11.6040678438796</v>
      </c>
      <c r="AB133" s="23">
        <f>EXP(-LN(2)/2)*AB132+(1-EXP(-LN(2)/2))/(LN(2)/2)*V133*Y133*VLOOKUP('Données projet'!$B$9,Paramètres!$A$1:$I$89,3,0)*0.475*44/12</f>
        <v>5.1674073323884364E-10</v>
      </c>
      <c r="AC133" s="24">
        <f t="shared" si="111"/>
        <v>44.777328424128335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-1.064108801074326E-13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212.75825875635837</v>
      </c>
      <c r="T134" s="62">
        <f t="shared" si="142"/>
        <v>166.61377928936963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32.52275317345449</v>
      </c>
      <c r="AA134" s="23">
        <f>EXP(-LN(2)/25)*AA133+(1-EXP(-LN(2)/25))/(LN(2)/25)*Calculateur!V134*Calculateur!X134*VLOOKUP('Données projet'!$B$9,Paramètres!$A$1:$I$89,3,0)*0.475*44/12</f>
        <v>11.286753998457305</v>
      </c>
      <c r="AB134" s="23">
        <f>EXP(-LN(2)/2)*AB133+(1-EXP(-LN(2)/2))/(LN(2)/2)*V134*Y134*VLOOKUP('Données projet'!$B$9,Paramètres!$A$1:$I$89,3,0)*0.475*44/12</f>
        <v>3.6539087658849515E-10</v>
      </c>
      <c r="AC134" s="24">
        <f t="shared" si="111"/>
        <v>43.809507172277186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-1.064108801074326E-13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212.75825875635837</v>
      </c>
      <c r="T135" s="62">
        <f t="shared" si="142"/>
        <v>166.61377928936963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31.885001820643751</v>
      </c>
      <c r="AA135" s="23">
        <f>EXP(-LN(2)/25)*AA134+(1-EXP(-LN(2)/25))/(LN(2)/25)*Calculateur!V135*Calculateur!X135*VLOOKUP('Données projet'!$B$9,Paramètres!$A$1:$I$89,3,0)*0.475*44/12</f>
        <v>10.978117116824894</v>
      </c>
      <c r="AB135" s="23">
        <f>EXP(-LN(2)/2)*AB134+(1-EXP(-LN(2)/2))/(LN(2)/2)*V135*Y135*VLOOKUP('Données projet'!$B$9,Paramètres!$A$1:$I$89,3,0)*0.475*44/12</f>
        <v>2.5837036661942182E-10</v>
      </c>
      <c r="AC135" s="24">
        <f t="shared" si="111"/>
        <v>42.863118937727009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-1.064108801074326E-13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212.75825875635837</v>
      </c>
      <c r="T136" s="62">
        <f t="shared" si="142"/>
        <v>166.61377928936963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31.259756382871714</v>
      </c>
      <c r="AA136" s="23">
        <f>EXP(-LN(2)/25)*AA135+(1-EXP(-LN(2)/25))/(LN(2)/25)*Calculateur!V136*Calculateur!X136*VLOOKUP('Données projet'!$B$9,Paramètres!$A$1:$I$89,3,0)*0.475*44/12</f>
        <v>10.677919926951228</v>
      </c>
      <c r="AB136" s="23">
        <f>EXP(-LN(2)/2)*AB135+(1-EXP(-LN(2)/2))/(LN(2)/2)*V136*Y136*VLOOKUP('Données projet'!$B$9,Paramètres!$A$1:$I$89,3,0)*0.475*44/12</f>
        <v>1.8269543829424757E-10</v>
      </c>
      <c r="AC136" s="24">
        <f t="shared" si="111"/>
        <v>41.937676310005635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-1.064108801074326E-13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212.75825875635837</v>
      </c>
      <c r="T137" s="62">
        <f t="shared" si="142"/>
        <v>166.61377928936963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30.646771626772328</v>
      </c>
      <c r="AA137" s="23">
        <f>EXP(-LN(2)/25)*AA136+(1-EXP(-LN(2)/25))/(LN(2)/25)*Calculateur!V137*Calculateur!X137*VLOOKUP('Données projet'!$B$9,Paramètres!$A$1:$I$89,3,0)*0.475*44/12</f>
        <v>10.385931645021342</v>
      </c>
      <c r="AB137" s="23">
        <f>EXP(-LN(2)/2)*AB136+(1-EXP(-LN(2)/2))/(LN(2)/2)*V137*Y137*VLOOKUP('Données projet'!$B$9,Paramètres!$A$1:$I$89,3,0)*0.475*44/12</f>
        <v>1.2918518330971091E-10</v>
      </c>
      <c r="AC137" s="24">
        <f t="shared" si="111"/>
        <v>41.032703271922855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-1.064108801074326E-13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212.75825875635837</v>
      </c>
      <c r="T138" s="62">
        <f t="shared" si="142"/>
        <v>166.61377928936963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30.045807127856264</v>
      </c>
      <c r="AA138" s="23">
        <f>EXP(-LN(2)/25)*AA137+(1-EXP(-LN(2)/25))/(LN(2)/25)*Calculateur!V138*Calculateur!X138*VLOOKUP('Données projet'!$B$9,Paramètres!$A$1:$I$89,3,0)*0.475*44/12</f>
        <v>10.101927798015826</v>
      </c>
      <c r="AB138" s="23">
        <f>EXP(-LN(2)/2)*AB137+(1-EXP(-LN(2)/2))/(LN(2)/2)*V138*Y138*VLOOKUP('Données projet'!$B$9,Paramètres!$A$1:$I$89,3,0)*0.475*44/12</f>
        <v>9.1347719147123786E-11</v>
      </c>
      <c r="AC138" s="24">
        <f t="shared" si="111"/>
        <v>40.147734925963434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-1.064108801074326E-13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212.75825875635837</v>
      </c>
      <c r="T139" s="62">
        <f t="shared" si="142"/>
        <v>166.61377928936963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29.456627176211796</v>
      </c>
      <c r="AA139" s="23">
        <f>EXP(-LN(2)/25)*AA138+(1-EXP(-LN(2)/25))/(LN(2)/25)*Calculateur!V139*Calculateur!X139*VLOOKUP('Données projet'!$B$9,Paramètres!$A$1:$I$89,3,0)*0.475*44/12</f>
        <v>9.8256900511417875</v>
      </c>
      <c r="AB139" s="23">
        <f>EXP(-LN(2)/2)*AB138+(1-EXP(-LN(2)/2))/(LN(2)/2)*V139*Y139*VLOOKUP('Données projet'!$B$9,Paramètres!$A$1:$I$89,3,0)*0.475*44/12</f>
        <v>6.4592591654855455E-11</v>
      </c>
      <c r="AC139" s="24">
        <f t="shared" si="111"/>
        <v>39.282317227418183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-1.064108801074326E-13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212.75825875635837</v>
      </c>
      <c r="T140" s="62">
        <f t="shared" si="142"/>
        <v>166.61377928936963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28.879000684054791</v>
      </c>
      <c r="AA140" s="23">
        <f>EXP(-LN(2)/25)*AA139+(1-EXP(-LN(2)/25))/(LN(2)/25)*Calculateur!V140*Calculateur!X140*VLOOKUP('Données projet'!$B$9,Paramètres!$A$1:$I$89,3,0)*0.475*44/12</f>
        <v>9.557006039982733</v>
      </c>
      <c r="AB140" s="23">
        <f>EXP(-LN(2)/2)*AB139+(1-EXP(-LN(2)/2))/(LN(2)/2)*V140*Y140*VLOOKUP('Données projet'!$B$9,Paramètres!$A$1:$I$89,3,0)*0.475*44/12</f>
        <v>4.5673859573561893E-11</v>
      </c>
      <c r="AC140" s="24">
        <f t="shared" si="111"/>
        <v>38.4360067240832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-1.064108801074326E-13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212.75825875635837</v>
      </c>
      <c r="T141" s="62">
        <f t="shared" si="142"/>
        <v>166.61377928936963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28.312701095091612</v>
      </c>
      <c r="AA141" s="23">
        <f>EXP(-LN(2)/25)*AA140+(1-EXP(-LN(2)/25))/(LN(2)/25)*Calculateur!V141*Calculateur!X141*VLOOKUP('Données projet'!$B$9,Paramètres!$A$1:$I$89,3,0)*0.475*44/12</f>
        <v>9.2956692072382996</v>
      </c>
      <c r="AB141" s="23">
        <f>EXP(-LN(2)/2)*AB140+(1-EXP(-LN(2)/2))/(LN(2)/2)*V141*Y141*VLOOKUP('Données projet'!$B$9,Paramètres!$A$1:$I$89,3,0)*0.475*44/12</f>
        <v>3.2296295827427727E-11</v>
      </c>
      <c r="AC141" s="24">
        <f t="shared" si="111"/>
        <v>37.608370302362204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-1.064108801074326E-13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212.75825875635837</v>
      </c>
      <c r="T142" s="62">
        <f t="shared" si="142"/>
        <v>166.61377928936963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27.757506295659358</v>
      </c>
      <c r="AA142" s="23">
        <f>EXP(-LN(2)/25)*AA141+(1-EXP(-LN(2)/25))/(LN(2)/25)*Calculateur!V142*Calculateur!X142*VLOOKUP('Données projet'!$B$9,Paramètres!$A$1:$I$89,3,0)*0.475*44/12</f>
        <v>9.0414786439283699</v>
      </c>
      <c r="AB142" s="23">
        <f>EXP(-LN(2)/2)*AB141+(1-EXP(-LN(2)/2))/(LN(2)/2)*V142*Y142*VLOOKUP('Données projet'!$B$9,Paramètres!$A$1:$I$89,3,0)*0.475*44/12</f>
        <v>2.2836929786780947E-11</v>
      </c>
      <c r="AC142" s="24">
        <f t="shared" si="111"/>
        <v>36.798984939610563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-1.064108801074326E-13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212.75825875635837</v>
      </c>
      <c r="T143" s="62">
        <f t="shared" si="142"/>
        <v>166.61377928936963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27.213198527608579</v>
      </c>
      <c r="AA143" s="23">
        <f>EXP(-LN(2)/25)*AA142+(1-EXP(-LN(2)/25))/(LN(2)/25)*Calculateur!V143*Calculateur!X143*VLOOKUP('Données projet'!$B$9,Paramètres!$A$1:$I$89,3,0)*0.475*44/12</f>
        <v>8.7942389349394521</v>
      </c>
      <c r="AB143" s="23">
        <f>EXP(-LN(2)/2)*AB142+(1-EXP(-LN(2)/2))/(LN(2)/2)*V143*Y143*VLOOKUP('Données projet'!$B$9,Paramètres!$A$1:$I$89,3,0)*0.475*44/12</f>
        <v>1.6148147913713864E-11</v>
      </c>
      <c r="AC143" s="24">
        <f t="shared" si="111"/>
        <v>36.007437462564184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-1.064108801074326E-13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212.75825875635837</v>
      </c>
      <c r="T144" s="62">
        <f t="shared" si="142"/>
        <v>166.61377928936963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26.67956430289432</v>
      </c>
      <c r="AA144" s="23">
        <f>EXP(-LN(2)/25)*AA143+(1-EXP(-LN(2)/25))/(LN(2)/25)*Calculateur!V144*Calculateur!X144*VLOOKUP('Données projet'!$B$9,Paramètres!$A$1:$I$89,3,0)*0.475*44/12</f>
        <v>8.5537600087946064</v>
      </c>
      <c r="AB144" s="23">
        <f>EXP(-LN(2)/2)*AB143+(1-EXP(-LN(2)/2))/(LN(2)/2)*V144*Y144*VLOOKUP('Données projet'!$B$9,Paramètres!$A$1:$I$89,3,0)*0.475*44/12</f>
        <v>1.1418464893390473E-11</v>
      </c>
      <c r="AC144" s="24">
        <f t="shared" si="111"/>
        <v>35.233324311700343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-1.064108801074326E-13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212.75825875635837</v>
      </c>
      <c r="T145" s="62">
        <f t="shared" si="142"/>
        <v>166.61377928936963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26.156394319841969</v>
      </c>
      <c r="AA145" s="23">
        <f>EXP(-LN(2)/25)*AA144+(1-EXP(-LN(2)/25))/(LN(2)/25)*Calculateur!V145*Calculateur!X145*VLOOKUP('Données projet'!$B$9,Paramètres!$A$1:$I$89,3,0)*0.475*44/12</f>
        <v>8.3198569915314291</v>
      </c>
      <c r="AB145" s="23">
        <f>EXP(-LN(2)/2)*AB144+(1-EXP(-LN(2)/2))/(LN(2)/2)*V145*Y145*VLOOKUP('Données projet'!$B$9,Paramètres!$A$1:$I$89,3,0)*0.475*44/12</f>
        <v>8.0740739568569319E-12</v>
      </c>
      <c r="AC145" s="24">
        <f t="shared" si="111"/>
        <v>34.476251311381468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-1.064108801074326E-13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212.75825875635837</v>
      </c>
      <c r="T146" s="62">
        <f t="shared" si="142"/>
        <v>166.61377928936963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25.643483381055095</v>
      </c>
      <c r="AA146" s="23">
        <f>EXP(-LN(2)/25)*AA145+(1-EXP(-LN(2)/25))/(LN(2)/25)*Calculateur!V146*Calculateur!X146*VLOOKUP('Données projet'!$B$9,Paramètres!$A$1:$I$89,3,0)*0.475*44/12</f>
        <v>8.0923500645757382</v>
      </c>
      <c r="AB146" s="23">
        <f>EXP(-LN(2)/2)*AB145+(1-EXP(-LN(2)/2))/(LN(2)/2)*V146*Y146*VLOOKUP('Données projet'!$B$9,Paramètres!$A$1:$I$89,3,0)*0.475*44/12</f>
        <v>5.7092324466952366E-12</v>
      </c>
      <c r="AC146" s="24">
        <f t="shared" si="111"/>
        <v>33.735833445636544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-1.064108801074326E-13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212.75825875635837</v>
      </c>
      <c r="T147" s="62">
        <f t="shared" si="142"/>
        <v>166.61377928936963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25.140630312933048</v>
      </c>
      <c r="AA147" s="23">
        <f>EXP(-LN(2)/25)*AA146+(1-EXP(-LN(2)/25))/(LN(2)/25)*Calculateur!V147*Calculateur!X147*VLOOKUP('Données projet'!$B$9,Paramètres!$A$1:$I$89,3,0)*0.475*44/12</f>
        <v>7.8710643265017204</v>
      </c>
      <c r="AB147" s="23">
        <f>EXP(-LN(2)/2)*AB146+(1-EXP(-LN(2)/2))/(LN(2)/2)*V147*Y147*VLOOKUP('Données projet'!$B$9,Paramètres!$A$1:$I$89,3,0)*0.475*44/12</f>
        <v>4.0370369784284659E-12</v>
      </c>
      <c r="AC147" s="24">
        <f t="shared" si="111"/>
        <v>33.011694639438801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-1.064108801074326E-13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212.75825875635837</v>
      </c>
      <c r="T148" s="62">
        <f t="shared" si="142"/>
        <v>166.61377928936963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24.647637886766788</v>
      </c>
      <c r="AA148" s="23">
        <f>EXP(-LN(2)/25)*AA147+(1-EXP(-LN(2)/25))/(LN(2)/25)*Calculateur!V148*Calculateur!X148*VLOOKUP('Données projet'!$B$9,Paramètres!$A$1:$I$89,3,0)*0.475*44/12</f>
        <v>7.6558296585722472</v>
      </c>
      <c r="AB148" s="23">
        <f>EXP(-LN(2)/2)*AB147+(1-EXP(-LN(2)/2))/(LN(2)/2)*V148*Y148*VLOOKUP('Données projet'!$B$9,Paramètres!$A$1:$I$89,3,0)*0.475*44/12</f>
        <v>2.8546162233476183E-12</v>
      </c>
      <c r="AC148" s="24">
        <f t="shared" si="111"/>
        <v>32.303467545341888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-1.064108801074326E-13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212.75825875635837</v>
      </c>
      <c r="T149" s="62">
        <f t="shared" si="142"/>
        <v>166.61377928936963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24.164312741381959</v>
      </c>
      <c r="AA149" s="23">
        <f>EXP(-LN(2)/25)*AA148+(1-EXP(-LN(2)/25))/(LN(2)/25)*Calculateur!V149*Calculateur!X149*VLOOKUP('Données projet'!$B$9,Paramètres!$A$1:$I$89,3,0)*0.475*44/12</f>
        <v>7.4464805939560046</v>
      </c>
      <c r="AB149" s="23">
        <f>EXP(-LN(2)/2)*AB148+(1-EXP(-LN(2)/2))/(LN(2)/2)*V149*Y149*VLOOKUP('Données projet'!$B$9,Paramètres!$A$1:$I$89,3,0)*0.475*44/12</f>
        <v>2.018518489214233E-12</v>
      </c>
      <c r="AC149" s="24">
        <f t="shared" si="111"/>
        <v>31.610793335339981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-1.064108801074326E-13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212.75825875635837</v>
      </c>
      <c r="T150" s="62">
        <f t="shared" si="142"/>
        <v>166.61377928936963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23.690465307298897</v>
      </c>
      <c r="AA150" s="23">
        <f>EXP(-LN(2)/25)*AA149+(1-EXP(-LN(2)/25))/(LN(2)/25)*Calculateur!V150*Calculateur!X150*VLOOKUP('Données projet'!$B$9,Paramètres!$A$1:$I$89,3,0)*0.475*44/12</f>
        <v>7.2428561905208824</v>
      </c>
      <c r="AB150" s="23">
        <f>EXP(-LN(2)/2)*AB149+(1-EXP(-LN(2)/2))/(LN(2)/2)*V150*Y150*VLOOKUP('Données projet'!$B$9,Paramètres!$A$1:$I$89,3,0)*0.475*44/12</f>
        <v>1.4273081116738092E-12</v>
      </c>
      <c r="AC150" s="24">
        <f t="shared" si="111"/>
        <v>30.933321497821208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-1.064108801074326E-13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212.75825875635837</v>
      </c>
      <c r="T151" s="62">
        <f t="shared" si="142"/>
        <v>166.61377928936963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23.225909732379808</v>
      </c>
      <c r="AA151" s="23">
        <f>EXP(-LN(2)/25)*AA150+(1-EXP(-LN(2)/25))/(LN(2)/25)*Calculateur!V151*Calculateur!X151*VLOOKUP('Données projet'!$B$9,Paramètres!$A$1:$I$89,3,0)*0.475*44/12</f>
        <v>7.0447999071058351</v>
      </c>
      <c r="AB151" s="23">
        <f>EXP(-LN(2)/2)*AB150+(1-EXP(-LN(2)/2))/(LN(2)/2)*V151*Y151*VLOOKUP('Données projet'!$B$9,Paramètres!$A$1:$I$89,3,0)*0.475*44/12</f>
        <v>1.0092592446071165E-12</v>
      </c>
      <c r="AC151" s="24">
        <f t="shared" si="111"/>
        <v>30.270709639486654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-1.064108801074326E-13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212.75825875635837</v>
      </c>
      <c r="T152" s="62">
        <f t="shared" si="142"/>
        <v>166.61377928936963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22.770463808933961</v>
      </c>
      <c r="AA152" s="23">
        <f>EXP(-LN(2)/25)*AA151+(1-EXP(-LN(2)/25))/(LN(2)/25)*Calculateur!V152*Calculateur!X152*VLOOKUP('Données projet'!$B$9,Paramètres!$A$1:$I$89,3,0)*0.475*44/12</f>
        <v>6.8521594831761004</v>
      </c>
      <c r="AB152" s="23">
        <f>EXP(-LN(2)/2)*AB151+(1-EXP(-LN(2)/2))/(LN(2)/2)*V152*Y152*VLOOKUP('Données projet'!$B$9,Paramètres!$A$1:$I$89,3,0)*0.475*44/12</f>
        <v>7.1365405583690458E-13</v>
      </c>
      <c r="AC152" s="24">
        <f t="shared" si="111"/>
        <v>29.622623292110777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-1.064108801074326E-13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212.75825875635837</v>
      </c>
      <c r="T153" s="62">
        <f t="shared" si="142"/>
        <v>166.61377928936963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22.323948902252305</v>
      </c>
      <c r="AA153" s="23">
        <f>EXP(-LN(2)/25)*AA152+(1-EXP(-LN(2)/25))/(LN(2)/25)*Calculateur!V153*Calculateur!X153*VLOOKUP('Données projet'!$B$9,Paramètres!$A$1:$I$89,3,0)*0.475*44/12</f>
        <v>6.6647868217692432</v>
      </c>
      <c r="AB153" s="23">
        <f>EXP(-LN(2)/2)*AB152+(1-EXP(-LN(2)/2))/(LN(2)/2)*V153*Y153*VLOOKUP('Données projet'!$B$9,Paramètres!$A$1:$I$89,3,0)*0.475*44/12</f>
        <v>5.0462962230355824E-13</v>
      </c>
      <c r="AC153" s="24">
        <f t="shared" si="111"/>
        <v>28.988735724022053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-1.064108801074326E-13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212.75825875635837</v>
      </c>
      <c r="T154" s="62">
        <f t="shared" si="142"/>
        <v>166.61377928936963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21.886189880543473</v>
      </c>
      <c r="AA154" s="23">
        <f>EXP(-LN(2)/25)*AA153+(1-EXP(-LN(2)/25))/(LN(2)/25)*Calculateur!V154*Calculateur!X154*VLOOKUP('Données projet'!$B$9,Paramètres!$A$1:$I$89,3,0)*0.475*44/12</f>
        <v>6.4825378756420573</v>
      </c>
      <c r="AB154" s="23">
        <f>EXP(-LN(2)/2)*AB153+(1-EXP(-LN(2)/2))/(LN(2)/2)*V154*Y154*VLOOKUP('Données projet'!$B$9,Paramètres!$A$1:$I$89,3,0)*0.475*44/12</f>
        <v>3.5682702791845229E-13</v>
      </c>
      <c r="AC154" s="24">
        <f t="shared" ref="AC154:AC203" si="163">SUM(Z154:AB154)</f>
        <v>28.368727756185883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-1.064108801074326E-13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212.75825875635837</v>
      </c>
      <c r="T155" s="62">
        <f t="shared" si="142"/>
        <v>166.61377928936963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21.457015046243711</v>
      </c>
      <c r="AA155" s="23">
        <f>EXP(-LN(2)/25)*AA154+(1-EXP(-LN(2)/25))/(LN(2)/25)*Calculateur!V155*Calculateur!X155*VLOOKUP('Données projet'!$B$9,Paramètres!$A$1:$I$89,3,0)*0.475*44/12</f>
        <v>6.305272536530774</v>
      </c>
      <c r="AB155" s="23">
        <f>EXP(-LN(2)/2)*AB154+(1-EXP(-LN(2)/2))/(LN(2)/2)*V155*Y155*VLOOKUP('Données projet'!$B$9,Paramètres!$A$1:$I$89,3,0)*0.475*44/12</f>
        <v>2.5231481115177912E-13</v>
      </c>
      <c r="AC155" s="24">
        <f t="shared" si="163"/>
        <v>27.762287582774736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-1.064108801074326E-13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212.75825875635837</v>
      </c>
      <c r="T156" s="62">
        <f t="shared" si="142"/>
        <v>166.61377928936963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21.036256068673769</v>
      </c>
      <c r="AA156" s="23">
        <f>EXP(-LN(2)/25)*AA155+(1-EXP(-LN(2)/25))/(LN(2)/25)*Calculateur!V156*Calculateur!X156*VLOOKUP('Données projet'!$B$9,Paramètres!$A$1:$I$89,3,0)*0.475*44/12</f>
        <v>6.1328545274394681</v>
      </c>
      <c r="AB156" s="23">
        <f>EXP(-LN(2)/2)*AB155+(1-EXP(-LN(2)/2))/(LN(2)/2)*V156*Y156*VLOOKUP('Données projet'!$B$9,Paramètres!$A$1:$I$89,3,0)*0.475*44/12</f>
        <v>1.7841351395922615E-13</v>
      </c>
      <c r="AC156" s="24">
        <f t="shared" si="163"/>
        <v>27.169110596113413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-1.064108801074326E-13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212.75825875635837</v>
      </c>
      <c r="T157" s="62">
        <f t="shared" si="142"/>
        <v>166.61377928936963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20.623747918016338</v>
      </c>
      <c r="AA157" s="23">
        <f>EXP(-LN(2)/25)*AA156+(1-EXP(-LN(2)/25))/(LN(2)/25)*Calculateur!V157*Calculateur!X157*VLOOKUP('Données projet'!$B$9,Paramètres!$A$1:$I$89,3,0)*0.475*44/12</f>
        <v>5.9651512978738328</v>
      </c>
      <c r="AB157" s="23">
        <f>EXP(-LN(2)/2)*AB156+(1-EXP(-LN(2)/2))/(LN(2)/2)*V157*Y157*VLOOKUP('Données projet'!$B$9,Paramètres!$A$1:$I$89,3,0)*0.475*44/12</f>
        <v>1.2615740557588956E-13</v>
      </c>
      <c r="AC157" s="24">
        <f t="shared" si="163"/>
        <v>26.588899215890301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-1.064108801074326E-13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212.75825875635837</v>
      </c>
      <c r="T158" s="62">
        <f t="shared" si="142"/>
        <v>166.61377928936963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20.219328800588169</v>
      </c>
      <c r="AA158" s="23">
        <f>EXP(-LN(2)/25)*AA157+(1-EXP(-LN(2)/25))/(LN(2)/25)*Calculateur!V158*Calculateur!X158*VLOOKUP('Données projet'!$B$9,Paramètres!$A$1:$I$89,3,0)*0.475*44/12</f>
        <v>5.8020339219397998</v>
      </c>
      <c r="AB158" s="23">
        <f>EXP(-LN(2)/2)*AB157+(1-EXP(-LN(2)/2))/(LN(2)/2)*V158*Y158*VLOOKUP('Données projet'!$B$9,Paramètres!$A$1:$I$89,3,0)*0.475*44/12</f>
        <v>8.9206756979613073E-14</v>
      </c>
      <c r="AC158" s="24">
        <f t="shared" si="163"/>
        <v>26.021362722528057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-1.064108801074326E-13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212.75825875635837</v>
      </c>
      <c r="T159" s="62">
        <f t="shared" si="142"/>
        <v>166.61377928936963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19.822840095381462</v>
      </c>
      <c r="AA159" s="23">
        <f>EXP(-LN(2)/25)*AA158+(1-EXP(-LN(2)/25))/(LN(2)/25)*Calculateur!V159*Calculateur!X159*VLOOKUP('Données projet'!$B$9,Paramètres!$A$1:$I$89,3,0)*0.475*44/12</f>
        <v>5.6433769992286527</v>
      </c>
      <c r="AB159" s="23">
        <f>EXP(-LN(2)/2)*AB158+(1-EXP(-LN(2)/2))/(LN(2)/2)*V159*Y159*VLOOKUP('Données projet'!$B$9,Paramètres!$A$1:$I$89,3,0)*0.475*44/12</f>
        <v>6.307870278794478E-14</v>
      </c>
      <c r="AC159" s="24">
        <f t="shared" si="163"/>
        <v>25.46621709461018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-1.064108801074326E-13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212.75825875635837</v>
      </c>
      <c r="T160" s="62">
        <f t="shared" si="142"/>
        <v>166.61377928936963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19.43412629184963</v>
      </c>
      <c r="AA160" s="23">
        <f>EXP(-LN(2)/25)*AA159+(1-EXP(-LN(2)/25))/(LN(2)/25)*Calculateur!V160*Calculateur!X160*VLOOKUP('Données projet'!$B$9,Paramètres!$A$1:$I$89,3,0)*0.475*44/12</f>
        <v>5.4890585584124469</v>
      </c>
      <c r="AB160" s="23">
        <f>EXP(-LN(2)/2)*AB159+(1-EXP(-LN(2)/2))/(LN(2)/2)*V160*Y160*VLOOKUP('Données projet'!$B$9,Paramètres!$A$1:$I$89,3,0)*0.475*44/12</f>
        <v>4.4603378489806536E-14</v>
      </c>
      <c r="AC160" s="24">
        <f t="shared" si="163"/>
        <v>24.923184850262121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-1.064108801074326E-13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212.75825875635837</v>
      </c>
      <c r="T161" s="62">
        <f t="shared" si="142"/>
        <v>166.61377928936963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19.053034928913046</v>
      </c>
      <c r="AA161" s="23">
        <f>EXP(-LN(2)/25)*AA160+(1-EXP(-LN(2)/25))/(LN(2)/25)*Calculateur!V161*Calculateur!X161*VLOOKUP('Données projet'!$B$9,Paramètres!$A$1:$I$89,3,0)*0.475*44/12</f>
        <v>5.338959963475614</v>
      </c>
      <c r="AB161" s="23">
        <f>EXP(-LN(2)/2)*AB160+(1-EXP(-LN(2)/2))/(LN(2)/2)*V161*Y161*VLOOKUP('Données projet'!$B$9,Paramètres!$A$1:$I$89,3,0)*0.475*44/12</f>
        <v>3.153935139397239E-14</v>
      </c>
      <c r="AC161" s="24">
        <f t="shared" si="163"/>
        <v>24.391994892388691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-1.064108801074326E-13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212.75825875635837</v>
      </c>
      <c r="T162" s="62">
        <f t="shared" si="142"/>
        <v>166.61377928936963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18.679416535160868</v>
      </c>
      <c r="AA162" s="23">
        <f>EXP(-LN(2)/25)*AA161+(1-EXP(-LN(2)/25))/(LN(2)/25)*Calculateur!V162*Calculateur!X162*VLOOKUP('Données projet'!$B$9,Paramètres!$A$1:$I$89,3,0)*0.475*44/12</f>
        <v>5.1929658225106712</v>
      </c>
      <c r="AB162" s="23">
        <f>EXP(-LN(2)/2)*AB161+(1-EXP(-LN(2)/2))/(LN(2)/2)*V162*Y162*VLOOKUP('Données projet'!$B$9,Paramètres!$A$1:$I$89,3,0)*0.475*44/12</f>
        <v>2.2301689244903268E-14</v>
      </c>
      <c r="AC162" s="24">
        <f t="shared" si="163"/>
        <v>23.872382357671562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-1.064108801074326E-13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212.75825875635837</v>
      </c>
      <c r="T163" s="62">
        <f t="shared" si="142"/>
        <v>166.61377928936963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18.313124570225455</v>
      </c>
      <c r="AA163" s="23">
        <f>EXP(-LN(2)/25)*AA162+(1-EXP(-LN(2)/25))/(LN(2)/25)*Calculateur!V163*Calculateur!X163*VLOOKUP('Données projet'!$B$9,Paramètres!$A$1:$I$89,3,0)*0.475*44/12</f>
        <v>5.0509638990079129</v>
      </c>
      <c r="AB163" s="23">
        <f>EXP(-LN(2)/2)*AB162+(1-EXP(-LN(2)/2))/(LN(2)/2)*V163*Y163*VLOOKUP('Données projet'!$B$9,Paramètres!$A$1:$I$89,3,0)*0.475*44/12</f>
        <v>1.5769675696986195E-14</v>
      </c>
      <c r="AC163" s="24">
        <f t="shared" si="163"/>
        <v>23.36408846923338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-1.064108801074326E-13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212.75825875635837</v>
      </c>
      <c r="T164" s="62">
        <f t="shared" si="142"/>
        <v>166.61377928936963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17.954015367306386</v>
      </c>
      <c r="AA164" s="23">
        <f>EXP(-LN(2)/25)*AA163+(1-EXP(-LN(2)/25))/(LN(2)/25)*Calculateur!V164*Calculateur!X164*VLOOKUP('Données projet'!$B$9,Paramètres!$A$1:$I$89,3,0)*0.475*44/12</f>
        <v>4.9128450255708938</v>
      </c>
      <c r="AB164" s="23">
        <f>EXP(-LN(2)/2)*AB163+(1-EXP(-LN(2)/2))/(LN(2)/2)*V164*Y164*VLOOKUP('Données projet'!$B$9,Paramètres!$A$1:$I$89,3,0)*0.475*44/12</f>
        <v>1.1150844622451634E-14</v>
      </c>
      <c r="AC164" s="24">
        <f t="shared" si="163"/>
        <v>22.866860392877289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-1.064108801074326E-13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212.75825875635837</v>
      </c>
      <c r="T165" s="62">
        <f t="shared" si="142"/>
        <v>166.61377928936963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17.601948076821575</v>
      </c>
      <c r="AA165" s="23">
        <f>EXP(-LN(2)/25)*AA164+(1-EXP(-LN(2)/25))/(LN(2)/25)*Calculateur!V165*Calculateur!X165*VLOOKUP('Données projet'!$B$9,Paramètres!$A$1:$I$89,3,0)*0.475*44/12</f>
        <v>4.7785030199913665</v>
      </c>
      <c r="AB165" s="23">
        <f>EXP(-LN(2)/2)*AB164+(1-EXP(-LN(2)/2))/(LN(2)/2)*V165*Y165*VLOOKUP('Données projet'!$B$9,Paramètres!$A$1:$I$89,3,0)*0.475*44/12</f>
        <v>7.8848378484930975E-15</v>
      </c>
      <c r="AC165" s="24">
        <f t="shared" si="163"/>
        <v>22.380451096812948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-1.064108801074326E-13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212.75825875635837</v>
      </c>
      <c r="T166" s="62">
        <f t="shared" si="142"/>
        <v>166.61377928936963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17.256784611163326</v>
      </c>
      <c r="AA166" s="23">
        <f>EXP(-LN(2)/25)*AA165+(1-EXP(-LN(2)/25))/(LN(2)/25)*Calculateur!V166*Calculateur!X166*VLOOKUP('Données projet'!$B$9,Paramètres!$A$1:$I$89,3,0)*0.475*44/12</f>
        <v>4.6478346036191498</v>
      </c>
      <c r="AB166" s="23">
        <f>EXP(-LN(2)/2)*AB165+(1-EXP(-LN(2)/2))/(LN(2)/2)*V166*Y166*VLOOKUP('Données projet'!$B$9,Paramètres!$A$1:$I$89,3,0)*0.475*44/12</f>
        <v>5.575422311225817E-15</v>
      </c>
      <c r="AC166" s="24">
        <f t="shared" si="163"/>
        <v>21.904619214782482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-1.064108801074326E-13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212.75825875635837</v>
      </c>
      <c r="T167" s="62">
        <f t="shared" si="142"/>
        <v>166.61377928936963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16.918389590537711</v>
      </c>
      <c r="AA167" s="23">
        <f>EXP(-LN(2)/25)*AA166+(1-EXP(-LN(2)/25))/(LN(2)/25)*Calculateur!V167*Calculateur!X167*VLOOKUP('Données projet'!$B$9,Paramètres!$A$1:$I$89,3,0)*0.475*44/12</f>
        <v>4.5207393219641849</v>
      </c>
      <c r="AB167" s="23">
        <f>EXP(-LN(2)/2)*AB166+(1-EXP(-LN(2)/2))/(LN(2)/2)*V167*Y167*VLOOKUP('Données projet'!$B$9,Paramètres!$A$1:$I$89,3,0)*0.475*44/12</f>
        <v>3.9424189242465488E-15</v>
      </c>
      <c r="AC167" s="24">
        <f t="shared" si="163"/>
        <v>21.4391289125019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-1.064108801074326E-13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212.75825875635837</v>
      </c>
      <c r="T168" s="62">
        <f t="shared" si="142"/>
        <v>166.61377928936963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16.58663028986598</v>
      </c>
      <c r="AA168" s="23">
        <f>EXP(-LN(2)/25)*AA167+(1-EXP(-LN(2)/25))/(LN(2)/25)*Calculateur!V168*Calculateur!X168*VLOOKUP('Données projet'!$B$9,Paramètres!$A$1:$I$89,3,0)*0.475*44/12</f>
        <v>4.397119467469726</v>
      </c>
      <c r="AB168" s="23">
        <f>EXP(-LN(2)/2)*AB167+(1-EXP(-LN(2)/2))/(LN(2)/2)*V168*Y168*VLOOKUP('Données projet'!$B$9,Paramètres!$A$1:$I$89,3,0)*0.475*44/12</f>
        <v>2.7877111556129085E-15</v>
      </c>
      <c r="AC168" s="24">
        <f t="shared" si="163"/>
        <v>20.983749757335708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-1.064108801074326E-13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212.75825875635837</v>
      </c>
      <c r="T169" s="62">
        <f t="shared" si="142"/>
        <v>166.61377928936963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16.261376586727231</v>
      </c>
      <c r="AA169" s="23">
        <f>EXP(-LN(2)/25)*AA168+(1-EXP(-LN(2)/25))/(LN(2)/25)*Calculateur!V169*Calculateur!X169*VLOOKUP('Données projet'!$B$9,Paramètres!$A$1:$I$89,3,0)*0.475*44/12</f>
        <v>4.2768800043973032</v>
      </c>
      <c r="AB169" s="23">
        <f>EXP(-LN(2)/2)*AB168+(1-EXP(-LN(2)/2))/(LN(2)/2)*V169*Y169*VLOOKUP('Données projet'!$B$9,Paramètres!$A$1:$I$89,3,0)*0.475*44/12</f>
        <v>1.9712094621232744E-15</v>
      </c>
      <c r="AC169" s="24">
        <f t="shared" si="163"/>
        <v>20.538256591124536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-1.064108801074326E-13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212.75825875635837</v>
      </c>
      <c r="T170" s="62">
        <f t="shared" si="142"/>
        <v>166.61377928936963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15.942500910321861</v>
      </c>
      <c r="AA170" s="23">
        <f>EXP(-LN(2)/25)*AA169+(1-EXP(-LN(2)/25))/(LN(2)/25)*Calculateur!V170*Calculateur!X170*VLOOKUP('Données projet'!$B$9,Paramètres!$A$1:$I$89,3,0)*0.475*44/12</f>
        <v>4.1599284957657146</v>
      </c>
      <c r="AB170" s="23">
        <f>EXP(-LN(2)/2)*AB169+(1-EXP(-LN(2)/2))/(LN(2)/2)*V170*Y170*VLOOKUP('Données projet'!$B$9,Paramètres!$A$1:$I$89,3,0)*0.475*44/12</f>
        <v>1.3938555778064543E-15</v>
      </c>
      <c r="AC170" s="24">
        <f t="shared" si="163"/>
        <v>20.102429406087577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-1.064108801074326E-13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212.75825875635837</v>
      </c>
      <c r="T171" s="62">
        <f t="shared" si="142"/>
        <v>166.61377928936963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15.629878191435843</v>
      </c>
      <c r="AA171" s="23">
        <f>EXP(-LN(2)/25)*AA170+(1-EXP(-LN(2)/25))/(LN(2)/25)*Calculateur!V171*Calculateur!X171*VLOOKUP('Données projet'!$B$9,Paramètres!$A$1:$I$89,3,0)*0.475*44/12</f>
        <v>4.0461750322878691</v>
      </c>
      <c r="AB171" s="23">
        <f>EXP(-LN(2)/2)*AB170+(1-EXP(-LN(2)/2))/(LN(2)/2)*V171*Y171*VLOOKUP('Données projet'!$B$9,Paramètres!$A$1:$I$89,3,0)*0.475*44/12</f>
        <v>9.8560473106163719E-16</v>
      </c>
      <c r="AC171" s="24">
        <f t="shared" si="163"/>
        <v>19.676053223723713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-1.064108801074326E-13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212.75825875635837</v>
      </c>
      <c r="T172" s="62">
        <f t="shared" si="142"/>
        <v>166.61377928936963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15.32338581338615</v>
      </c>
      <c r="AA172" s="23">
        <f>EXP(-LN(2)/25)*AA171+(1-EXP(-LN(2)/25))/(LN(2)/25)*Calculateur!V172*Calculateur!X172*VLOOKUP('Données projet'!$B$9,Paramètres!$A$1:$I$89,3,0)*0.475*44/12</f>
        <v>3.9355321632508602</v>
      </c>
      <c r="AB172" s="23">
        <f>EXP(-LN(2)/2)*AB171+(1-EXP(-LN(2)/2))/(LN(2)/2)*V172*Y172*VLOOKUP('Données projet'!$B$9,Paramètres!$A$1:$I$89,3,0)*0.475*44/12</f>
        <v>6.9692778890322713E-16</v>
      </c>
      <c r="AC172" s="24">
        <f t="shared" si="163"/>
        <v>19.258917976637008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-1.064108801074326E-13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212.75825875635837</v>
      </c>
      <c r="T173" s="62">
        <f t="shared" si="142"/>
        <v>166.61377928936963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15.022903563928118</v>
      </c>
      <c r="AA173" s="23">
        <f>EXP(-LN(2)/25)*AA172+(1-EXP(-LN(2)/25))/(LN(2)/25)*Calculateur!V173*Calculateur!X173*VLOOKUP('Données projet'!$B$9,Paramètres!$A$1:$I$89,3,0)*0.475*44/12</f>
        <v>3.8279148292861236</v>
      </c>
      <c r="AB173" s="23">
        <f>EXP(-LN(2)/2)*AB172+(1-EXP(-LN(2)/2))/(LN(2)/2)*V173*Y173*VLOOKUP('Données projet'!$B$9,Paramètres!$A$1:$I$89,3,0)*0.475*44/12</f>
        <v>4.928023655308186E-16</v>
      </c>
      <c r="AC173" s="24">
        <f t="shared" si="163"/>
        <v>18.85081839321424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-1.064108801074326E-13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212.75825875635837</v>
      </c>
      <c r="T174" s="62">
        <f t="shared" si="142"/>
        <v>166.61377928936963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14.728313588105884</v>
      </c>
      <c r="AA174" s="23">
        <f>EXP(-LN(2)/25)*AA173+(1-EXP(-LN(2)/25))/(LN(2)/25)*Calculateur!V174*Calculateur!X174*VLOOKUP('Données projet'!$B$9,Paramètres!$A$1:$I$89,3,0)*0.475*44/12</f>
        <v>3.7232402969780023</v>
      </c>
      <c r="AB174" s="23">
        <f>EXP(-LN(2)/2)*AB173+(1-EXP(-LN(2)/2))/(LN(2)/2)*V174*Y174*VLOOKUP('Données projet'!$B$9,Paramètres!$A$1:$I$89,3,0)*0.475*44/12</f>
        <v>3.4846389445161356E-16</v>
      </c>
      <c r="AC174" s="24">
        <f t="shared" si="163"/>
        <v>18.451553885083886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-1.064108801074326E-13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212.75825875635837</v>
      </c>
      <c r="T175" s="62">
        <f t="shared" si="142"/>
        <v>166.61377928936963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14.439500342027381</v>
      </c>
      <c r="AA175" s="23">
        <f>EXP(-LN(2)/25)*AA174+(1-EXP(-LN(2)/25))/(LN(2)/25)*Calculateur!V175*Calculateur!X175*VLOOKUP('Données projet'!$B$9,Paramètres!$A$1:$I$89,3,0)*0.475*44/12</f>
        <v>3.6214280952604412</v>
      </c>
      <c r="AB175" s="23">
        <f>EXP(-LN(2)/2)*AB174+(1-EXP(-LN(2)/2))/(LN(2)/2)*V175*Y175*VLOOKUP('Données projet'!$B$9,Paramètres!$A$1:$I$89,3,0)*0.475*44/12</f>
        <v>2.464011827654093E-16</v>
      </c>
      <c r="AC175" s="24">
        <f t="shared" si="163"/>
        <v>18.060928437287821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-1.064108801074326E-13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212.75825875635837</v>
      </c>
      <c r="T176" s="62">
        <f t="shared" si="142"/>
        <v>166.61377928936963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14.156350547545792</v>
      </c>
      <c r="AA176" s="23">
        <f>EXP(-LN(2)/25)*AA175+(1-EXP(-LN(2)/25))/(LN(2)/25)*Calculateur!V176*Calculateur!X176*VLOOKUP('Données projet'!$B$9,Paramètres!$A$1:$I$89,3,0)*0.475*44/12</f>
        <v>3.5223999535529176</v>
      </c>
      <c r="AB176" s="23">
        <f>EXP(-LN(2)/2)*AB175+(1-EXP(-LN(2)/2))/(LN(2)/2)*V176*Y176*VLOOKUP('Données projet'!$B$9,Paramètres!$A$1:$I$89,3,0)*0.475*44/12</f>
        <v>1.7423194722580678E-16</v>
      </c>
      <c r="AC176" s="24">
        <f t="shared" si="163"/>
        <v>17.678750501098708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-1.064108801074326E-13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212.75825875635837</v>
      </c>
      <c r="T177" s="62">
        <f t="shared" si="142"/>
        <v>166.61377928936963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13.878753147829665</v>
      </c>
      <c r="AA177" s="23">
        <f>EXP(-LN(2)/25)*AA176+(1-EXP(-LN(2)/25))/(LN(2)/25)*Calculateur!V177*Calculateur!X177*VLOOKUP('Données projet'!$B$9,Paramètres!$A$1:$I$89,3,0)*0.475*44/12</f>
        <v>3.4260797415880502</v>
      </c>
      <c r="AB177" s="23">
        <f>EXP(-LN(2)/2)*AB176+(1-EXP(-LN(2)/2))/(LN(2)/2)*V177*Y177*VLOOKUP('Données projet'!$B$9,Paramètres!$A$1:$I$89,3,0)*0.475*44/12</f>
        <v>1.2320059138270465E-16</v>
      </c>
      <c r="AC177" s="24">
        <f t="shared" si="163"/>
        <v>17.304832889417714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-1.064108801074326E-13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212.75825875635837</v>
      </c>
      <c r="T178" s="62">
        <f t="shared" si="142"/>
        <v>166.61377928936963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13.606599263804275</v>
      </c>
      <c r="AA178" s="23">
        <f>EXP(-LN(2)/25)*AA177+(1-EXP(-LN(2)/25))/(LN(2)/25)*Calculateur!V178*Calculateur!X178*VLOOKUP('Données projet'!$B$9,Paramètres!$A$1:$I$89,3,0)*0.475*44/12</f>
        <v>3.3323934108846216</v>
      </c>
      <c r="AB178" s="23">
        <f>EXP(-LN(2)/2)*AB177+(1-EXP(-LN(2)/2))/(LN(2)/2)*V178*Y178*VLOOKUP('Données projet'!$B$9,Paramètres!$A$1:$I$89,3,0)*0.475*44/12</f>
        <v>8.7115973612903391E-17</v>
      </c>
      <c r="AC178" s="24">
        <f t="shared" si="163"/>
        <v>16.938992674688897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-1.064108801074326E-13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212.75825875635837</v>
      </c>
      <c r="T179" s="62">
        <f t="shared" si="142"/>
        <v>166.61377928936963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13.339782151447146</v>
      </c>
      <c r="AA179" s="23">
        <f>EXP(-LN(2)/25)*AA178+(1-EXP(-LN(2)/25))/(LN(2)/25)*Calculateur!V179*Calculateur!X179*VLOOKUP('Données projet'!$B$9,Paramètres!$A$1:$I$89,3,0)*0.475*44/12</f>
        <v>3.2412689378210287</v>
      </c>
      <c r="AB179" s="23">
        <f>EXP(-LN(2)/2)*AB178+(1-EXP(-LN(2)/2))/(LN(2)/2)*V179*Y179*VLOOKUP('Données projet'!$B$9,Paramètres!$A$1:$I$89,3,0)*0.475*44/12</f>
        <v>6.1600295691352324E-17</v>
      </c>
      <c r="AC179" s="24">
        <f t="shared" si="163"/>
        <v>16.581051089268176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-1.064108801074326E-13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212.75825875635837</v>
      </c>
      <c r="T180" s="62">
        <f t="shared" si="142"/>
        <v>166.61377928936963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13.07819715992097</v>
      </c>
      <c r="AA180" s="23">
        <f>EXP(-LN(2)/25)*AA179+(1-EXP(-LN(2)/25))/(LN(2)/25)*Calculateur!V180*Calculateur!X180*VLOOKUP('Données projet'!$B$9,Paramètres!$A$1:$I$89,3,0)*0.475*44/12</f>
        <v>3.152636268265387</v>
      </c>
      <c r="AB180" s="23">
        <f>EXP(-LN(2)/2)*AB179+(1-EXP(-LN(2)/2))/(LN(2)/2)*V180*Y180*VLOOKUP('Données projet'!$B$9,Paramètres!$A$1:$I$89,3,0)*0.475*44/12</f>
        <v>4.3557986806451696E-17</v>
      </c>
      <c r="AC180" s="24">
        <f t="shared" si="163"/>
        <v>16.230833428186358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-1.064108801074326E-13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212.75825875635837</v>
      </c>
      <c r="T181" s="62">
        <f t="shared" si="142"/>
        <v>166.61377928936963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12.821741690527533</v>
      </c>
      <c r="AA181" s="23">
        <f>EXP(-LN(2)/25)*AA180+(1-EXP(-LN(2)/25))/(LN(2)/25)*Calculateur!V181*Calculateur!X181*VLOOKUP('Données projet'!$B$9,Paramètres!$A$1:$I$89,3,0)*0.475*44/12</f>
        <v>3.0664272637197341</v>
      </c>
      <c r="AB181" s="23">
        <f>EXP(-LN(2)/2)*AB180+(1-EXP(-LN(2)/2))/(LN(2)/2)*V181*Y181*VLOOKUP('Données projet'!$B$9,Paramètres!$A$1:$I$89,3,0)*0.475*44/12</f>
        <v>3.0800147845676162E-17</v>
      </c>
      <c r="AC181" s="24">
        <f t="shared" si="163"/>
        <v>15.888168954247266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-1.064108801074326E-13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212.75825875635837</v>
      </c>
      <c r="T182" s="62">
        <f t="shared" si="142"/>
        <v>166.61377928936963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12.57031515646651</v>
      </c>
      <c r="AA182" s="23">
        <f>EXP(-LN(2)/25)*AA181+(1-EXP(-LN(2)/25))/(LN(2)/25)*Calculateur!V182*Calculateur!X182*VLOOKUP('Données projet'!$B$9,Paramètres!$A$1:$I$89,3,0)*0.475*44/12</f>
        <v>2.9825756489369164</v>
      </c>
      <c r="AB182" s="23">
        <f>EXP(-LN(2)/2)*AB181+(1-EXP(-LN(2)/2))/(LN(2)/2)*V182*Y182*VLOOKUP('Données projet'!$B$9,Paramètres!$A$1:$I$89,3,0)*0.475*44/12</f>
        <v>2.1778993403225848E-17</v>
      </c>
      <c r="AC182" s="24">
        <f t="shared" si="163"/>
        <v>15.552890805403425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-1.064108801074326E-13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212.75825875635837</v>
      </c>
      <c r="T183" s="62">
        <f t="shared" si="142"/>
        <v>166.61377928936963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12.32381894338338</v>
      </c>
      <c r="AA183" s="23">
        <f>EXP(-LN(2)/25)*AA182+(1-EXP(-LN(2)/25))/(LN(2)/25)*Calculateur!V183*Calculateur!X183*VLOOKUP('Données projet'!$B$9,Paramètres!$A$1:$I$89,3,0)*0.475*44/12</f>
        <v>2.9010169609698999</v>
      </c>
      <c r="AB183" s="23">
        <f>EXP(-LN(2)/2)*AB182+(1-EXP(-LN(2)/2))/(LN(2)/2)*V183*Y183*VLOOKUP('Données projet'!$B$9,Paramètres!$A$1:$I$89,3,0)*0.475*44/12</f>
        <v>1.5400073922838081E-17</v>
      </c>
      <c r="AC183" s="24">
        <f t="shared" si="163"/>
        <v>15.224835904353279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-1.064108801074326E-13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212.75825875635837</v>
      </c>
      <c r="T184" s="62">
        <f t="shared" si="142"/>
        <v>166.61377928936963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12.082156370690965</v>
      </c>
      <c r="AA184" s="23">
        <f>EXP(-LN(2)/25)*AA183+(1-EXP(-LN(2)/25))/(LN(2)/25)*Calculateur!V184*Calculateur!X184*VLOOKUP('Données projet'!$B$9,Paramètres!$A$1:$I$89,3,0)*0.475*44/12</f>
        <v>2.8216884996143263</v>
      </c>
      <c r="AB184" s="23">
        <f>EXP(-LN(2)/2)*AB183+(1-EXP(-LN(2)/2))/(LN(2)/2)*V184*Y184*VLOOKUP('Données projet'!$B$9,Paramètres!$A$1:$I$89,3,0)*0.475*44/12</f>
        <v>1.0889496701612924E-17</v>
      </c>
      <c r="AC184" s="24">
        <f t="shared" si="163"/>
        <v>14.903844870305292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-1.064108801074326E-13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212.75825875635837</v>
      </c>
      <c r="T185" s="62">
        <f t="shared" si="142"/>
        <v>166.61377928936963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11.845232653649434</v>
      </c>
      <c r="AA185" s="23">
        <f>EXP(-LN(2)/25)*AA184+(1-EXP(-LN(2)/25))/(LN(2)/25)*Calculateur!V185*Calculateur!X185*VLOOKUP('Données projet'!$B$9,Paramètres!$A$1:$I$89,3,0)*0.475*44/12</f>
        <v>2.7445292792062235</v>
      </c>
      <c r="AB185" s="23">
        <f>EXP(-LN(2)/2)*AB184+(1-EXP(-LN(2)/2))/(LN(2)/2)*V185*Y185*VLOOKUP('Données projet'!$B$9,Paramètres!$A$1:$I$89,3,0)*0.475*44/12</f>
        <v>7.7000369614190406E-18</v>
      </c>
      <c r="AC185" s="24">
        <f t="shared" si="163"/>
        <v>14.589761932855659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-1.064108801074326E-13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212.75825875635837</v>
      </c>
      <c r="T186" s="62">
        <f t="shared" si="142"/>
        <v>166.61377928936963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11.61295486618989</v>
      </c>
      <c r="AA186" s="23">
        <f>EXP(-LN(2)/25)*AA185+(1-EXP(-LN(2)/25))/(LN(2)/25)*Calculateur!V186*Calculateur!X186*VLOOKUP('Données projet'!$B$9,Paramètres!$A$1:$I$89,3,0)*0.475*44/12</f>
        <v>2.669479981737807</v>
      </c>
      <c r="AB186" s="23">
        <f>EXP(-LN(2)/2)*AB185+(1-EXP(-LN(2)/2))/(LN(2)/2)*V186*Y186*VLOOKUP('Données projet'!$B$9,Paramètres!$A$1:$I$89,3,0)*0.475*44/12</f>
        <v>5.444748350806462E-18</v>
      </c>
      <c r="AC186" s="24">
        <f t="shared" si="163"/>
        <v>14.282434847927696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-1.064108801074326E-13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212.75825875635837</v>
      </c>
      <c r="T187" s="62">
        <f t="shared" si="142"/>
        <v>166.61377928936963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11.385231904466966</v>
      </c>
      <c r="AA187" s="23">
        <f>EXP(-LN(2)/25)*AA186+(1-EXP(-LN(2)/25))/(LN(2)/25)*Calculateur!V187*Calculateur!X187*VLOOKUP('Données projet'!$B$9,Paramètres!$A$1:$I$89,3,0)*0.475*44/12</f>
        <v>2.5964829112553356</v>
      </c>
      <c r="AB187" s="23">
        <f>EXP(-LN(2)/2)*AB186+(1-EXP(-LN(2)/2))/(LN(2)/2)*V187*Y187*VLOOKUP('Données projet'!$B$9,Paramètres!$A$1:$I$89,3,0)*0.475*44/12</f>
        <v>3.8500184807095203E-18</v>
      </c>
      <c r="AC187" s="24">
        <f t="shared" si="163"/>
        <v>13.981714815722302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-1.064108801074326E-13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212.75825875635837</v>
      </c>
      <c r="T188" s="62">
        <f t="shared" si="142"/>
        <v>166.61377928936963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11.161974451126138</v>
      </c>
      <c r="AA188" s="23">
        <f>EXP(-LN(2)/25)*AA187+(1-EXP(-LN(2)/25))/(LN(2)/25)*Calculateur!V188*Calculateur!X188*VLOOKUP('Données projet'!$B$9,Paramètres!$A$1:$I$89,3,0)*0.475*44/12</f>
        <v>2.5254819495039564</v>
      </c>
      <c r="AB188" s="23">
        <f>EXP(-LN(2)/2)*AB187+(1-EXP(-LN(2)/2))/(LN(2)/2)*V188*Y188*VLOOKUP('Données projet'!$B$9,Paramètres!$A$1:$I$89,3,0)*0.475*44/12</f>
        <v>2.722374175403231E-18</v>
      </c>
      <c r="AC188" s="24">
        <f t="shared" si="163"/>
        <v>13.687456400630094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-1.064108801074326E-13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212.75825875635837</v>
      </c>
      <c r="T189" s="62">
        <f t="shared" si="142"/>
        <v>166.61377928936963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10.943094940271722</v>
      </c>
      <c r="AA189" s="23">
        <f>EXP(-LN(2)/25)*AA188+(1-EXP(-LN(2)/25))/(LN(2)/25)*Calculateur!V189*Calculateur!X189*VLOOKUP('Données projet'!$B$9,Paramètres!$A$1:$I$89,3,0)*0.475*44/12</f>
        <v>2.4564225127854469</v>
      </c>
      <c r="AB189" s="23">
        <f>EXP(-LN(2)/2)*AB188+(1-EXP(-LN(2)/2))/(LN(2)/2)*V189*Y189*VLOOKUP('Données projet'!$B$9,Paramètres!$A$1:$I$89,3,0)*0.475*44/12</f>
        <v>1.9250092403547601E-18</v>
      </c>
      <c r="AC189" s="24">
        <f t="shared" si="163"/>
        <v>13.399517453057168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-1.064108801074326E-13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212.75825875635837</v>
      </c>
      <c r="T190" s="62">
        <f t="shared" si="142"/>
        <v>166.61377928936963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10.728507523121843</v>
      </c>
      <c r="AA190" s="23">
        <f>EXP(-LN(2)/25)*AA189+(1-EXP(-LN(2)/25))/(LN(2)/25)*Calculateur!V190*Calculateur!X190*VLOOKUP('Données projet'!$B$9,Paramètres!$A$1:$I$89,3,0)*0.475*44/12</f>
        <v>2.3892515099956833</v>
      </c>
      <c r="AB190" s="23">
        <f>EXP(-LN(2)/2)*AB189+(1-EXP(-LN(2)/2))/(LN(2)/2)*V190*Y190*VLOOKUP('Données projet'!$B$9,Paramètres!$A$1:$I$89,3,0)*0.475*44/12</f>
        <v>1.3611870877016155E-18</v>
      </c>
      <c r="AC190" s="24">
        <f t="shared" si="163"/>
        <v>13.117759033117526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-1.064108801074326E-13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212.75825875635837</v>
      </c>
      <c r="T191" s="62">
        <f t="shared" si="142"/>
        <v>166.61377928936963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10.518128034336872</v>
      </c>
      <c r="AA191" s="23">
        <f>EXP(-LN(2)/25)*AA190+(1-EXP(-LN(2)/25))/(LN(2)/25)*Calculateur!V191*Calculateur!X191*VLOOKUP('Données projet'!$B$9,Paramètres!$A$1:$I$89,3,0)*0.475*44/12</f>
        <v>2.3239173018095749</v>
      </c>
      <c r="AB191" s="23">
        <f>EXP(-LN(2)/2)*AB190+(1-EXP(-LN(2)/2))/(LN(2)/2)*V191*Y191*VLOOKUP('Données projet'!$B$9,Paramètres!$A$1:$I$89,3,0)*0.475*44/12</f>
        <v>9.6250462017738007E-19</v>
      </c>
      <c r="AC191" s="24">
        <f t="shared" si="163"/>
        <v>12.842045336146446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-1.064108801074326E-13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212.75825875635837</v>
      </c>
      <c r="T192" s="62">
        <f t="shared" si="142"/>
        <v>166.61377928936963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10.311873959008157</v>
      </c>
      <c r="AA192" s="23">
        <f>EXP(-LN(2)/25)*AA191+(1-EXP(-LN(2)/25))/(LN(2)/25)*Calculateur!V192*Calculateur!X192*VLOOKUP('Données projet'!$B$9,Paramètres!$A$1:$I$89,3,0)*0.475*44/12</f>
        <v>2.2603696609820925</v>
      </c>
      <c r="AB192" s="23">
        <f>EXP(-LN(2)/2)*AB191+(1-EXP(-LN(2)/2))/(LN(2)/2)*V192*Y192*VLOOKUP('Données projet'!$B$9,Paramètres!$A$1:$I$89,3,0)*0.475*44/12</f>
        <v>6.8059354385080774E-19</v>
      </c>
      <c r="AC192" s="24">
        <f t="shared" si="163"/>
        <v>12.57224361999025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-1.064108801074326E-13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212.75825875635837</v>
      </c>
      <c r="T193" s="62">
        <f t="shared" si="142"/>
        <v>166.61377928936963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10.109664400294074</v>
      </c>
      <c r="AA193" s="23">
        <f>EXP(-LN(2)/25)*AA192+(1-EXP(-LN(2)/25))/(LN(2)/25)*Calculateur!V193*Calculateur!X193*VLOOKUP('Données projet'!$B$9,Paramètres!$A$1:$I$89,3,0)*0.475*44/12</f>
        <v>2.198559733734863</v>
      </c>
      <c r="AB193" s="23">
        <f>EXP(-LN(2)/2)*AB192+(1-EXP(-LN(2)/2))/(LN(2)/2)*V193*Y193*VLOOKUP('Données projet'!$B$9,Paramètres!$A$1:$I$89,3,0)*0.475*44/12</f>
        <v>4.8125231008869003E-19</v>
      </c>
      <c r="AC193" s="24">
        <f t="shared" si="163"/>
        <v>12.308224134028936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-1.064108801074326E-13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212.75825875635837</v>
      </c>
      <c r="T194" s="62">
        <f t="shared" si="142"/>
        <v>166.61377928936963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9.9114200476907204</v>
      </c>
      <c r="AA194" s="23">
        <f>EXP(-LN(2)/25)*AA193+(1-EXP(-LN(2)/25))/(LN(2)/25)*Calculateur!V194*Calculateur!X194*VLOOKUP('Données projet'!$B$9,Paramètres!$A$1:$I$89,3,0)*0.475*44/12</f>
        <v>2.1384400021986516</v>
      </c>
      <c r="AB194" s="23">
        <f>EXP(-LN(2)/2)*AB193+(1-EXP(-LN(2)/2))/(LN(2)/2)*V194*Y194*VLOOKUP('Données projet'!$B$9,Paramètres!$A$1:$I$89,3,0)*0.475*44/12</f>
        <v>3.4029677192540387E-19</v>
      </c>
      <c r="AC194" s="24">
        <f t="shared" si="163"/>
        <v>12.049860049889372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-1.064108801074326E-13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212.75825875635837</v>
      </c>
      <c r="T195" s="62">
        <f t="shared" si="142"/>
        <v>166.61377928936963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9.7170631459248042</v>
      </c>
      <c r="AA195" s="23">
        <f>EXP(-LN(2)/25)*AA194+(1-EXP(-LN(2)/25))/(LN(2)/25)*Calculateur!V195*Calculateur!X195*VLOOKUP('Données projet'!$B$9,Paramètres!$A$1:$I$89,3,0)*0.475*44/12</f>
        <v>2.0799642478828573</v>
      </c>
      <c r="AB195" s="23">
        <f>EXP(-LN(2)/2)*AB194+(1-EXP(-LN(2)/2))/(LN(2)/2)*V195*Y195*VLOOKUP('Données projet'!$B$9,Paramètres!$A$1:$I$89,3,0)*0.475*44/12</f>
        <v>2.4062615504434502E-19</v>
      </c>
      <c r="AC195" s="24">
        <f t="shared" si="163"/>
        <v>11.797027393807662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-1.064108801074326E-13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212.75825875635837</v>
      </c>
      <c r="T196" s="62">
        <f t="shared" si="142"/>
        <v>166.61377928936963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9.5265174644565125</v>
      </c>
      <c r="AA196" s="23">
        <f>EXP(-LN(2)/25)*AA195+(1-EXP(-LN(2)/25))/(LN(2)/25)*Calculateur!V196*Calculateur!X196*VLOOKUP('Données projet'!$B$9,Paramètres!$A$1:$I$89,3,0)*0.475*44/12</f>
        <v>2.0230875161439346</v>
      </c>
      <c r="AB196" s="23">
        <f>EXP(-LN(2)/2)*AB195+(1-EXP(-LN(2)/2))/(LN(2)/2)*V196*Y196*VLOOKUP('Données projet'!$B$9,Paramètres!$A$1:$I$89,3,0)*0.475*44/12</f>
        <v>1.7014838596270194E-19</v>
      </c>
      <c r="AC196" s="24">
        <f t="shared" si="163"/>
        <v>11.549604980600447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-1.064108801074326E-13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212.75825875635837</v>
      </c>
      <c r="T197" s="62">
        <f t="shared" ref="T197:T203" si="204">$T$3</f>
        <v>166.61377928936963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9.3397082675804235</v>
      </c>
      <c r="AA197" s="23">
        <f>EXP(-LN(2)/25)*AA196+(1-EXP(-LN(2)/25))/(LN(2)/25)*Calculateur!V197*Calculateur!X197*VLOOKUP('Données projet'!$B$9,Paramètres!$A$1:$I$89,3,0)*0.475*44/12</f>
        <v>1.9677660816254301</v>
      </c>
      <c r="AB197" s="23">
        <f>EXP(-LN(2)/2)*AB196+(1-EXP(-LN(2)/2))/(LN(2)/2)*V197*Y197*VLOOKUP('Données projet'!$B$9,Paramètres!$A$1:$I$89,3,0)*0.475*44/12</f>
        <v>1.2031307752217251E-19</v>
      </c>
      <c r="AC197" s="24">
        <f t="shared" si="163"/>
        <v>11.307474349205854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-1.064108801074326E-13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212.75825875635837</v>
      </c>
      <c r="T198" s="62">
        <f t="shared" si="204"/>
        <v>166.61377928936963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9.1565622851127166</v>
      </c>
      <c r="AA198" s="23">
        <f>EXP(-LN(2)/25)*AA197+(1-EXP(-LN(2)/25))/(LN(2)/25)*Calculateur!V198*Calculateur!X198*VLOOKUP('Données projet'!$B$9,Paramètres!$A$1:$I$89,3,0)*0.475*44/12</f>
        <v>1.9139574146430618</v>
      </c>
      <c r="AB198" s="23">
        <f>EXP(-LN(2)/2)*AB197+(1-EXP(-LN(2)/2))/(LN(2)/2)*V198*Y198*VLOOKUP('Données projet'!$B$9,Paramètres!$A$1:$I$89,3,0)*0.475*44/12</f>
        <v>8.5074192981350968E-20</v>
      </c>
      <c r="AC198" s="24">
        <f t="shared" si="163"/>
        <v>11.070519699755778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-1.064108801074326E-13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212.75825875635837</v>
      </c>
      <c r="T199" s="62">
        <f t="shared" si="204"/>
        <v>166.61377928936963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8.9770076836531825</v>
      </c>
      <c r="AA199" s="23">
        <f>EXP(-LN(2)/25)*AA198+(1-EXP(-LN(2)/25))/(LN(2)/25)*Calculateur!V199*Calculateur!X199*VLOOKUP('Données projet'!$B$9,Paramètres!$A$1:$I$89,3,0)*0.475*44/12</f>
        <v>1.8616201484890011</v>
      </c>
      <c r="AB199" s="23">
        <f>EXP(-LN(2)/2)*AB198+(1-EXP(-LN(2)/2))/(LN(2)/2)*V199*Y199*VLOOKUP('Données projet'!$B$9,Paramètres!$A$1:$I$89,3,0)*0.475*44/12</f>
        <v>6.0156538761086254E-20</v>
      </c>
      <c r="AC199" s="24">
        <f t="shared" si="163"/>
        <v>10.838627832142183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-1.064108801074326E-13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212.75825875635837</v>
      </c>
      <c r="T200" s="62">
        <f t="shared" si="204"/>
        <v>166.61377928936963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8.8009740384107769</v>
      </c>
      <c r="AA200" s="23">
        <f>EXP(-LN(2)/25)*AA199+(1-EXP(-LN(2)/25))/(LN(2)/25)*Calculateur!V200*Calculateur!X200*VLOOKUP('Données projet'!$B$9,Paramètres!$A$1:$I$89,3,0)*0.475*44/12</f>
        <v>1.8107140476302206</v>
      </c>
      <c r="AB200" s="23">
        <f>EXP(-LN(2)/2)*AB199+(1-EXP(-LN(2)/2))/(LN(2)/2)*V200*Y200*VLOOKUP('Données projet'!$B$9,Paramètres!$A$1:$I$89,3,0)*0.475*44/12</f>
        <v>4.2537096490675484E-20</v>
      </c>
      <c r="AC200" s="24">
        <f t="shared" si="163"/>
        <v>10.611688086040997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-1.064108801074326E-13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212.75825875635837</v>
      </c>
      <c r="T201" s="62">
        <f t="shared" si="204"/>
        <v>166.61377928936963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8.6283923055816523</v>
      </c>
      <c r="AA201" s="23">
        <f>EXP(-LN(2)/25)*AA200+(1-EXP(-LN(2)/25))/(LN(2)/25)*Calculateur!V201*Calculateur!X201*VLOOKUP('Données projet'!$B$9,Paramètres!$A$1:$I$89,3,0)*0.475*44/12</f>
        <v>1.7611999767764588</v>
      </c>
      <c r="AB201" s="23">
        <f>EXP(-LN(2)/2)*AB200+(1-EXP(-LN(2)/2))/(LN(2)/2)*V201*Y201*VLOOKUP('Données projet'!$B$9,Paramètres!$A$1:$I$89,3,0)*0.475*44/12</f>
        <v>3.0078269380543127E-20</v>
      </c>
      <c r="AC201" s="24">
        <f t="shared" si="163"/>
        <v>10.389592282358111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-1.064108801074326E-13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212.75825875635837</v>
      </c>
      <c r="T202" s="62">
        <f t="shared" si="204"/>
        <v>166.61377928936963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8.4591947952688447</v>
      </c>
      <c r="AA202" s="23">
        <f>EXP(-LN(2)/25)*AA201+(1-EXP(-LN(2)/25))/(LN(2)/25)*Calculateur!V202*Calculateur!X202*VLOOKUP('Données projet'!$B$9,Paramètres!$A$1:$I$89,3,0)*0.475*44/12</f>
        <v>1.7130398707940251</v>
      </c>
      <c r="AB202" s="23">
        <f>EXP(-LN(2)/2)*AB201+(1-EXP(-LN(2)/2))/(LN(2)/2)*V202*Y202*VLOOKUP('Données projet'!$B$9,Paramètres!$A$1:$I$89,3,0)*0.475*44/12</f>
        <v>2.1268548245337742E-20</v>
      </c>
      <c r="AC202" s="24">
        <f t="shared" si="163"/>
        <v>10.17223466606287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-1.064108801074326E-13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212.75825875635837</v>
      </c>
      <c r="T203" s="62">
        <f t="shared" si="204"/>
        <v>166.61377928936963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8.2933151449329792</v>
      </c>
      <c r="AA203" s="23">
        <f>EXP(-LN(2)/25)*AA202+(1-EXP(-LN(2)/25))/(LN(2)/25)*Calculateur!V203*Calculateur!X203*VLOOKUP('Données projet'!$B$9,Paramètres!$A$1:$I$89,3,0)*0.475*44/12</f>
        <v>1.6661967054423108</v>
      </c>
      <c r="AB203" s="23">
        <f>EXP(-LN(2)/2)*AB202+(1-EXP(-LN(2)/2))/(LN(2)/2)*V203*Y203*VLOOKUP('Données projet'!$B$9,Paramètres!$A$1:$I$89,3,0)*0.475*44/12</f>
        <v>1.5039134690271564E-20</v>
      </c>
      <c r="AC203" s="24">
        <f t="shared" si="163"/>
        <v>9.9595118503752893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1.2235261841298362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30" sqref="N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Epicéa de Sitka</v>
      </c>
      <c r="B6" s="155">
        <f>'Données projet'!D9</f>
        <v>6.1849999999999996</v>
      </c>
      <c r="C6" s="156">
        <f ca="1">IF(OR('Données projet'!B9="",'Données projet'!C9="",'Données projet'!C9=0%),0,Calculateur!S3)</f>
        <v>212.75825875635837</v>
      </c>
      <c r="D6" s="156">
        <f>IF(OR('Données projet'!B9="",'Données projet'!C9="",'Données projet'!C9=0%),0,Calculateur!T3)</f>
        <v>166.61377928936963</v>
      </c>
      <c r="E6" s="156">
        <f ca="1">MIN(C6,D6)</f>
        <v>166.61377928936963</v>
      </c>
      <c r="F6" s="156">
        <f ca="1">E6*B6</f>
        <v>1030.5062249047512</v>
      </c>
      <c r="G6" s="156">
        <f ca="1">F6*(100%-'Données projet'!$C$24)*(100%-'Données projet'!$C$25)*(100%-'Données projet'!$C$26)*(100%-'Données projet'!$C$27)</f>
        <v>881.08282229356223</v>
      </c>
      <c r="H6" s="157">
        <f>IF(OR('Données projet'!B9="",'Données projet'!C9="",'Données projet'!C9=0%),0,AVERAGE(Calculateur!$AC$3:$AC$33)*B6)</f>
        <v>26.469151045815273</v>
      </c>
      <c r="I6" s="158">
        <f>H6*(100%-'Données projet'!$C$24)*(100%-'Données projet'!$C$25)*(100%-'Données projet'!$C$26)*(100%-'Données projet'!$C$27)</f>
        <v>22.631124144172059</v>
      </c>
      <c r="J6" s="159">
        <f>IF(OR('Données projet'!B9="",'Données projet'!C9="",'Données projet'!C9=0%),0,SUM(Calculateur!$V$3:$V$33)*VLOOKUP('Données projet'!$B$9,Paramètres!$A$1:$I$89,9,0)*B6)</f>
        <v>276.59319999999997</v>
      </c>
      <c r="K6" s="160">
        <f>J6*(100%-'Données projet'!$C$24)*(100%-'Données projet'!$C$25)*(100%-'Données projet'!$C$26)*(100%-'Données projet'!$C$27)</f>
        <v>236.48718599999998</v>
      </c>
      <c r="L6" s="161">
        <f ca="1">G6+I6+K6</f>
        <v>1140.2011324377343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1030.5062249047512</v>
      </c>
      <c r="G16" s="175">
        <f t="shared" ca="1" si="3"/>
        <v>881.08282229356223</v>
      </c>
      <c r="H16" s="176">
        <f t="shared" si="3"/>
        <v>26.469151045815273</v>
      </c>
      <c r="I16" s="176">
        <f t="shared" si="3"/>
        <v>22.631124144172059</v>
      </c>
      <c r="J16" s="177">
        <f t="shared" si="3"/>
        <v>276.59319999999997</v>
      </c>
      <c r="K16" s="177">
        <f t="shared" si="3"/>
        <v>236.48718599999998</v>
      </c>
      <c r="L16" s="178">
        <f t="shared" ca="1" si="3"/>
        <v>1140.2011324377343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Epicéa de Sitka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90" zoomScaleNormal="90" workbookViewId="0">
      <selection activeCell="O23" sqref="O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Epicéa de Sitka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4802.5067624120093</v>
      </c>
      <c r="U10" s="190">
        <f>'Données projet'!D9</f>
        <v>6.1849999999999996</v>
      </c>
      <c r="V10" s="189">
        <f>U10*T10</f>
        <v>29703.504325518275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Epicéa de Sitka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50.00000000000005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2250.0000000000023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6118.77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950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52</v>
      </c>
      <c r="C23" s="206">
        <v>15</v>
      </c>
      <c r="D23" s="194">
        <f>B23*C23</f>
        <v>780</v>
      </c>
      <c r="E23" s="206"/>
      <c r="F23" s="261"/>
      <c r="H23" s="203">
        <v>3</v>
      </c>
      <c r="I23" s="204">
        <v>950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-24293.315429467664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29</v>
      </c>
      <c r="B24" s="193">
        <f>'Données projet'!D37</f>
        <v>52</v>
      </c>
      <c r="C24" s="206">
        <v>15</v>
      </c>
      <c r="D24" s="194">
        <f t="shared" ref="D24:D42" si="2">B24*C24</f>
        <v>780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1540.6631663345081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34</v>
      </c>
      <c r="B25" s="193">
        <f>'Données projet'!D38</f>
        <v>65</v>
      </c>
      <c r="C25" s="206">
        <v>25</v>
      </c>
      <c r="D25" s="194">
        <f t="shared" si="2"/>
        <v>1625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-25833.978595802171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39</v>
      </c>
      <c r="B26" s="193">
        <f>'Données projet'!D39</f>
        <v>70</v>
      </c>
      <c r="C26" s="206">
        <v>25</v>
      </c>
      <c r="D26" s="194">
        <f t="shared" si="2"/>
        <v>1750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44</v>
      </c>
      <c r="B27" s="193">
        <f>'Données projet'!D40</f>
        <v>53</v>
      </c>
      <c r="C27" s="206">
        <v>25</v>
      </c>
      <c r="D27" s="194">
        <f t="shared" si="2"/>
        <v>1325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55</v>
      </c>
      <c r="C28" s="206">
        <v>50</v>
      </c>
      <c r="D28" s="194">
        <f t="shared" si="2"/>
        <v>2750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662</v>
      </c>
      <c r="C29" s="206">
        <v>56</v>
      </c>
      <c r="D29" s="194">
        <f t="shared" si="2"/>
        <v>37072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str">
        <f>IF(O89+1&lt;=MIN('Données projet'!$E$9:$E$18),O89+1,"STOP")</f>
        <v>STOP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2023-02-03T08:01:55Z</dcterms:modified>
</cp:coreProperties>
</file>