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C+FOR\A.S.O\Tour de France 2022 femmes\68 - Rimbach-Près-Masevaux\Dossier labellisation\"/>
    </mc:Choice>
  </mc:AlternateContent>
  <bookViews>
    <workbookView xWindow="0" yWindow="0" windowWidth="20490" windowHeight="7155" tabRatio="866" activeTab="6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95" i="1" l="1"/>
  <c r="D94" i="1"/>
  <c r="B94" i="1"/>
  <c r="B93" i="1"/>
  <c r="D92" i="1"/>
  <c r="B92" i="1"/>
  <c r="B91" i="1"/>
  <c r="D90" i="1"/>
  <c r="B90" i="1"/>
  <c r="B89" i="1"/>
  <c r="B127" i="1" l="1"/>
  <c r="D127" i="1" s="1"/>
  <c r="B126" i="1"/>
  <c r="D125" i="1"/>
  <c r="B125" i="1"/>
  <c r="B124" i="1"/>
  <c r="D123" i="1"/>
  <c r="B123" i="1"/>
  <c r="B122" i="1"/>
  <c r="D121" i="1"/>
  <c r="B121" i="1"/>
  <c r="B120" i="1"/>
  <c r="D119" i="1"/>
  <c r="B119" i="1"/>
  <c r="B118" i="1"/>
  <c r="B117" i="1"/>
  <c r="D116" i="1"/>
  <c r="B116" i="1"/>
  <c r="B115" i="1"/>
  <c r="B114" i="1"/>
  <c r="B72" i="1"/>
  <c r="D72" i="1" s="1"/>
  <c r="B71" i="1"/>
  <c r="B70" i="1"/>
  <c r="B69" i="1"/>
  <c r="B68" i="1"/>
  <c r="B67" i="1"/>
  <c r="B66" i="1"/>
  <c r="B65" i="1"/>
  <c r="B64" i="1"/>
  <c r="D63" i="1"/>
  <c r="B63" i="1"/>
  <c r="B62" i="1"/>
  <c r="B43" i="1"/>
  <c r="B42" i="1"/>
  <c r="B41" i="1"/>
  <c r="B40" i="1"/>
  <c r="B39" i="1"/>
  <c r="B38" i="1"/>
  <c r="D37" i="1"/>
  <c r="B37" i="1"/>
  <c r="B36" i="1"/>
  <c r="D43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BQ4" i="2" s="1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HI4" i="2" l="1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HI5" i="2" l="1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V6" i="2" l="1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FS7" i="2" l="1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I10" i="2" l="1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I12" i="2" l="1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I14" i="2" l="1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I18" i="2" l="1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I20" i="2" l="1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B21" i="2" s="1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X21" i="2" l="1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B22" i="2" s="1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I22" i="2" l="1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C24" i="2" l="1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B28" i="2" s="1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X28" i="2" l="1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DG31" i="2" s="1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EC31" i="2" l="1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GM33" i="2" l="1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I37" i="2" l="1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V38" i="2" l="1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EA42" i="2" s="1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C42" i="2" l="1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DG43" i="2" s="1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FS43" i="2" l="1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I44" i="2" l="1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C45" i="2" l="1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FS46" i="2" l="1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FS47" i="2" l="1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FS48" i="2" l="1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W50" i="2" l="1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C53" i="2" l="1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EB57" i="2" s="1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C57" i="2" l="1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FS59" i="2" l="1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FS60" i="2" l="1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HI61" i="2" l="1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B62" i="2" s="1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C62" i="2" l="1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I63" i="2" l="1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I64" i="2" l="1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 l="1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EW70" i="2" s="1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C70" i="2" l="1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I71" i="2" l="1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C74" i="2" l="1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X75" i="2" l="1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 l="1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AU78" i="2" l="1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 l="1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FS85" i="2" l="1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FS86" i="2" l="1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I87" i="2" l="1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HI92" i="2" l="1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S95" i="2" l="1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C98" i="2" l="1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X99" i="2" l="1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I104" i="2" l="1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X105" i="2" l="1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I107" i="2" l="1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X108" i="2" l="1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HI109" i="2" l="1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S112" i="2" l="1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AW113" i="2" l="1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I116" i="2" l="1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X117" i="2" l="1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I118" i="2" l="1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C120" i="2" l="1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AW121" i="2" l="1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AU122" i="2" l="1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C124" i="2" l="1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I126" i="2" l="1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C127" i="2" l="1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I128" i="2" l="1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A130" i="2" l="1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I132" i="2" l="1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I133" i="2" l="1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C134" i="2" l="1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HI135" i="2" l="1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HI138" i="2" l="1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X139" i="2" l="1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I140" i="2" l="1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X141" i="2" l="1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FS142" i="2" l="1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C143" i="2" l="1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I144" i="2" l="1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I145" i="2" l="1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X146" i="2" l="1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FS149" i="2" l="1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X150" i="2" l="1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HI151" i="2" l="1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HI153" i="2" l="1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EV156" i="2" l="1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FS159" i="2" l="1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X160" i="2" l="1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AW161" i="2" l="1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FS162" i="2" l="1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FS163" i="2" l="1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C164" i="2" l="1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S167" i="2" l="1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FS168" i="2" l="1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I169" i="2" l="1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 l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X175" i="2" l="1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I178" i="2" l="1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FS179" i="2" l="1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C180" i="2" l="1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X183" i="2" l="1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AU185" i="2" l="1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X186" i="2" l="1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I187" i="2" l="1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I190" i="2" l="1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AW192" i="2" l="1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S193" i="2" l="1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AU195" i="2" l="1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X197" i="2" l="1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I199" i="2" l="1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HI201" i="2" l="1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V202" i="2" l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BX107" i="2" l="1" a="1"/>
  <c r="BX107" i="2" s="1"/>
  <c r="AH151" i="2" a="1"/>
  <c r="AH151" i="2" s="1"/>
  <c r="AH62" i="2" a="1"/>
  <c r="AH62" i="2" s="1"/>
  <c r="AH199" i="2" a="1"/>
  <c r="AH199" i="2" s="1"/>
  <c r="AH166" i="2" a="1"/>
  <c r="AH166" i="2" s="1"/>
  <c r="AH19" i="2" a="1"/>
  <c r="AH19" i="2" s="1"/>
  <c r="AH90" i="2" a="1"/>
  <c r="AH90" i="2" s="1"/>
  <c r="AH92" i="2" a="1"/>
  <c r="AH92" i="2" s="1"/>
  <c r="AH163" i="2" a="1"/>
  <c r="AH163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47" i="2" l="1"/>
  <c r="BI149" i="2"/>
  <c r="BI30" i="2"/>
  <c r="BI142" i="2"/>
  <c r="BI158" i="2"/>
  <c r="BI151" i="2"/>
  <c r="BI79" i="2"/>
  <c r="BI121" i="2"/>
  <c r="BI38" i="2"/>
  <c r="BI80" i="2"/>
  <c r="BI173" i="2"/>
  <c r="BI169" i="2"/>
  <c r="BI102" i="2"/>
  <c r="BI42" i="2"/>
  <c r="BI52" i="2"/>
  <c r="BI186" i="2"/>
  <c r="BI123" i="2"/>
  <c r="BI156" i="2"/>
  <c r="BI33" i="2"/>
  <c r="BI202" i="2"/>
  <c r="BI24" i="2"/>
  <c r="BI105" i="2"/>
  <c r="BI194" i="2"/>
  <c r="BI69" i="2"/>
  <c r="BI197" i="2"/>
  <c r="BI64" i="2"/>
  <c r="BI88" i="2"/>
  <c r="BI120" i="2"/>
  <c r="BI108" i="2"/>
  <c r="BI16" i="2"/>
  <c r="BI168" i="2"/>
  <c r="BI74" i="2"/>
  <c r="BI162" i="2"/>
  <c r="BI10" i="2"/>
  <c r="BI35" i="2"/>
  <c r="BI61" i="2"/>
  <c r="BI131" i="2"/>
  <c r="BI22" i="2"/>
  <c r="BI138" i="2"/>
  <c r="BI59" i="2"/>
  <c r="BI45" i="2"/>
  <c r="BI51" i="2"/>
  <c r="BI129" i="2"/>
  <c r="BI50" i="2"/>
  <c r="BI31" i="2"/>
  <c r="BI60" i="2"/>
  <c r="BI130" i="2"/>
  <c r="BI154" i="2"/>
  <c r="BI26" i="2"/>
  <c r="BI188" i="2"/>
  <c r="BI122" i="2"/>
  <c r="BI87" i="2"/>
  <c r="BI20" i="2"/>
  <c r="BI57" i="2"/>
  <c r="BI176" i="2"/>
  <c r="BI44" i="2"/>
  <c r="BI183" i="2"/>
  <c r="BI175" i="2"/>
  <c r="BI54" i="2"/>
  <c r="BI98" i="2"/>
  <c r="BI110" i="2"/>
  <c r="BI181" i="2"/>
  <c r="BI15" i="2"/>
  <c r="BI37" i="2"/>
  <c r="BI40" i="2"/>
  <c r="BI172" i="2"/>
  <c r="BI157" i="2"/>
  <c r="BI178" i="2"/>
  <c r="BI192" i="2"/>
  <c r="BI174" i="2"/>
  <c r="BI187" i="2"/>
  <c r="BI23" i="2"/>
  <c r="BI155" i="2"/>
  <c r="BI119" i="2"/>
  <c r="BI77" i="2"/>
  <c r="BI179" i="2"/>
  <c r="BI165" i="2"/>
  <c r="BI153" i="2"/>
  <c r="BI43" i="2"/>
  <c r="BI12" i="2"/>
  <c r="BI73" i="2"/>
  <c r="BI180" i="2"/>
  <c r="BI49" i="2"/>
  <c r="BI93" i="2"/>
  <c r="BI63" i="2"/>
  <c r="BI116" i="2"/>
  <c r="BI184" i="2"/>
  <c r="BI125" i="2"/>
  <c r="BI19" i="2"/>
  <c r="BI118" i="2"/>
  <c r="BI203" i="2"/>
  <c r="BI8" i="2"/>
  <c r="BI111" i="2"/>
  <c r="BI137" i="2"/>
  <c r="BI148" i="2"/>
  <c r="BI97" i="2"/>
  <c r="BI78" i="2"/>
  <c r="BI66" i="2"/>
  <c r="BI48" i="2"/>
  <c r="BI86" i="2"/>
  <c r="BI17" i="2"/>
  <c r="BI200" i="2"/>
  <c r="BI91" i="2"/>
  <c r="BI36" i="2"/>
  <c r="BI139" i="2"/>
  <c r="BI191" i="2"/>
  <c r="BI41" i="2"/>
  <c r="BI193" i="2"/>
  <c r="BI115" i="2"/>
  <c r="BI104" i="2"/>
  <c r="BI11" i="2"/>
  <c r="BI190" i="2"/>
  <c r="BI34" i="2"/>
  <c r="BI53" i="2"/>
  <c r="BI198" i="2"/>
  <c r="BI109" i="2"/>
  <c r="BI140" i="2"/>
  <c r="BI113" i="2"/>
  <c r="BI14" i="2"/>
  <c r="BI5" i="2"/>
  <c r="BI134" i="2"/>
  <c r="BI100" i="2"/>
  <c r="BI177" i="2"/>
  <c r="BI201" i="2"/>
  <c r="BI82" i="2"/>
  <c r="BI58" i="2"/>
  <c r="BI27" i="2"/>
  <c r="BI106" i="2"/>
  <c r="BI171" i="2"/>
  <c r="BI62" i="2"/>
  <c r="BI112" i="2"/>
  <c r="BI143" i="2"/>
  <c r="BI167" i="2"/>
  <c r="BI101" i="2"/>
  <c r="BI128" i="2"/>
  <c r="BI152" i="2"/>
  <c r="BI46" i="2"/>
  <c r="BI83" i="2"/>
  <c r="BI21" i="2"/>
  <c r="BI72" i="2"/>
  <c r="BI107" i="2"/>
  <c r="BI7" i="2"/>
  <c r="BI68" i="2"/>
  <c r="BI146" i="2"/>
  <c r="BI135" i="2"/>
  <c r="BI195" i="2"/>
  <c r="BI81" i="2"/>
  <c r="BI95" i="2"/>
  <c r="BI65" i="2"/>
  <c r="BI18" i="2"/>
  <c r="BI89" i="2"/>
  <c r="BI141" i="2"/>
  <c r="BI56" i="2"/>
  <c r="BI189" i="2"/>
  <c r="BI136" i="2"/>
  <c r="BI145" i="2"/>
  <c r="BI185" i="2"/>
  <c r="BI32" i="2"/>
  <c r="BI160" i="2"/>
  <c r="BI9" i="2"/>
  <c r="BI71" i="2"/>
  <c r="BI84" i="2"/>
  <c r="BI132" i="2"/>
  <c r="BI28" i="2"/>
  <c r="BI92" i="2"/>
  <c r="BI90" i="2"/>
  <c r="BI199" i="2"/>
  <c r="BI94" i="2"/>
  <c r="BI4" i="2"/>
  <c r="BI117" i="2"/>
  <c r="BI124" i="2"/>
  <c r="BI144" i="2"/>
  <c r="BI103" i="2"/>
  <c r="BI29" i="2"/>
  <c r="BI99" i="2"/>
  <c r="BI3" i="2"/>
  <c r="C8" i="4" s="1"/>
  <c r="E8" i="4" s="1"/>
  <c r="F8" i="4" s="1"/>
  <c r="G8" i="4" s="1"/>
  <c r="L8" i="4" s="1"/>
  <c r="BI75" i="2"/>
  <c r="BI182" i="2"/>
  <c r="BI126" i="2"/>
  <c r="BI164" i="2"/>
  <c r="BI196" i="2"/>
  <c r="BI163" i="2"/>
  <c r="BI39" i="2"/>
  <c r="BI70" i="2"/>
  <c r="BI13" i="2"/>
  <c r="BI147" i="2"/>
  <c r="BI76" i="2"/>
  <c r="BI127" i="2"/>
  <c r="BI96" i="2"/>
  <c r="BI6" i="2"/>
  <c r="BI159" i="2"/>
  <c r="BI114" i="2"/>
  <c r="BI166" i="2"/>
  <c r="BI85" i="2"/>
  <c r="BI170" i="2"/>
  <c r="BI150" i="2"/>
  <c r="BI133" i="2"/>
  <c r="BI25" i="2"/>
  <c r="BI161" i="2"/>
  <c r="BI67" i="2"/>
  <c r="BI55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<sst xmlns="http://schemas.openxmlformats.org/spreadsheetml/2006/main" count="1173" uniqueCount="324">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</sst>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1.7729111845982548</c:v>
                </c:pt>
                <c:pt idx="2">
                  <c:v>2.1151678278372312</c:v>
                </c:pt>
                <c:pt idx="3">
                  <c:v>2.5237467481232607</c:v>
                </c:pt>
                <c:pt idx="4">
                  <c:v>3.0115457623705972</c:v>
                </c:pt>
                <c:pt idx="5">
                  <c:v>3.593979342926795</c:v>
                </c:pt>
                <c:pt idx="6">
                  <c:v>4.2894712021729635</c:v>
                </c:pt>
                <c:pt idx="7">
                  <c:v>5.1200435679930258</c:v>
                </c:pt>
                <c:pt idx="8">
                  <c:v>6.1120221800245114</c:v>
                </c:pt>
                <c:pt idx="9">
                  <c:v>7.2968797909689798</c:v>
                </c:pt>
                <c:pt idx="10">
                  <c:v>8.712245453924151</c:v>
                </c:pt>
                <c:pt idx="11">
                  <c:v>10.403112262766973</c:v>
                </c:pt>
                <c:pt idx="12">
                  <c:v>12.423282664319792</c:v>
                </c:pt>
                <c:pt idx="13">
                  <c:v>14.837098189613906</c:v>
                </c:pt>
                <c:pt idx="14">
                  <c:v>17.721509710216786</c:v>
                </c:pt>
                <c:pt idx="15">
                  <c:v>21.168555417793829</c:v>
                </c:pt>
                <c:pt idx="16">
                  <c:v>25.288327014609248</c:v>
                </c:pt>
                <c:pt idx="17">
                  <c:v>30.212520525604287</c:v>
                </c:pt>
                <c:pt idx="18">
                  <c:v>36.098687221774846</c:v>
                </c:pt>
                <c:pt idx="19">
                  <c:v>43.135323006491404</c:v>
                </c:pt>
                <c:pt idx="20">
                  <c:v>51.547962012479537</c:v>
                </c:pt>
                <c:pt idx="21">
                  <c:v>61.606472988176044</c:v>
                </c:pt>
                <c:pt idx="22">
                  <c:v>73.633796398083533</c:v>
                </c:pt>
                <c:pt idx="23">
                  <c:v>88.016407317478823</c:v>
                </c:pt>
                <c:pt idx="24">
                  <c:v>105.21684572006173</c:v>
                </c:pt>
                <c:pt idx="25">
                  <c:v>125.78872349965967</c:v>
                </c:pt>
                <c:pt idx="26">
                  <c:v>139.27304775078611</c:v>
                </c:pt>
                <c:pt idx="27">
                  <c:v>152.72601307009879</c:v>
                </c:pt>
                <c:pt idx="28">
                  <c:v>166.15077323363923</c:v>
                </c:pt>
                <c:pt idx="29">
                  <c:v>179.54992983328893</c:v>
                </c:pt>
                <c:pt idx="30">
                  <c:v>192.92566388110376</c:v>
                </c:pt>
                <c:pt idx="31">
                  <c:v>162.92131701791286</c:v>
                </c:pt>
                <c:pt idx="32">
                  <c:v>176.32642399290864</c:v>
                </c:pt>
                <c:pt idx="33">
                  <c:v>189.70761630775561</c:v>
                </c:pt>
                <c:pt idx="34">
                  <c:v>203.06681934037002</c:v>
                </c:pt>
                <c:pt idx="35">
                  <c:v>216.40568417713146</c:v>
                </c:pt>
                <c:pt idx="36">
                  <c:v>197.62672417984081</c:v>
                </c:pt>
                <c:pt idx="37">
                  <c:v>213.44317328361072</c:v>
                </c:pt>
                <c:pt idx="38">
                  <c:v>229.23263189102838</c:v>
                </c:pt>
                <c:pt idx="39">
                  <c:v>244.9972211354694</c:v>
                </c:pt>
                <c:pt idx="40">
                  <c:v>260.73876672061476</c:v>
                </c:pt>
                <c:pt idx="41">
                  <c:v>229.47913975307128</c:v>
                </c:pt>
                <c:pt idx="42">
                  <c:v>243.76646443655667</c:v>
                </c:pt>
                <c:pt idx="43">
                  <c:v>258.03475699944221</c:v>
                </c:pt>
                <c:pt idx="44">
                  <c:v>272.28521827223369</c:v>
                </c:pt>
                <c:pt idx="45">
                  <c:v>286.51891307475523</c:v>
                </c:pt>
                <c:pt idx="46">
                  <c:v>300.73679175655644</c:v>
                </c:pt>
                <c:pt idx="47">
                  <c:v>314.93970744758712</c:v>
                </c:pt>
                <c:pt idx="48">
                  <c:v>329.12843003230142</c:v>
                </c:pt>
                <c:pt idx="49">
                  <c:v>343.30365758683416</c:v>
                </c:pt>
                <c:pt idx="50">
                  <c:v>357.46602582767582</c:v>
                </c:pt>
                <c:pt idx="51">
                  <c:v>291.17819254141574</c:v>
                </c:pt>
                <c:pt idx="52">
                  <c:v>304.41136175574115</c:v>
                </c:pt>
                <c:pt idx="53">
                  <c:v>317.63174051702947</c:v>
                </c:pt>
                <c:pt idx="54">
                  <c:v>330.83993628075677</c:v>
                </c:pt>
                <c:pt idx="55">
                  <c:v>344.03650402875388</c:v>
                </c:pt>
                <c:pt idx="56">
                  <c:v>357.22195268358126</c:v>
                </c:pt>
                <c:pt idx="57">
                  <c:v>370.39675052607777</c:v>
                </c:pt>
                <c:pt idx="58">
                  <c:v>383.56132980166308</c:v>
                </c:pt>
                <c:pt idx="59">
                  <c:v>396.71609066110955</c:v>
                </c:pt>
                <c:pt idx="60">
                  <c:v>409.86140455127207</c:v>
                </c:pt>
                <c:pt idx="61">
                  <c:v>348.31076049861184</c:v>
                </c:pt>
                <c:pt idx="62">
                  <c:v>359.90655706035341</c:v>
                </c:pt>
                <c:pt idx="63">
                  <c:v>371.4941833703781</c:v>
                </c:pt>
                <c:pt idx="64">
                  <c:v>383.07393025577704</c:v>
                </c:pt>
                <c:pt idx="65">
                  <c:v>394.64606952207805</c:v>
                </c:pt>
                <c:pt idx="66">
                  <c:v>406.21085573052602</c:v>
                </c:pt>
                <c:pt idx="67">
                  <c:v>417.76852776237496</c:v>
                </c:pt>
                <c:pt idx="68">
                  <c:v>429.31931020102053</c:v>
                </c:pt>
                <c:pt idx="69">
                  <c:v>440.86341455761885</c:v>
                </c:pt>
                <c:pt idx="70">
                  <c:v>452.40104036163115</c:v>
                </c:pt>
                <c:pt idx="71">
                  <c:v>399.27285265946421</c:v>
                </c:pt>
                <c:pt idx="72">
                  <c:v>409.37470543171133</c:v>
                </c:pt>
                <c:pt idx="73">
                  <c:v>419.47117595214655</c:v>
                </c:pt>
                <c:pt idx="74">
                  <c:v>429.56241207278009</c:v>
                </c:pt>
                <c:pt idx="75">
                  <c:v>439.64855413024543</c:v>
                </c:pt>
                <c:pt idx="76">
                  <c:v>449.72973549516286</c:v>
                </c:pt>
                <c:pt idx="77">
                  <c:v>459.80608306967139</c:v>
                </c:pt>
                <c:pt idx="78">
                  <c:v>469.87771773907019</c:v>
                </c:pt>
                <c:pt idx="79">
                  <c:v>479.94475478271625</c:v>
                </c:pt>
                <c:pt idx="80">
                  <c:v>490.00730424865066</c:v>
                </c:pt>
                <c:pt idx="81">
                  <c:v>5.8078879393229322E-12</c:v>
                </c:pt>
                <c:pt idx="82">
                  <c:v>5.8078879393229322E-12</c:v>
                </c:pt>
                <c:pt idx="83">
                  <c:v>5.8078879393229322E-12</c:v>
                </c:pt>
                <c:pt idx="84">
                  <c:v>5.8078879393229322E-12</c:v>
                </c:pt>
                <c:pt idx="85">
                  <c:v>5.8078879393229322E-12</c:v>
                </c:pt>
                <c:pt idx="86">
                  <c:v>5.8078879393229322E-12</c:v>
                </c:pt>
                <c:pt idx="87">
                  <c:v>5.8078879393229322E-12</c:v>
                </c:pt>
                <c:pt idx="88">
                  <c:v>5.8078879393229322E-12</c:v>
                </c:pt>
                <c:pt idx="89">
                  <c:v>5.8078879393229322E-12</c:v>
                </c:pt>
                <c:pt idx="90">
                  <c:v>5.8078879393229322E-12</c:v>
                </c:pt>
                <c:pt idx="91">
                  <c:v>5.8078879393229322E-12</c:v>
                </c:pt>
                <c:pt idx="92">
                  <c:v>5.8078879393229322E-12</c:v>
                </c:pt>
                <c:pt idx="93">
                  <c:v>5.8078879393229322E-12</c:v>
                </c:pt>
                <c:pt idx="94">
                  <c:v>5.8078879393229322E-12</c:v>
                </c:pt>
                <c:pt idx="95">
                  <c:v>5.8078879393229322E-12</c:v>
                </c:pt>
                <c:pt idx="96">
                  <c:v>5.8078879393229322E-12</c:v>
                </c:pt>
                <c:pt idx="97">
                  <c:v>5.8078879393229322E-12</c:v>
                </c:pt>
                <c:pt idx="98">
                  <c:v>5.8078879393229322E-12</c:v>
                </c:pt>
                <c:pt idx="99">
                  <c:v>5.8078879393229322E-12</c:v>
                </c:pt>
                <c:pt idx="100">
                  <c:v>5.8078879393229322E-12</c:v>
                </c:pt>
                <c:pt idx="101">
                  <c:v>5.8078879393229322E-12</c:v>
                </c:pt>
                <c:pt idx="102">
                  <c:v>5.8078879393229322E-12</c:v>
                </c:pt>
                <c:pt idx="103">
                  <c:v>5.8078879393229322E-12</c:v>
                </c:pt>
                <c:pt idx="104">
                  <c:v>5.8078879393229322E-12</c:v>
                </c:pt>
                <c:pt idx="105">
                  <c:v>5.8078879393229322E-12</c:v>
                </c:pt>
                <c:pt idx="106">
                  <c:v>5.8078879393229322E-12</c:v>
                </c:pt>
                <c:pt idx="107">
                  <c:v>5.8078879393229322E-12</c:v>
                </c:pt>
                <c:pt idx="108">
                  <c:v>5.8078879393229322E-12</c:v>
                </c:pt>
                <c:pt idx="109">
                  <c:v>5.8078879393229322E-12</c:v>
                </c:pt>
                <c:pt idx="110">
                  <c:v>5.8078879393229322E-12</c:v>
                </c:pt>
                <c:pt idx="111">
                  <c:v>5.8078879393229322E-12</c:v>
                </c:pt>
                <c:pt idx="112">
                  <c:v>5.8078879393229322E-12</c:v>
                </c:pt>
                <c:pt idx="113">
                  <c:v>5.8078879393229322E-12</c:v>
                </c:pt>
                <c:pt idx="114">
                  <c:v>5.8078879393229322E-12</c:v>
                </c:pt>
                <c:pt idx="115">
                  <c:v>5.8078879393229322E-12</c:v>
                </c:pt>
                <c:pt idx="116">
                  <c:v>5.8078879393229322E-12</c:v>
                </c:pt>
                <c:pt idx="117">
                  <c:v>5.8078879393229322E-12</c:v>
                </c:pt>
                <c:pt idx="118">
                  <c:v>5.8078879393229322E-12</c:v>
                </c:pt>
                <c:pt idx="119">
                  <c:v>5.8078879393229322E-12</c:v>
                </c:pt>
                <c:pt idx="120">
                  <c:v>5.8078879393229322E-12</c:v>
                </c:pt>
                <c:pt idx="121">
                  <c:v>5.8078879393229322E-12</c:v>
                </c:pt>
                <c:pt idx="122">
                  <c:v>5.8078879393229322E-12</c:v>
                </c:pt>
                <c:pt idx="123">
                  <c:v>5.8078879393229322E-12</c:v>
                </c:pt>
                <c:pt idx="124">
                  <c:v>5.8078879393229322E-12</c:v>
                </c:pt>
                <c:pt idx="125">
                  <c:v>5.8078879393229322E-12</c:v>
                </c:pt>
                <c:pt idx="126">
                  <c:v>5.8078879393229322E-12</c:v>
                </c:pt>
                <c:pt idx="127">
                  <c:v>5.8078879393229322E-12</c:v>
                </c:pt>
                <c:pt idx="128">
                  <c:v>5.8078879393229322E-12</c:v>
                </c:pt>
                <c:pt idx="129">
                  <c:v>5.8078879393229322E-12</c:v>
                </c:pt>
                <c:pt idx="130">
                  <c:v>5.8078879393229322E-12</c:v>
                </c:pt>
                <c:pt idx="131">
                  <c:v>5.8078879393229322E-12</c:v>
                </c:pt>
                <c:pt idx="132">
                  <c:v>5.8078879393229322E-12</c:v>
                </c:pt>
                <c:pt idx="133">
                  <c:v>5.8078879393229322E-12</c:v>
                </c:pt>
                <c:pt idx="134">
                  <c:v>5.8078879393229322E-12</c:v>
                </c:pt>
                <c:pt idx="135">
                  <c:v>5.8078879393229322E-12</c:v>
                </c:pt>
                <c:pt idx="136">
                  <c:v>5.8078879393229322E-12</c:v>
                </c:pt>
                <c:pt idx="137">
                  <c:v>5.8078879393229322E-12</c:v>
                </c:pt>
                <c:pt idx="138">
                  <c:v>5.8078879393229322E-12</c:v>
                </c:pt>
                <c:pt idx="139">
                  <c:v>5.8078879393229322E-12</c:v>
                </c:pt>
                <c:pt idx="140">
                  <c:v>5.8078879393229322E-12</c:v>
                </c:pt>
                <c:pt idx="141">
                  <c:v>5.8078879393229322E-12</c:v>
                </c:pt>
                <c:pt idx="142">
                  <c:v>5.8078879393229322E-12</c:v>
                </c:pt>
                <c:pt idx="143">
                  <c:v>5.8078879393229322E-12</c:v>
                </c:pt>
                <c:pt idx="144">
                  <c:v>5.8078879393229322E-12</c:v>
                </c:pt>
                <c:pt idx="145">
                  <c:v>5.8078879393229322E-12</c:v>
                </c:pt>
                <c:pt idx="146">
                  <c:v>5.8078879393229322E-12</c:v>
                </c:pt>
                <c:pt idx="147">
                  <c:v>5.8078879393229322E-12</c:v>
                </c:pt>
                <c:pt idx="148">
                  <c:v>5.8078879393229322E-12</c:v>
                </c:pt>
                <c:pt idx="149">
                  <c:v>5.8078879393229322E-12</c:v>
                </c:pt>
                <c:pt idx="150">
                  <c:v>5.8078879393229322E-12</c:v>
                </c:pt>
                <c:pt idx="151">
                  <c:v>5.8078879393229322E-12</c:v>
                </c:pt>
                <c:pt idx="152">
                  <c:v>5.8078879393229322E-12</c:v>
                </c:pt>
                <c:pt idx="153">
                  <c:v>5.8078879393229322E-12</c:v>
                </c:pt>
                <c:pt idx="154">
                  <c:v>5.8078879393229322E-12</c:v>
                </c:pt>
                <c:pt idx="155">
                  <c:v>5.8078879393229322E-12</c:v>
                </c:pt>
                <c:pt idx="156">
                  <c:v>5.8078879393229322E-12</c:v>
                </c:pt>
                <c:pt idx="157">
                  <c:v>5.8078879393229322E-12</c:v>
                </c:pt>
                <c:pt idx="158">
                  <c:v>5.8078879393229322E-12</c:v>
                </c:pt>
                <c:pt idx="159">
                  <c:v>5.8078879393229322E-12</c:v>
                </c:pt>
                <c:pt idx="160">
                  <c:v>5.8078879393229322E-12</c:v>
                </c:pt>
                <c:pt idx="161">
                  <c:v>5.8078879393229322E-12</c:v>
                </c:pt>
                <c:pt idx="162">
                  <c:v>5.8078879393229322E-12</c:v>
                </c:pt>
                <c:pt idx="163">
                  <c:v>5.8078879393229322E-12</c:v>
                </c:pt>
                <c:pt idx="164">
                  <c:v>5.8078879393229322E-12</c:v>
                </c:pt>
                <c:pt idx="165">
                  <c:v>5.8078879393229322E-12</c:v>
                </c:pt>
                <c:pt idx="166">
                  <c:v>5.8078879393229322E-12</c:v>
                </c:pt>
                <c:pt idx="167">
                  <c:v>5.8078879393229322E-12</c:v>
                </c:pt>
                <c:pt idx="168">
                  <c:v>5.8078879393229322E-12</c:v>
                </c:pt>
                <c:pt idx="169">
                  <c:v>5.8078879393229322E-12</c:v>
                </c:pt>
                <c:pt idx="170">
                  <c:v>5.8078879393229322E-12</c:v>
                </c:pt>
                <c:pt idx="171">
                  <c:v>5.8078879393229322E-12</c:v>
                </c:pt>
                <c:pt idx="172">
                  <c:v>5.8078879393229322E-12</c:v>
                </c:pt>
                <c:pt idx="173">
                  <c:v>5.8078879393229322E-12</c:v>
                </c:pt>
                <c:pt idx="174">
                  <c:v>5.8078879393229322E-12</c:v>
                </c:pt>
                <c:pt idx="175">
                  <c:v>5.8078879393229322E-12</c:v>
                </c:pt>
                <c:pt idx="176">
                  <c:v>5.8078879393229322E-12</c:v>
                </c:pt>
                <c:pt idx="177">
                  <c:v>5.8078879393229322E-12</c:v>
                </c:pt>
                <c:pt idx="178">
                  <c:v>5.8078879393229322E-12</c:v>
                </c:pt>
                <c:pt idx="179">
                  <c:v>5.8078879393229322E-12</c:v>
                </c:pt>
                <c:pt idx="180">
                  <c:v>5.8078879393229322E-12</c:v>
                </c:pt>
                <c:pt idx="181">
                  <c:v>5.8078879393229322E-12</c:v>
                </c:pt>
                <c:pt idx="182">
                  <c:v>5.8078879393229322E-12</c:v>
                </c:pt>
                <c:pt idx="183">
                  <c:v>5.8078879393229322E-12</c:v>
                </c:pt>
                <c:pt idx="184">
                  <c:v>5.8078879393229322E-12</c:v>
                </c:pt>
                <c:pt idx="185">
                  <c:v>5.8078879393229322E-12</c:v>
                </c:pt>
                <c:pt idx="186">
                  <c:v>5.8078879393229322E-12</c:v>
                </c:pt>
                <c:pt idx="187">
                  <c:v>5.8078879393229322E-12</c:v>
                </c:pt>
                <c:pt idx="188">
                  <c:v>5.8078879393229322E-12</c:v>
                </c:pt>
                <c:pt idx="189">
                  <c:v>5.8078879393229322E-12</c:v>
                </c:pt>
                <c:pt idx="190">
                  <c:v>5.8078879393229322E-12</c:v>
                </c:pt>
                <c:pt idx="191">
                  <c:v>5.8078879393229322E-12</c:v>
                </c:pt>
                <c:pt idx="192">
                  <c:v>5.8078879393229322E-12</c:v>
                </c:pt>
                <c:pt idx="193">
                  <c:v>5.8078879393229322E-12</c:v>
                </c:pt>
                <c:pt idx="194">
                  <c:v>5.8078879393229322E-12</c:v>
                </c:pt>
                <c:pt idx="195">
                  <c:v>5.8078879393229322E-12</c:v>
                </c:pt>
                <c:pt idx="196">
                  <c:v>5.8078879393229322E-12</c:v>
                </c:pt>
                <c:pt idx="197">
                  <c:v>5.8078879393229322E-12</c:v>
                </c:pt>
                <c:pt idx="198">
                  <c:v>5.8078879393229322E-12</c:v>
                </c:pt>
                <c:pt idx="199">
                  <c:v>5.8078879393229322E-12</c:v>
                </c:pt>
                <c:pt idx="200">
                  <c:v>5.8078879393229322E-12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87097312"/>
        <c:axId val="-1050505040"/>
      </c:scatterChart>
      <c:valAx>
        <c:axId val="-12870973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050505040"/>
        <c:crosses val="autoZero"/>
        <c:crossBetween val="midCat"/>
      </c:valAx>
      <c:valAx>
        <c:axId val="-1050505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2870973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050499600"/>
        <c:axId val="-1050501776"/>
      </c:scatterChart>
      <c:valAx>
        <c:axId val="-10504996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050501776"/>
        <c:crosses val="autoZero"/>
        <c:crossBetween val="midCat"/>
      </c:valAx>
      <c:valAx>
        <c:axId val="-1050501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0504996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1.9143975374625271</c:v>
                </c:pt>
                <c:pt idx="2">
                  <c:v>2.3631301223601535</c:v>
                </c:pt>
                <c:pt idx="3">
                  <c:v>2.9174548238720219</c:v>
                </c:pt>
                <c:pt idx="4">
                  <c:v>3.6023098465007668</c:v>
                </c:pt>
                <c:pt idx="5">
                  <c:v>4.4485433596983173</c:v>
                </c:pt>
                <c:pt idx="6">
                  <c:v>5.4943185233666361</c:v>
                </c:pt>
                <c:pt idx="7">
                  <c:v>6.7868535221036126</c:v>
                </c:pt>
                <c:pt idx="8">
                  <c:v>8.3845767013125236</c:v>
                </c:pt>
                <c:pt idx="9">
                  <c:v>10.359796093769079</c:v>
                </c:pt>
                <c:pt idx="10">
                  <c:v>12.802006431437341</c:v>
                </c:pt>
                <c:pt idx="11">
                  <c:v>15.821986263961561</c:v>
                </c:pt>
                <c:pt idx="12">
                  <c:v>19.556874429624859</c:v>
                </c:pt>
                <c:pt idx="13">
                  <c:v>24.176460556140523</c:v>
                </c:pt>
                <c:pt idx="14">
                  <c:v>29.890980629355308</c:v>
                </c:pt>
                <c:pt idx="15">
                  <c:v>36.960778591833304</c:v>
                </c:pt>
                <c:pt idx="16">
                  <c:v>45.70828169028141</c:v>
                </c:pt>
                <c:pt idx="17">
                  <c:v>56.532844940434195</c:v>
                </c:pt>
                <c:pt idx="18">
                  <c:v>69.929153660494023</c:v>
                </c:pt>
                <c:pt idx="19">
                  <c:v>86.510038797475374</c:v>
                </c:pt>
                <c:pt idx="20">
                  <c:v>107.03476550524589</c:v>
                </c:pt>
                <c:pt idx="21">
                  <c:v>132.44411077759398</c:v>
                </c:pt>
                <c:pt idx="22">
                  <c:v>163.90386287643108</c:v>
                </c:pt>
                <c:pt idx="23">
                  <c:v>179.90300489556364</c:v>
                </c:pt>
                <c:pt idx="24">
                  <c:v>195.86882025876375</c:v>
                </c:pt>
                <c:pt idx="25">
                  <c:v>211.80440891545263</c:v>
                </c:pt>
                <c:pt idx="26">
                  <c:v>186.46577828407854</c:v>
                </c:pt>
                <c:pt idx="27">
                  <c:v>203.79715143595334</c:v>
                </c:pt>
                <c:pt idx="28">
                  <c:v>221.09442404914515</c:v>
                </c:pt>
                <c:pt idx="29">
                  <c:v>238.36063977122203</c:v>
                </c:pt>
                <c:pt idx="30">
                  <c:v>255.59836496686489</c:v>
                </c:pt>
                <c:pt idx="31">
                  <c:v>230.63316428689714</c:v>
                </c:pt>
                <c:pt idx="32">
                  <c:v>249.42678742365072</c:v>
                </c:pt>
                <c:pt idx="33">
                  <c:v>268.1882976169623</c:v>
                </c:pt>
                <c:pt idx="34">
                  <c:v>286.92025704588701</c:v>
                </c:pt>
                <c:pt idx="35">
                  <c:v>305.62486594574438</c:v>
                </c:pt>
                <c:pt idx="36">
                  <c:v>271.5262211522043</c:v>
                </c:pt>
                <c:pt idx="37">
                  <c:v>289.99681160231415</c:v>
                </c:pt>
                <c:pt idx="38">
                  <c:v>308.44111949657542</c:v>
                </c:pt>
                <c:pt idx="39">
                  <c:v>326.86093719547273</c:v>
                </c:pt>
                <c:pt idx="40">
                  <c:v>345.25783856692902</c:v>
                </c:pt>
                <c:pt idx="41">
                  <c:v>317.14231769154247</c:v>
                </c:pt>
                <c:pt idx="42">
                  <c:v>341.42696956725422</c:v>
                </c:pt>
                <c:pt idx="43">
                  <c:v>365.67365126385283</c:v>
                </c:pt>
                <c:pt idx="44">
                  <c:v>389.88523246274644</c:v>
                </c:pt>
                <c:pt idx="45">
                  <c:v>414.06419751906054</c:v>
                </c:pt>
                <c:pt idx="46">
                  <c:v>368.73383823272388</c:v>
                </c:pt>
                <c:pt idx="47">
                  <c:v>390.90393569861902</c:v>
                </c:pt>
                <c:pt idx="48">
                  <c:v>413.04676405305344</c:v>
                </c:pt>
                <c:pt idx="49">
                  <c:v>435.16398965501406</c:v>
                </c:pt>
                <c:pt idx="50">
                  <c:v>457.25709576545165</c:v>
                </c:pt>
                <c:pt idx="51">
                  <c:v>412.31545034855634</c:v>
                </c:pt>
                <c:pt idx="52">
                  <c:v>434.71934533149914</c:v>
                </c:pt>
                <c:pt idx="53">
                  <c:v>457.09846370599325</c:v>
                </c:pt>
                <c:pt idx="54">
                  <c:v>479.45418811198141</c:v>
                </c:pt>
                <c:pt idx="55">
                  <c:v>501.78776183351812</c:v>
                </c:pt>
                <c:pt idx="56">
                  <c:v>524.10030854720526</c:v>
                </c:pt>
                <c:pt idx="57">
                  <c:v>546.39284853374647</c:v>
                </c:pt>
                <c:pt idx="58">
                  <c:v>568.66631210732646</c:v>
                </c:pt>
                <c:pt idx="59">
                  <c:v>491.0196521124895</c:v>
                </c:pt>
                <c:pt idx="60">
                  <c:v>512.07623603023308</c:v>
                </c:pt>
                <c:pt idx="61">
                  <c:v>533.11454122394582</c:v>
                </c:pt>
                <c:pt idx="62">
                  <c:v>554.13538990317852</c:v>
                </c:pt>
                <c:pt idx="63">
                  <c:v>575.13953686439993</c:v>
                </c:pt>
                <c:pt idx="64">
                  <c:v>596.12767732798443</c:v>
                </c:pt>
                <c:pt idx="65">
                  <c:v>617.10045361481673</c:v>
                </c:pt>
                <c:pt idx="66">
                  <c:v>638.05846086868871</c:v>
                </c:pt>
                <c:pt idx="67">
                  <c:v>572.29782173470437</c:v>
                </c:pt>
                <c:pt idx="68">
                  <c:v>588.55481451870241</c:v>
                </c:pt>
                <c:pt idx="69">
                  <c:v>604.80245799974352</c:v>
                </c:pt>
                <c:pt idx="70">
                  <c:v>621.04103855425899</c:v>
                </c:pt>
                <c:pt idx="71">
                  <c:v>637.27082637167155</c:v>
                </c:pt>
                <c:pt idx="72">
                  <c:v>653.49207676674712</c:v>
                </c:pt>
                <c:pt idx="73">
                  <c:v>669.70503135496119</c:v>
                </c:pt>
                <c:pt idx="74">
                  <c:v>685.90991910820378</c:v>
                </c:pt>
                <c:pt idx="75">
                  <c:v>650.50043827916329</c:v>
                </c:pt>
                <c:pt idx="76">
                  <c:v>661.67827996165295</c:v>
                </c:pt>
                <c:pt idx="77">
                  <c:v>672.85223568835988</c:v>
                </c:pt>
                <c:pt idx="78">
                  <c:v>684.0223790645324</c:v>
                </c:pt>
                <c:pt idx="79">
                  <c:v>695.18878109639593</c:v>
                </c:pt>
                <c:pt idx="80">
                  <c:v>706.35151032407646</c:v>
                </c:pt>
                <c:pt idx="81">
                  <c:v>717.5106329456886</c:v>
                </c:pt>
                <c:pt idx="82">
                  <c:v>728.66621293330627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050505584"/>
        <c:axId val="-1050503408"/>
      </c:scatterChart>
      <c:valAx>
        <c:axId val="-10505055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050503408"/>
        <c:crosses val="autoZero"/>
        <c:crossBetween val="midCat"/>
      </c:valAx>
      <c:valAx>
        <c:axId val="-105050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0505055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155.46288225618903</c:v>
                </c:pt>
                <c:pt idx="27">
                  <c:v>169.22076873606747</c:v>
                </c:pt>
                <c:pt idx="28">
                  <c:v>182.95230030612535</c:v>
                </c:pt>
                <c:pt idx="29">
                  <c:v>196.65973476943884</c:v>
                </c:pt>
                <c:pt idx="30">
                  <c:v>210.34498910896306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248.16968942779488</c:v>
                </c:pt>
                <c:pt idx="37">
                  <c:v>264.50544806917611</c:v>
                </c:pt>
                <c:pt idx="38">
                  <c:v>280.81846105391611</c:v>
                </c:pt>
                <c:pt idx="39">
                  <c:v>297.11023564036316</c:v>
                </c:pt>
                <c:pt idx="40">
                  <c:v>313.38210026249641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329.24846413649914</c:v>
                </c:pt>
                <c:pt idx="47">
                  <c:v>345.09796018035962</c:v>
                </c:pt>
                <c:pt idx="48">
                  <c:v>360.93147205550491</c:v>
                </c:pt>
                <c:pt idx="49">
                  <c:v>376.74979957167847</c:v>
                </c:pt>
                <c:pt idx="50">
                  <c:v>392.55366990377706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403.33859253105862</c:v>
                </c:pt>
                <c:pt idx="57">
                  <c:v>417.96533499156266</c:v>
                </c:pt>
                <c:pt idx="58">
                  <c:v>432.58104952108766</c:v>
                </c:pt>
                <c:pt idx="59">
                  <c:v>447.18616113243911</c:v>
                </c:pt>
                <c:pt idx="60">
                  <c:v>461.78106481747727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463.31679190893482</c:v>
                </c:pt>
                <c:pt idx="67">
                  <c:v>476.36612856926143</c:v>
                </c:pt>
                <c:pt idx="68">
                  <c:v>489.40786321667775</c:v>
                </c:pt>
                <c:pt idx="69">
                  <c:v>502.44222694105241</c:v>
                </c:pt>
                <c:pt idx="70">
                  <c:v>515.4694378666801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470.61001955868869</c:v>
                </c:pt>
                <c:pt idx="74">
                  <c:v>482.50434799892832</c:v>
                </c:pt>
                <c:pt idx="75">
                  <c:v>494.39244873679587</c:v>
                </c:pt>
                <c:pt idx="76">
                  <c:v>505.89129373820577</c:v>
                </c:pt>
                <c:pt idx="77">
                  <c:v>517.38461348648957</c:v>
                </c:pt>
                <c:pt idx="78">
                  <c:v>528.87254801147833</c:v>
                </c:pt>
                <c:pt idx="79">
                  <c:v>540.35523076412733</c:v>
                </c:pt>
                <c:pt idx="80">
                  <c:v>551.83278906179692</c:v>
                </c:pt>
                <c:pt idx="81">
                  <c:v>482.12075813367829</c:v>
                </c:pt>
                <c:pt idx="82">
                  <c:v>492.85884412246605</c:v>
                </c:pt>
                <c:pt idx="83">
                  <c:v>503.59197136026643</c:v>
                </c:pt>
                <c:pt idx="84">
                  <c:v>514.32026043494204</c:v>
                </c:pt>
                <c:pt idx="85">
                  <c:v>525.04382649327351</c:v>
                </c:pt>
                <c:pt idx="86">
                  <c:v>535.76277959494894</c:v>
                </c:pt>
                <c:pt idx="87">
                  <c:v>546.47722503675357</c:v>
                </c:pt>
                <c:pt idx="88">
                  <c:v>557.18726365001555</c:v>
                </c:pt>
                <c:pt idx="89">
                  <c:v>567.89299207399438</c:v>
                </c:pt>
                <c:pt idx="90">
                  <c:v>578.59450300758806</c:v>
                </c:pt>
                <c:pt idx="91">
                  <c:v>507.61564043595672</c:v>
                </c:pt>
                <c:pt idx="92">
                  <c:v>517.00159034875594</c:v>
                </c:pt>
                <c:pt idx="93">
                  <c:v>526.3839456981226</c:v>
                </c:pt>
                <c:pt idx="94">
                  <c:v>535.76277959494894</c:v>
                </c:pt>
                <c:pt idx="95">
                  <c:v>545.13816238142283</c:v>
                </c:pt>
                <c:pt idx="96">
                  <c:v>554.51016178271254</c:v>
                </c:pt>
                <c:pt idx="97">
                  <c:v>563.87884304786564</c:v>
                </c:pt>
                <c:pt idx="98">
                  <c:v>573.24426908085582</c:v>
                </c:pt>
                <c:pt idx="99">
                  <c:v>582.60650056262409</c:v>
                </c:pt>
                <c:pt idx="100">
                  <c:v>591.9655960648646</c:v>
                </c:pt>
                <c:pt idx="101">
                  <c:v>520.06560820994252</c:v>
                </c:pt>
                <c:pt idx="102">
                  <c:v>528.48970219589648</c:v>
                </c:pt>
                <c:pt idx="103">
                  <c:v>536.91096968482657</c:v>
                </c:pt>
                <c:pt idx="104">
                  <c:v>545.32946126916943</c:v>
                </c:pt>
                <c:pt idx="105">
                  <c:v>553.74522585166278</c:v>
                </c:pt>
                <c:pt idx="106">
                  <c:v>562.15831072715287</c:v>
                </c:pt>
                <c:pt idx="107">
                  <c:v>570.56876165925303</c:v>
                </c:pt>
                <c:pt idx="108">
                  <c:v>578.97662295224757</c:v>
                </c:pt>
                <c:pt idx="109">
                  <c:v>587.38193751859842</c:v>
                </c:pt>
                <c:pt idx="110">
                  <c:v>595.7847469423923</c:v>
                </c:pt>
                <c:pt idx="111">
                  <c:v>528.29827709857079</c:v>
                </c:pt>
                <c:pt idx="112">
                  <c:v>535.38003807305233</c:v>
                </c:pt>
                <c:pt idx="113">
                  <c:v>542.45982974283959</c:v>
                </c:pt>
                <c:pt idx="114">
                  <c:v>549.53768144295657</c:v>
                </c:pt>
                <c:pt idx="115">
                  <c:v>556.61362169091774</c:v>
                </c:pt>
                <c:pt idx="116">
                  <c:v>563.68767821983818</c:v>
                </c:pt>
                <c:pt idx="117">
                  <c:v>570.75987800979885</c:v>
                </c:pt>
                <c:pt idx="118">
                  <c:v>577.8302473175728</c:v>
                </c:pt>
                <c:pt idx="119">
                  <c:v>584.89881170482306</c:v>
                </c:pt>
                <c:pt idx="120">
                  <c:v>591.96559606486414</c:v>
                </c:pt>
                <c:pt idx="121">
                  <c:v>531.16950054399888</c:v>
                </c:pt>
                <c:pt idx="122">
                  <c:v>537.29368823845141</c:v>
                </c:pt>
                <c:pt idx="123">
                  <c:v>543.41640891561519</c:v>
                </c:pt>
                <c:pt idx="124">
                  <c:v>549.53768144295634</c:v>
                </c:pt>
                <c:pt idx="125">
                  <c:v>555.65752423315837</c:v>
                </c:pt>
                <c:pt idx="126">
                  <c:v>561.77595526008167</c:v>
                </c:pt>
                <c:pt idx="127">
                  <c:v>567.89299207399313</c:v>
                </c:pt>
                <c:pt idx="128">
                  <c:v>574.00865181610322</c:v>
                </c:pt>
                <c:pt idx="129">
                  <c:v>580.12295123245383</c:v>
                </c:pt>
                <c:pt idx="130">
                  <c:v>586.23590668718714</c:v>
                </c:pt>
                <c:pt idx="131">
                  <c:v>532.12650235188266</c:v>
                </c:pt>
                <c:pt idx="132">
                  <c:v>537.29368823845118</c:v>
                </c:pt>
                <c:pt idx="133">
                  <c:v>542.45982974283925</c:v>
                </c:pt>
                <c:pt idx="134">
                  <c:v>547.62493821970475</c:v>
                </c:pt>
                <c:pt idx="135">
                  <c:v>552.78902479193243</c:v>
                </c:pt>
                <c:pt idx="136">
                  <c:v>557.95210035753337</c:v>
                </c:pt>
                <c:pt idx="137">
                  <c:v>563.11417559627546</c:v>
                </c:pt>
                <c:pt idx="138">
                  <c:v>568.27526097606062</c:v>
                </c:pt>
                <c:pt idx="139">
                  <c:v>573.43536675905443</c:v>
                </c:pt>
                <c:pt idx="140">
                  <c:v>578.59450300758647</c:v>
                </c:pt>
                <c:pt idx="141">
                  <c:v>531.55230561741405</c:v>
                </c:pt>
                <c:pt idx="142">
                  <c:v>536.14551536775082</c:v>
                </c:pt>
                <c:pt idx="143">
                  <c:v>540.73789791143247</c:v>
                </c:pt>
                <c:pt idx="144">
                  <c:v>545.32946126916829</c:v>
                </c:pt>
                <c:pt idx="145">
                  <c:v>549.92021331550427</c:v>
                </c:pt>
                <c:pt idx="146">
                  <c:v>554.51016178271107</c:v>
                </c:pt>
                <c:pt idx="147">
                  <c:v>559.09931426453841</c:v>
                </c:pt>
                <c:pt idx="148">
                  <c:v>563.68767821983727</c:v>
                </c:pt>
                <c:pt idx="149">
                  <c:v>568.27526097606028</c:v>
                </c:pt>
                <c:pt idx="150">
                  <c:v>572.86206973264132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050494704"/>
        <c:axId val="-1050506128"/>
      </c:scatterChart>
      <c:valAx>
        <c:axId val="-10504947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050506128"/>
        <c:crosses val="autoZero"/>
        <c:crossBetween val="midCat"/>
      </c:valAx>
      <c:valAx>
        <c:axId val="-105050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0504947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2.3809512945056821</c:v>
                </c:pt>
                <c:pt idx="2">
                  <c:v>3.0045130030879732</c:v>
                </c:pt>
                <c:pt idx="3">
                  <c:v>3.7920249353169493</c:v>
                </c:pt>
                <c:pt idx="4">
                  <c:v>4.7867529388378705</c:v>
                </c:pt>
                <c:pt idx="5">
                  <c:v>6.0434198694344721</c:v>
                </c:pt>
                <c:pt idx="6">
                  <c:v>7.6312491374559963</c:v>
                </c:pt>
                <c:pt idx="7">
                  <c:v>9.6378191429250784</c:v>
                </c:pt>
                <c:pt idx="8">
                  <c:v>12.173945223519388</c:v>
                </c:pt>
                <c:pt idx="9">
                  <c:v>15.379863750893525</c:v>
                </c:pt>
                <c:pt idx="10">
                  <c:v>19.433066591685588</c:v>
                </c:pt>
                <c:pt idx="11">
                  <c:v>24.558227487085514</c:v>
                </c:pt>
                <c:pt idx="12">
                  <c:v>31.039780314096337</c:v>
                </c:pt>
                <c:pt idx="13">
                  <c:v>39.237859420062392</c:v>
                </c:pt>
                <c:pt idx="14">
                  <c:v>49.608502836168434</c:v>
                </c:pt>
                <c:pt idx="15">
                  <c:v>62.729261052103169</c:v>
                </c:pt>
                <c:pt idx="16">
                  <c:v>81.481071811914816</c:v>
                </c:pt>
                <c:pt idx="17">
                  <c:v>100.12309550428905</c:v>
                </c:pt>
                <c:pt idx="18">
                  <c:v>118.67878003907686</c:v>
                </c:pt>
                <c:pt idx="19">
                  <c:v>137.16357186425441</c:v>
                </c:pt>
                <c:pt idx="20">
                  <c:v>155.58838869810646</c:v>
                </c:pt>
                <c:pt idx="21">
                  <c:v>175.48763589154603</c:v>
                </c:pt>
                <c:pt idx="22">
                  <c:v>195.3338800973107</c:v>
                </c:pt>
                <c:pt idx="23">
                  <c:v>215.1332662548451</c:v>
                </c:pt>
                <c:pt idx="24">
                  <c:v>234.89071410306022</c:v>
                </c:pt>
                <c:pt idx="25">
                  <c:v>254.61024730171843</c:v>
                </c:pt>
                <c:pt idx="26">
                  <c:v>161.0066429666328</c:v>
                </c:pt>
                <c:pt idx="27">
                  <c:v>180.09643806867584</c:v>
                </c:pt>
                <c:pt idx="28">
                  <c:v>199.13883063239675</c:v>
                </c:pt>
                <c:pt idx="29">
                  <c:v>218.13899263195233</c:v>
                </c:pt>
                <c:pt idx="30">
                  <c:v>237.10112030306402</c:v>
                </c:pt>
                <c:pt idx="31">
                  <c:v>209.87882372311779</c:v>
                </c:pt>
                <c:pt idx="32">
                  <c:v>226.92928209637023</c:v>
                </c:pt>
                <c:pt idx="33">
                  <c:v>243.95041558309245</c:v>
                </c:pt>
                <c:pt idx="34">
                  <c:v>260.94455828531221</c:v>
                </c:pt>
                <c:pt idx="35">
                  <c:v>277.91371532173889</c:v>
                </c:pt>
                <c:pt idx="36">
                  <c:v>292.75438923139654</c:v>
                </c:pt>
                <c:pt idx="37">
                  <c:v>307.5782714772098</c:v>
                </c:pt>
                <c:pt idx="38">
                  <c:v>322.38628533250755</c:v>
                </c:pt>
                <c:pt idx="39">
                  <c:v>337.17926231862225</c:v>
                </c:pt>
                <c:pt idx="40">
                  <c:v>351.95795503306766</c:v>
                </c:pt>
                <c:pt idx="41">
                  <c:v>276.96986127985076</c:v>
                </c:pt>
                <c:pt idx="42">
                  <c:v>289.86306359345843</c:v>
                </c:pt>
                <c:pt idx="43">
                  <c:v>302.74345277160899</c:v>
                </c:pt>
                <c:pt idx="44">
                  <c:v>315.61165089864329</c:v>
                </c:pt>
                <c:pt idx="45">
                  <c:v>328.46822517413688</c:v>
                </c:pt>
                <c:pt idx="46">
                  <c:v>339.62247001500663</c:v>
                </c:pt>
                <c:pt idx="47">
                  <c:v>350.7686571294899</c:v>
                </c:pt>
                <c:pt idx="48">
                  <c:v>361.90707874377085</c:v>
                </c:pt>
                <c:pt idx="49">
                  <c:v>373.03800762204258</c:v>
                </c:pt>
                <c:pt idx="50">
                  <c:v>384.16169891713162</c:v>
                </c:pt>
                <c:pt idx="51">
                  <c:v>333.82704752096635</c:v>
                </c:pt>
                <c:pt idx="52">
                  <c:v>343.41181011684756</c:v>
                </c:pt>
                <c:pt idx="53">
                  <c:v>352.99069486894427</c:v>
                </c:pt>
                <c:pt idx="54">
                  <c:v>362.56388385830974</c:v>
                </c:pt>
                <c:pt idx="55">
                  <c:v>372.13154876074583</c:v>
                </c:pt>
                <c:pt idx="56">
                  <c:v>380.19423086102802</c:v>
                </c:pt>
                <c:pt idx="57">
                  <c:v>388.25319368287614</c:v>
                </c:pt>
                <c:pt idx="58">
                  <c:v>396.30852536623382</c:v>
                </c:pt>
                <c:pt idx="59">
                  <c:v>404.36031017336609</c:v>
                </c:pt>
                <c:pt idx="60">
                  <c:v>412.40862873496354</c:v>
                </c:pt>
                <c:pt idx="61">
                  <c:v>379.85054964335399</c:v>
                </c:pt>
                <c:pt idx="62">
                  <c:v>386.62920156078945</c:v>
                </c:pt>
                <c:pt idx="63">
                  <c:v>393.40527244934259</c:v>
                </c:pt>
                <c:pt idx="64">
                  <c:v>400.17881307294584</c:v>
                </c:pt>
                <c:pt idx="65">
                  <c:v>406.94987233545288</c:v>
                </c:pt>
                <c:pt idx="66">
                  <c:v>412.8140738490336</c:v>
                </c:pt>
                <c:pt idx="67">
                  <c:v>418.6764779546981</c:v>
                </c:pt>
                <c:pt idx="68">
                  <c:v>424.53711339270086</c:v>
                </c:pt>
                <c:pt idx="69">
                  <c:v>430.39600804438186</c:v>
                </c:pt>
                <c:pt idx="70">
                  <c:v>436.25318896943878</c:v>
                </c:pt>
                <c:pt idx="71">
                  <c:v>408.97759393697305</c:v>
                </c:pt>
                <c:pt idx="72">
                  <c:v>414.2798422447338</c:v>
                </c:pt>
                <c:pt idx="73">
                  <c:v>419.58062680583197</c:v>
                </c:pt>
                <c:pt idx="74">
                  <c:v>424.87996873918178</c:v>
                </c:pt>
                <c:pt idx="75">
                  <c:v>430.17788859341562</c:v>
                </c:pt>
                <c:pt idx="76">
                  <c:v>434.82020588115535</c:v>
                </c:pt>
                <c:pt idx="77">
                  <c:v>439.46145923224771</c:v>
                </c:pt>
                <c:pt idx="78">
                  <c:v>444.10166147950622</c:v>
                </c:pt>
                <c:pt idx="79">
                  <c:v>448.74082516544513</c:v>
                </c:pt>
                <c:pt idx="80">
                  <c:v>453.3789625518466</c:v>
                </c:pt>
                <c:pt idx="81">
                  <c:v>6.3163460169613921E-12</c:v>
                </c:pt>
                <c:pt idx="82">
                  <c:v>6.3163460169613921E-12</c:v>
                </c:pt>
                <c:pt idx="83">
                  <c:v>6.3163460169613921E-12</c:v>
                </c:pt>
                <c:pt idx="84">
                  <c:v>6.3163460169613921E-12</c:v>
                </c:pt>
                <c:pt idx="85">
                  <c:v>6.3163460169613921E-12</c:v>
                </c:pt>
                <c:pt idx="86">
                  <c:v>6.3163460169613921E-12</c:v>
                </c:pt>
                <c:pt idx="87">
                  <c:v>6.3163460169613921E-12</c:v>
                </c:pt>
                <c:pt idx="88">
                  <c:v>6.3163460169613921E-12</c:v>
                </c:pt>
                <c:pt idx="89">
                  <c:v>6.3163460169613921E-12</c:v>
                </c:pt>
                <c:pt idx="90">
                  <c:v>6.3163460169613921E-12</c:v>
                </c:pt>
                <c:pt idx="91">
                  <c:v>6.3163460169613921E-12</c:v>
                </c:pt>
                <c:pt idx="92">
                  <c:v>6.3163460169613921E-12</c:v>
                </c:pt>
                <c:pt idx="93">
                  <c:v>6.3163460169613921E-12</c:v>
                </c:pt>
                <c:pt idx="94">
                  <c:v>6.3163460169613921E-12</c:v>
                </c:pt>
                <c:pt idx="95">
                  <c:v>6.3163460169613921E-12</c:v>
                </c:pt>
                <c:pt idx="96">
                  <c:v>6.3163460169613921E-12</c:v>
                </c:pt>
                <c:pt idx="97">
                  <c:v>6.3163460169613921E-12</c:v>
                </c:pt>
                <c:pt idx="98">
                  <c:v>6.3163460169613921E-12</c:v>
                </c:pt>
                <c:pt idx="99">
                  <c:v>6.3163460169613921E-12</c:v>
                </c:pt>
                <c:pt idx="100">
                  <c:v>6.3163460169613921E-12</c:v>
                </c:pt>
                <c:pt idx="101">
                  <c:v>6.3163460169613921E-12</c:v>
                </c:pt>
                <c:pt idx="102">
                  <c:v>6.3163460169613921E-12</c:v>
                </c:pt>
                <c:pt idx="103">
                  <c:v>6.3163460169613921E-12</c:v>
                </c:pt>
                <c:pt idx="104">
                  <c:v>6.3163460169613921E-12</c:v>
                </c:pt>
                <c:pt idx="105">
                  <c:v>6.3163460169613921E-12</c:v>
                </c:pt>
                <c:pt idx="106">
                  <c:v>6.3163460169613921E-12</c:v>
                </c:pt>
                <c:pt idx="107">
                  <c:v>6.3163460169613921E-12</c:v>
                </c:pt>
                <c:pt idx="108">
                  <c:v>6.3163460169613921E-12</c:v>
                </c:pt>
                <c:pt idx="109">
                  <c:v>6.3163460169613921E-12</c:v>
                </c:pt>
                <c:pt idx="110">
                  <c:v>6.3163460169613921E-12</c:v>
                </c:pt>
                <c:pt idx="111">
                  <c:v>6.3163460169613921E-12</c:v>
                </c:pt>
                <c:pt idx="112">
                  <c:v>6.3163460169613921E-12</c:v>
                </c:pt>
                <c:pt idx="113">
                  <c:v>6.3163460169613921E-12</c:v>
                </c:pt>
                <c:pt idx="114">
                  <c:v>6.3163460169613921E-12</c:v>
                </c:pt>
                <c:pt idx="115">
                  <c:v>6.3163460169613921E-12</c:v>
                </c:pt>
                <c:pt idx="116">
                  <c:v>6.3163460169613921E-12</c:v>
                </c:pt>
                <c:pt idx="117">
                  <c:v>6.3163460169613921E-12</c:v>
                </c:pt>
                <c:pt idx="118">
                  <c:v>6.3163460169613921E-12</c:v>
                </c:pt>
                <c:pt idx="119">
                  <c:v>6.3163460169613921E-12</c:v>
                </c:pt>
                <c:pt idx="120">
                  <c:v>6.3163460169613921E-12</c:v>
                </c:pt>
                <c:pt idx="121">
                  <c:v>6.3163460169613921E-12</c:v>
                </c:pt>
                <c:pt idx="122">
                  <c:v>6.3163460169613921E-12</c:v>
                </c:pt>
                <c:pt idx="123">
                  <c:v>6.3163460169613921E-12</c:v>
                </c:pt>
                <c:pt idx="124">
                  <c:v>6.3163460169613921E-12</c:v>
                </c:pt>
                <c:pt idx="125">
                  <c:v>6.3163460169613921E-12</c:v>
                </c:pt>
                <c:pt idx="126">
                  <c:v>6.3163460169613921E-12</c:v>
                </c:pt>
                <c:pt idx="127">
                  <c:v>6.3163460169613921E-12</c:v>
                </c:pt>
                <c:pt idx="128">
                  <c:v>6.3163460169613921E-12</c:v>
                </c:pt>
                <c:pt idx="129">
                  <c:v>6.3163460169613921E-12</c:v>
                </c:pt>
                <c:pt idx="130">
                  <c:v>6.3163460169613921E-12</c:v>
                </c:pt>
                <c:pt idx="131">
                  <c:v>6.3163460169613921E-12</c:v>
                </c:pt>
                <c:pt idx="132">
                  <c:v>6.3163460169613921E-12</c:v>
                </c:pt>
                <c:pt idx="133">
                  <c:v>6.3163460169613921E-12</c:v>
                </c:pt>
                <c:pt idx="134">
                  <c:v>6.3163460169613921E-12</c:v>
                </c:pt>
                <c:pt idx="135">
                  <c:v>6.3163460169613921E-12</c:v>
                </c:pt>
                <c:pt idx="136">
                  <c:v>6.3163460169613921E-12</c:v>
                </c:pt>
                <c:pt idx="137">
                  <c:v>6.3163460169613921E-12</c:v>
                </c:pt>
                <c:pt idx="138">
                  <c:v>6.3163460169613921E-12</c:v>
                </c:pt>
                <c:pt idx="139">
                  <c:v>6.3163460169613921E-12</c:v>
                </c:pt>
                <c:pt idx="140">
                  <c:v>6.3163460169613921E-12</c:v>
                </c:pt>
                <c:pt idx="141">
                  <c:v>6.3163460169613921E-12</c:v>
                </c:pt>
                <c:pt idx="142">
                  <c:v>6.3163460169613921E-12</c:v>
                </c:pt>
                <c:pt idx="143">
                  <c:v>6.3163460169613921E-12</c:v>
                </c:pt>
                <c:pt idx="144">
                  <c:v>6.3163460169613921E-12</c:v>
                </c:pt>
                <c:pt idx="145">
                  <c:v>6.3163460169613921E-12</c:v>
                </c:pt>
                <c:pt idx="146">
                  <c:v>6.3163460169613921E-12</c:v>
                </c:pt>
                <c:pt idx="147">
                  <c:v>6.3163460169613921E-12</c:v>
                </c:pt>
                <c:pt idx="148">
                  <c:v>6.3163460169613921E-12</c:v>
                </c:pt>
                <c:pt idx="149">
                  <c:v>6.3163460169613921E-12</c:v>
                </c:pt>
                <c:pt idx="150">
                  <c:v>6.3163460169613921E-12</c:v>
                </c:pt>
                <c:pt idx="151">
                  <c:v>6.3163460169613921E-12</c:v>
                </c:pt>
                <c:pt idx="152">
                  <c:v>6.3163460169613921E-12</c:v>
                </c:pt>
                <c:pt idx="153">
                  <c:v>6.3163460169613921E-12</c:v>
                </c:pt>
                <c:pt idx="154">
                  <c:v>6.3163460169613921E-12</c:v>
                </c:pt>
                <c:pt idx="155">
                  <c:v>6.3163460169613921E-12</c:v>
                </c:pt>
                <c:pt idx="156">
                  <c:v>6.3163460169613921E-12</c:v>
                </c:pt>
                <c:pt idx="157">
                  <c:v>6.3163460169613921E-12</c:v>
                </c:pt>
                <c:pt idx="158">
                  <c:v>6.3163460169613921E-12</c:v>
                </c:pt>
                <c:pt idx="159">
                  <c:v>6.3163460169613921E-12</c:v>
                </c:pt>
                <c:pt idx="160">
                  <c:v>6.3163460169613921E-12</c:v>
                </c:pt>
                <c:pt idx="161">
                  <c:v>6.3163460169613921E-12</c:v>
                </c:pt>
                <c:pt idx="162">
                  <c:v>6.3163460169613921E-12</c:v>
                </c:pt>
                <c:pt idx="163">
                  <c:v>6.3163460169613921E-12</c:v>
                </c:pt>
                <c:pt idx="164">
                  <c:v>6.3163460169613921E-12</c:v>
                </c:pt>
                <c:pt idx="165">
                  <c:v>6.3163460169613921E-12</c:v>
                </c:pt>
                <c:pt idx="166">
                  <c:v>6.3163460169613921E-12</c:v>
                </c:pt>
                <c:pt idx="167">
                  <c:v>6.3163460169613921E-12</c:v>
                </c:pt>
                <c:pt idx="168">
                  <c:v>6.3163460169613921E-12</c:v>
                </c:pt>
                <c:pt idx="169">
                  <c:v>6.3163460169613921E-12</c:v>
                </c:pt>
                <c:pt idx="170">
                  <c:v>6.3163460169613921E-12</c:v>
                </c:pt>
                <c:pt idx="171">
                  <c:v>6.3163460169613921E-12</c:v>
                </c:pt>
                <c:pt idx="172">
                  <c:v>6.3163460169613921E-12</c:v>
                </c:pt>
                <c:pt idx="173">
                  <c:v>6.3163460169613921E-12</c:v>
                </c:pt>
                <c:pt idx="174">
                  <c:v>6.3163460169613921E-12</c:v>
                </c:pt>
                <c:pt idx="175">
                  <c:v>6.3163460169613921E-12</c:v>
                </c:pt>
                <c:pt idx="176">
                  <c:v>6.3163460169613921E-12</c:v>
                </c:pt>
                <c:pt idx="177">
                  <c:v>6.3163460169613921E-12</c:v>
                </c:pt>
                <c:pt idx="178">
                  <c:v>6.3163460169613921E-12</c:v>
                </c:pt>
                <c:pt idx="179">
                  <c:v>6.3163460169613921E-12</c:v>
                </c:pt>
                <c:pt idx="180">
                  <c:v>6.3163460169613921E-12</c:v>
                </c:pt>
                <c:pt idx="181">
                  <c:v>6.3163460169613921E-12</c:v>
                </c:pt>
                <c:pt idx="182">
                  <c:v>6.3163460169613921E-12</c:v>
                </c:pt>
                <c:pt idx="183">
                  <c:v>6.3163460169613921E-12</c:v>
                </c:pt>
                <c:pt idx="184">
                  <c:v>6.3163460169613921E-12</c:v>
                </c:pt>
                <c:pt idx="185">
                  <c:v>6.3163460169613921E-12</c:v>
                </c:pt>
                <c:pt idx="186">
                  <c:v>6.3163460169613921E-12</c:v>
                </c:pt>
                <c:pt idx="187">
                  <c:v>6.3163460169613921E-12</c:v>
                </c:pt>
                <c:pt idx="188">
                  <c:v>6.3163460169613921E-12</c:v>
                </c:pt>
                <c:pt idx="189">
                  <c:v>6.3163460169613921E-12</c:v>
                </c:pt>
                <c:pt idx="190">
                  <c:v>6.3163460169613921E-12</c:v>
                </c:pt>
                <c:pt idx="191">
                  <c:v>6.3163460169613921E-12</c:v>
                </c:pt>
                <c:pt idx="192">
                  <c:v>6.3163460169613921E-12</c:v>
                </c:pt>
                <c:pt idx="193">
                  <c:v>6.3163460169613921E-12</c:v>
                </c:pt>
                <c:pt idx="194">
                  <c:v>6.3163460169613921E-12</c:v>
                </c:pt>
                <c:pt idx="195">
                  <c:v>6.3163460169613921E-12</c:v>
                </c:pt>
                <c:pt idx="196">
                  <c:v>6.3163460169613921E-12</c:v>
                </c:pt>
                <c:pt idx="197">
                  <c:v>6.3163460169613921E-12</c:v>
                </c:pt>
                <c:pt idx="198">
                  <c:v>6.3163460169613921E-12</c:v>
                </c:pt>
                <c:pt idx="199">
                  <c:v>6.3163460169613921E-12</c:v>
                </c:pt>
                <c:pt idx="200">
                  <c:v>6.3163460169613921E-12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050507216"/>
        <c:axId val="-1050494160"/>
      </c:scatterChart>
      <c:valAx>
        <c:axId val="-10505072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050494160"/>
        <c:crosses val="autoZero"/>
        <c:crossBetween val="midCat"/>
      </c:valAx>
      <c:valAx>
        <c:axId val="-1050494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0505072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050502864"/>
        <c:axId val="-1050492528"/>
      </c:scatterChart>
      <c:valAx>
        <c:axId val="-10505028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050492528"/>
        <c:crosses val="autoZero"/>
        <c:crossBetween val="midCat"/>
      </c:valAx>
      <c:valAx>
        <c:axId val="-1050492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0505028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050504496"/>
        <c:axId val="-1050493072"/>
      </c:scatterChart>
      <c:valAx>
        <c:axId val="-10505044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050493072"/>
        <c:crosses val="autoZero"/>
        <c:crossBetween val="midCat"/>
      </c:valAx>
      <c:valAx>
        <c:axId val="-1050493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0505044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050506672"/>
        <c:axId val="-1050496880"/>
      </c:scatterChart>
      <c:valAx>
        <c:axId val="-10505066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050496880"/>
        <c:crosses val="autoZero"/>
        <c:crossBetween val="midCat"/>
      </c:valAx>
      <c:valAx>
        <c:axId val="-1050496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0505066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050498512"/>
        <c:axId val="-1050496336"/>
      </c:scatterChart>
      <c:valAx>
        <c:axId val="-10504985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050496336"/>
        <c:crosses val="autoZero"/>
        <c:crossBetween val="midCat"/>
      </c:valAx>
      <c:valAx>
        <c:axId val="-1050496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0504985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050502320"/>
        <c:axId val="-1050495792"/>
      </c:scatterChart>
      <c:valAx>
        <c:axId val="-10505023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050495792"/>
        <c:crosses val="autoZero"/>
        <c:crossBetween val="midCat"/>
      </c:valAx>
      <c:valAx>
        <c:axId val="-105049579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0505023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zoomScale="80" zoomScaleNormal="80" workbookViewId="0">
      <selection activeCell="A88" sqref="A88:H107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1.7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41</v>
      </c>
      <c r="C9" s="35">
        <v>0.4</v>
      </c>
      <c r="D9" s="36">
        <f t="shared" ref="D9:D18" si="0">C9*$C$5</f>
        <v>0.68</v>
      </c>
      <c r="E9" s="37">
        <v>80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35</v>
      </c>
      <c r="C10" s="35">
        <v>0.3</v>
      </c>
      <c r="D10" s="36">
        <f t="shared" si="0"/>
        <v>0.51</v>
      </c>
      <c r="E10" s="37">
        <v>82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14</v>
      </c>
      <c r="C11" s="35">
        <v>0.2</v>
      </c>
      <c r="D11" s="36">
        <f t="shared" si="0"/>
        <v>0.34</v>
      </c>
      <c r="E11" s="37">
        <v>150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8</v>
      </c>
      <c r="C12" s="35">
        <v>0.1</v>
      </c>
      <c r="D12" s="36">
        <f t="shared" si="0"/>
        <v>0.17</v>
      </c>
      <c r="E12" s="37">
        <v>80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0.99999999999999989</v>
      </c>
      <c r="D19" s="41">
        <f>SUM(D9:D18)</f>
        <v>1.7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sylvestre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25</v>
      </c>
      <c r="B36" s="63">
        <f>86+12</f>
        <v>98</v>
      </c>
      <c r="C36" s="63"/>
      <c r="D36" s="63"/>
      <c r="E36" s="54"/>
      <c r="F36" s="54"/>
      <c r="G36" s="54"/>
      <c r="H36" s="54"/>
      <c r="I36" s="52">
        <f>IFERROR(B36/A36,"")</f>
        <v>3.92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30</v>
      </c>
      <c r="B37" s="63">
        <f>117+12+23</f>
        <v>152</v>
      </c>
      <c r="C37" s="63">
        <v>1</v>
      </c>
      <c r="D37" s="63">
        <f>12+23</f>
        <v>35</v>
      </c>
      <c r="E37" s="54"/>
      <c r="F37" s="54"/>
      <c r="G37" s="54"/>
      <c r="H37" s="54">
        <v>1</v>
      </c>
      <c r="I37" s="56">
        <f t="shared" ref="I37:I55" si="1">IF(A37&lt;&gt;0,(B37-(B36-D36))/(A37-A36),"")</f>
        <v>10.8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35</v>
      </c>
      <c r="B38" s="63">
        <f>143+28</f>
        <v>171</v>
      </c>
      <c r="C38" s="63">
        <v>2</v>
      </c>
      <c r="D38" s="63">
        <v>28</v>
      </c>
      <c r="E38" s="54"/>
      <c r="F38" s="54"/>
      <c r="G38" s="54"/>
      <c r="H38" s="54"/>
      <c r="I38" s="56">
        <f t="shared" si="1"/>
        <v>10.8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40</v>
      </c>
      <c r="B39" s="63">
        <f>170+37</f>
        <v>207</v>
      </c>
      <c r="C39" s="63">
        <v>3</v>
      </c>
      <c r="D39" s="63">
        <v>37</v>
      </c>
      <c r="E39" s="54"/>
      <c r="F39" s="54"/>
      <c r="G39" s="54"/>
      <c r="H39" s="54"/>
      <c r="I39" s="52">
        <f t="shared" si="1"/>
        <v>12.8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50</v>
      </c>
      <c r="B40" s="63">
        <f>221+65</f>
        <v>286</v>
      </c>
      <c r="C40" s="63">
        <v>4</v>
      </c>
      <c r="D40" s="63">
        <v>65</v>
      </c>
      <c r="E40" s="54"/>
      <c r="F40" s="54"/>
      <c r="G40" s="54"/>
      <c r="H40" s="54"/>
      <c r="I40" s="52">
        <f t="shared" si="1"/>
        <v>11.6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60</v>
      </c>
      <c r="B41" s="63">
        <f>269+60</f>
        <v>329</v>
      </c>
      <c r="C41" s="63">
        <v>5</v>
      </c>
      <c r="D41" s="63">
        <v>60</v>
      </c>
      <c r="E41" s="54"/>
      <c r="F41" s="54"/>
      <c r="G41" s="54"/>
      <c r="H41" s="54"/>
      <c r="I41" s="56">
        <f t="shared" si="1"/>
        <v>10.8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70</v>
      </c>
      <c r="B42" s="63">
        <f>312+52</f>
        <v>364</v>
      </c>
      <c r="C42" s="63">
        <v>6</v>
      </c>
      <c r="D42" s="63">
        <v>52</v>
      </c>
      <c r="E42" s="54"/>
      <c r="F42" s="54"/>
      <c r="G42" s="54"/>
      <c r="H42" s="54"/>
      <c r="I42" s="56">
        <f t="shared" si="1"/>
        <v>9.5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80</v>
      </c>
      <c r="B43" s="63">
        <f>352+43</f>
        <v>395</v>
      </c>
      <c r="C43" s="63">
        <v>7</v>
      </c>
      <c r="D43" s="63">
        <f>B43</f>
        <v>395</v>
      </c>
      <c r="E43" s="54"/>
      <c r="F43" s="54"/>
      <c r="G43" s="54"/>
      <c r="H43" s="54"/>
      <c r="I43" s="52">
        <f t="shared" si="1"/>
        <v>8.3000000000000007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Pin laricio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22</v>
      </c>
      <c r="B62" s="63">
        <f>107+16</f>
        <v>123</v>
      </c>
      <c r="C62" s="63"/>
      <c r="D62" s="63"/>
      <c r="E62" s="54"/>
      <c r="F62" s="54"/>
      <c r="G62" s="54"/>
      <c r="H62" s="54"/>
      <c r="I62" s="56">
        <f>IFERROR(B62/A62,"")</f>
        <v>5.5909090909090908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25</v>
      </c>
      <c r="B63" s="63">
        <f>127+16+17</f>
        <v>160</v>
      </c>
      <c r="C63" s="63">
        <v>1</v>
      </c>
      <c r="D63" s="63">
        <f>16+17</f>
        <v>33</v>
      </c>
      <c r="E63" s="54"/>
      <c r="F63" s="54"/>
      <c r="G63" s="54"/>
      <c r="H63" s="54">
        <v>1</v>
      </c>
      <c r="I63" s="52">
        <f>IF(A63&lt;&gt;0,(B63-(B62-D62))/(A63-A62),"")</f>
        <v>12.333333333333334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30</v>
      </c>
      <c r="B64" s="63">
        <f>160+34</f>
        <v>194</v>
      </c>
      <c r="C64" s="63">
        <v>2</v>
      </c>
      <c r="D64" s="63">
        <v>34</v>
      </c>
      <c r="E64" s="54"/>
      <c r="F64" s="54"/>
      <c r="G64" s="54"/>
      <c r="H64" s="54">
        <v>1</v>
      </c>
      <c r="I64" s="52">
        <f>IF(A64&lt;&gt;0,(B64-(B63-D63))/(A64-A63),"")</f>
        <v>13.4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35</v>
      </c>
      <c r="B65" s="63">
        <f>192+41</f>
        <v>233</v>
      </c>
      <c r="C65" s="63">
        <v>3</v>
      </c>
      <c r="D65" s="63">
        <v>41</v>
      </c>
      <c r="E65" s="54"/>
      <c r="F65" s="54"/>
      <c r="G65" s="54"/>
      <c r="H65" s="54"/>
      <c r="I65" s="52">
        <f>IF(A65&lt;&gt;0,(B65-(B64-D64))/(A65-A64),"")</f>
        <v>14.6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40</v>
      </c>
      <c r="B66" s="63">
        <f>223+41</f>
        <v>264</v>
      </c>
      <c r="C66" s="63">
        <v>4</v>
      </c>
      <c r="D66" s="63">
        <v>41</v>
      </c>
      <c r="E66" s="54"/>
      <c r="F66" s="54"/>
      <c r="G66" s="54"/>
      <c r="H66" s="54"/>
      <c r="I66" s="52">
        <f t="shared" ref="I66:I81" si="2">IF(A66&lt;&gt;0,(B66-(B65-D65))/(A66-A65),"")</f>
        <v>14.4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45</v>
      </c>
      <c r="B67" s="63">
        <f>265+53</f>
        <v>318</v>
      </c>
      <c r="C67" s="63">
        <v>5</v>
      </c>
      <c r="D67" s="63">
        <v>53</v>
      </c>
      <c r="E67" s="54"/>
      <c r="F67" s="54"/>
      <c r="G67" s="54"/>
      <c r="H67" s="54"/>
      <c r="I67" s="52">
        <f t="shared" si="2"/>
        <v>19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50</v>
      </c>
      <c r="B68" s="63">
        <f>299+53</f>
        <v>352</v>
      </c>
      <c r="C68" s="63">
        <v>6</v>
      </c>
      <c r="D68" s="63">
        <v>53</v>
      </c>
      <c r="E68" s="54"/>
      <c r="F68" s="54"/>
      <c r="G68" s="54"/>
      <c r="H68" s="54"/>
      <c r="I68" s="52">
        <f t="shared" si="2"/>
        <v>17.399999999999999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58</v>
      </c>
      <c r="B69" s="53">
        <f>362+78</f>
        <v>440</v>
      </c>
      <c r="C69" s="53">
        <v>7</v>
      </c>
      <c r="D69" s="53">
        <v>78</v>
      </c>
      <c r="E69" s="54"/>
      <c r="F69" s="54"/>
      <c r="G69" s="54"/>
      <c r="H69" s="54"/>
      <c r="I69" s="52">
        <f t="shared" si="2"/>
        <v>17.625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66</v>
      </c>
      <c r="B70" s="53">
        <f>430+65</f>
        <v>495</v>
      </c>
      <c r="C70" s="53">
        <v>8</v>
      </c>
      <c r="D70" s="53">
        <v>65</v>
      </c>
      <c r="E70" s="54"/>
      <c r="F70" s="54"/>
      <c r="G70" s="54"/>
      <c r="H70" s="54"/>
      <c r="I70" s="52">
        <f t="shared" si="2"/>
        <v>16.625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74</v>
      </c>
      <c r="B71" s="53">
        <f>496+37</f>
        <v>533</v>
      </c>
      <c r="C71" s="53">
        <v>9</v>
      </c>
      <c r="D71" s="53">
        <v>37</v>
      </c>
      <c r="E71" s="54"/>
      <c r="F71" s="54"/>
      <c r="G71" s="54"/>
      <c r="H71" s="54"/>
      <c r="I71" s="52">
        <f t="shared" si="2"/>
        <v>12.875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82</v>
      </c>
      <c r="B72" s="53">
        <f>541+26</f>
        <v>567</v>
      </c>
      <c r="C72" s="53">
        <v>10</v>
      </c>
      <c r="D72" s="53">
        <f>B72</f>
        <v>567</v>
      </c>
      <c r="E72" s="54"/>
      <c r="F72" s="54"/>
      <c r="G72" s="54"/>
      <c r="H72" s="54"/>
      <c r="I72" s="52">
        <f t="shared" si="2"/>
        <v>8.875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Chêne sessile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20</v>
      </c>
      <c r="B88" s="63">
        <v>42</v>
      </c>
      <c r="C88" s="63"/>
      <c r="D88" s="63"/>
      <c r="E88" s="54"/>
      <c r="F88" s="54"/>
      <c r="G88" s="54"/>
      <c r="H88" s="54"/>
      <c r="I88" s="56">
        <f>IFERROR(B88/A88,"")</f>
        <v>2.1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25</v>
      </c>
      <c r="B89" s="63">
        <f>62+8</f>
        <v>70</v>
      </c>
      <c r="C89" s="63"/>
      <c r="D89" s="63"/>
      <c r="E89" s="54"/>
      <c r="F89" s="54"/>
      <c r="G89" s="54"/>
      <c r="H89" s="54"/>
      <c r="I89" s="56">
        <f t="shared" ref="I89:I107" si="3">IF(A89&lt;&gt;0,(B89-(B88-D88))/(A89-A88),"")</f>
        <v>5.6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30</v>
      </c>
      <c r="B90" s="63">
        <f>76+8+21</f>
        <v>105</v>
      </c>
      <c r="C90" s="63">
        <v>1</v>
      </c>
      <c r="D90" s="63">
        <f>8+21</f>
        <v>29</v>
      </c>
      <c r="E90" s="54"/>
      <c r="F90" s="54"/>
      <c r="G90" s="54"/>
      <c r="H90" s="54">
        <v>1</v>
      </c>
      <c r="I90" s="56">
        <f t="shared" si="3"/>
        <v>7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35</v>
      </c>
      <c r="B91" s="63">
        <f>95+21</f>
        <v>116</v>
      </c>
      <c r="C91" s="63"/>
      <c r="D91" s="63"/>
      <c r="E91" s="54"/>
      <c r="F91" s="54"/>
      <c r="G91" s="54"/>
      <c r="H91" s="54"/>
      <c r="I91" s="56">
        <f t="shared" si="3"/>
        <v>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40</v>
      </c>
      <c r="B92" s="63">
        <f>116+21+21</f>
        <v>158</v>
      </c>
      <c r="C92" s="63">
        <v>2</v>
      </c>
      <c r="D92" s="63">
        <f>21+21</f>
        <v>42</v>
      </c>
      <c r="E92" s="54"/>
      <c r="F92" s="54"/>
      <c r="G92" s="54"/>
      <c r="H92" s="54"/>
      <c r="I92" s="56">
        <f t="shared" si="3"/>
        <v>8.4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45</v>
      </c>
      <c r="B93" s="63">
        <f>137+21</f>
        <v>158</v>
      </c>
      <c r="C93" s="63"/>
      <c r="D93" s="63"/>
      <c r="E93" s="54"/>
      <c r="F93" s="54"/>
      <c r="G93" s="54"/>
      <c r="H93" s="54"/>
      <c r="I93" s="56">
        <f t="shared" si="3"/>
        <v>8.4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50</v>
      </c>
      <c r="B94" s="63">
        <f>157+21+21</f>
        <v>199</v>
      </c>
      <c r="C94" s="63">
        <v>3</v>
      </c>
      <c r="D94" s="63">
        <f>21+21</f>
        <v>42</v>
      </c>
      <c r="E94" s="54"/>
      <c r="F94" s="54"/>
      <c r="G94" s="54"/>
      <c r="H94" s="54"/>
      <c r="I94" s="56">
        <f t="shared" si="3"/>
        <v>8.1999999999999993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53">
        <v>55</v>
      </c>
      <c r="B95" s="63">
        <f>176+21</f>
        <v>197</v>
      </c>
      <c r="C95" s="63"/>
      <c r="D95" s="63"/>
      <c r="E95" s="54"/>
      <c r="F95" s="54"/>
      <c r="G95" s="54"/>
      <c r="H95" s="54"/>
      <c r="I95" s="56">
        <f t="shared" si="3"/>
        <v>8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53">
        <v>60</v>
      </c>
      <c r="B96" s="53">
        <v>235</v>
      </c>
      <c r="C96" s="53">
        <v>4</v>
      </c>
      <c r="D96" s="53">
        <v>42</v>
      </c>
      <c r="E96" s="54"/>
      <c r="F96" s="54"/>
      <c r="G96" s="54"/>
      <c r="H96" s="54"/>
      <c r="I96" s="56">
        <f t="shared" si="3"/>
        <v>7.6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53">
        <v>65</v>
      </c>
      <c r="B97" s="53">
        <v>229</v>
      </c>
      <c r="C97" s="53"/>
      <c r="D97" s="53"/>
      <c r="E97" s="54"/>
      <c r="F97" s="54"/>
      <c r="G97" s="54"/>
      <c r="H97" s="54"/>
      <c r="I97" s="56">
        <f t="shared" si="3"/>
        <v>7.2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53">
        <v>70</v>
      </c>
      <c r="B98" s="53">
        <v>263</v>
      </c>
      <c r="C98" s="53">
        <v>5</v>
      </c>
      <c r="D98" s="53">
        <v>42</v>
      </c>
      <c r="E98" s="54"/>
      <c r="F98" s="54"/>
      <c r="G98" s="54"/>
      <c r="H98" s="54"/>
      <c r="I98" s="56">
        <f t="shared" si="3"/>
        <v>6.8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53">
        <v>75</v>
      </c>
      <c r="B99" s="53">
        <v>252</v>
      </c>
      <c r="C99" s="53"/>
      <c r="D99" s="53"/>
      <c r="E99" s="54"/>
      <c r="F99" s="54"/>
      <c r="G99" s="54"/>
      <c r="H99" s="54"/>
      <c r="I99" s="56">
        <f t="shared" si="3"/>
        <v>6.2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53">
        <v>80</v>
      </c>
      <c r="B100" s="53">
        <v>282</v>
      </c>
      <c r="C100" s="53">
        <v>6</v>
      </c>
      <c r="D100" s="53">
        <v>42</v>
      </c>
      <c r="E100" s="54"/>
      <c r="F100" s="54"/>
      <c r="G100" s="54"/>
      <c r="H100" s="54"/>
      <c r="I100" s="56">
        <f t="shared" si="3"/>
        <v>6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53">
        <v>90</v>
      </c>
      <c r="B101" s="53">
        <v>296</v>
      </c>
      <c r="C101" s="53">
        <v>7</v>
      </c>
      <c r="D101" s="53">
        <v>42</v>
      </c>
      <c r="E101" s="54"/>
      <c r="F101" s="54"/>
      <c r="G101" s="54"/>
      <c r="H101" s="54"/>
      <c r="I101" s="56">
        <f t="shared" si="3"/>
        <v>5.6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53">
        <v>100</v>
      </c>
      <c r="B102" s="53">
        <v>303</v>
      </c>
      <c r="C102" s="53">
        <v>8</v>
      </c>
      <c r="D102" s="53">
        <v>42</v>
      </c>
      <c r="E102" s="54"/>
      <c r="F102" s="54"/>
      <c r="G102" s="54"/>
      <c r="H102" s="54"/>
      <c r="I102" s="56">
        <f t="shared" si="3"/>
        <v>4.9000000000000004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53">
        <v>110</v>
      </c>
      <c r="B103" s="53">
        <v>305</v>
      </c>
      <c r="C103" s="53">
        <v>9</v>
      </c>
      <c r="D103" s="53">
        <v>39</v>
      </c>
      <c r="E103" s="54"/>
      <c r="F103" s="54"/>
      <c r="G103" s="54"/>
      <c r="H103" s="54"/>
      <c r="I103" s="56">
        <f t="shared" si="3"/>
        <v>4.4000000000000004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53">
        <v>120</v>
      </c>
      <c r="B104" s="53">
        <v>303</v>
      </c>
      <c r="C104" s="53">
        <v>10</v>
      </c>
      <c r="D104" s="53">
        <v>35</v>
      </c>
      <c r="E104" s="54"/>
      <c r="F104" s="54"/>
      <c r="G104" s="54"/>
      <c r="H104" s="54"/>
      <c r="I104" s="56">
        <f t="shared" si="3"/>
        <v>3.7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>
        <v>130</v>
      </c>
      <c r="B105" s="53">
        <v>300</v>
      </c>
      <c r="C105" s="53">
        <v>11</v>
      </c>
      <c r="D105" s="53">
        <v>31</v>
      </c>
      <c r="E105" s="54"/>
      <c r="F105" s="54"/>
      <c r="G105" s="54"/>
      <c r="H105" s="54"/>
      <c r="I105" s="56">
        <f t="shared" si="3"/>
        <v>3.2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>
        <v>140</v>
      </c>
      <c r="B106" s="53">
        <v>296</v>
      </c>
      <c r="C106" s="53">
        <v>12</v>
      </c>
      <c r="D106" s="53">
        <v>27</v>
      </c>
      <c r="E106" s="54"/>
      <c r="F106" s="54"/>
      <c r="G106" s="54"/>
      <c r="H106" s="54"/>
      <c r="I106" s="56">
        <f t="shared" si="3"/>
        <v>2.7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>
        <v>150</v>
      </c>
      <c r="B107" s="53">
        <v>293</v>
      </c>
      <c r="C107" s="53">
        <v>13</v>
      </c>
      <c r="D107" s="53">
        <v>293</v>
      </c>
      <c r="E107" s="54"/>
      <c r="F107" s="54"/>
      <c r="G107" s="54"/>
      <c r="H107" s="54"/>
      <c r="I107" s="56">
        <f t="shared" si="3"/>
        <v>2.4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Châtaignier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15</v>
      </c>
      <c r="B114" s="63">
        <f>22.3+15.1</f>
        <v>37.4</v>
      </c>
      <c r="C114" s="53"/>
      <c r="D114" s="63"/>
      <c r="E114" s="54"/>
      <c r="F114" s="54"/>
      <c r="G114" s="54"/>
      <c r="H114" s="54"/>
      <c r="I114" s="56">
        <f>IFERROR(B114/A114,"")</f>
        <v>2.4933333333333332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20</v>
      </c>
      <c r="B115" s="63">
        <f>52+15.1+28</f>
        <v>95.1</v>
      </c>
      <c r="C115" s="53"/>
      <c r="D115" s="63"/>
      <c r="E115" s="54"/>
      <c r="F115" s="54"/>
      <c r="G115" s="54"/>
      <c r="H115" s="54"/>
      <c r="I115" s="56">
        <f t="shared" ref="I115:I133" si="4">IF(A115&lt;&gt;0,(B115-(B114-D114))/(A115-A114),"")</f>
        <v>11.54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25</v>
      </c>
      <c r="B116" s="63">
        <f>86.5+15.1+28+28</f>
        <v>157.6</v>
      </c>
      <c r="C116" s="53">
        <v>1</v>
      </c>
      <c r="D116" s="63">
        <f>15.1+28+28</f>
        <v>71.099999999999994</v>
      </c>
      <c r="E116" s="54"/>
      <c r="F116" s="54"/>
      <c r="G116" s="54"/>
      <c r="H116" s="54">
        <v>1</v>
      </c>
      <c r="I116" s="56">
        <f t="shared" si="4"/>
        <v>12.5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30</v>
      </c>
      <c r="B117" s="63">
        <f>118.5+28</f>
        <v>146.5</v>
      </c>
      <c r="C117" s="53">
        <v>2</v>
      </c>
      <c r="D117" s="63">
        <v>28</v>
      </c>
      <c r="E117" s="54"/>
      <c r="F117" s="54"/>
      <c r="G117" s="54"/>
      <c r="H117" s="54">
        <v>1</v>
      </c>
      <c r="I117" s="56">
        <f t="shared" si="4"/>
        <v>12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35</v>
      </c>
      <c r="B118" s="63">
        <f>144.4+28</f>
        <v>172.4</v>
      </c>
      <c r="C118" s="53"/>
      <c r="D118" s="63"/>
      <c r="E118" s="54"/>
      <c r="F118" s="54"/>
      <c r="G118" s="54"/>
      <c r="H118" s="54"/>
      <c r="I118" s="56">
        <f t="shared" si="4"/>
        <v>10.780000000000001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40</v>
      </c>
      <c r="B119" s="63">
        <f>163.6+28+28</f>
        <v>219.6</v>
      </c>
      <c r="C119" s="53">
        <v>3</v>
      </c>
      <c r="D119" s="63">
        <f>28+28</f>
        <v>56</v>
      </c>
      <c r="E119" s="54"/>
      <c r="F119" s="54"/>
      <c r="G119" s="54"/>
      <c r="H119" s="54"/>
      <c r="I119" s="56">
        <f t="shared" si="4"/>
        <v>9.4399999999999977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>
        <v>45</v>
      </c>
      <c r="B120" s="63">
        <f>182.8+21.8</f>
        <v>204.60000000000002</v>
      </c>
      <c r="C120" s="63"/>
      <c r="D120" s="63"/>
      <c r="E120" s="93"/>
      <c r="F120" s="93"/>
      <c r="G120" s="93"/>
      <c r="H120" s="93"/>
      <c r="I120" s="56">
        <f t="shared" si="4"/>
        <v>8.2000000000000064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>
        <v>50</v>
      </c>
      <c r="B121" s="63">
        <f>201.9+21.8+16.5</f>
        <v>240.20000000000002</v>
      </c>
      <c r="C121" s="63">
        <v>4</v>
      </c>
      <c r="D121" s="63">
        <f>21.8+16.5</f>
        <v>38.299999999999997</v>
      </c>
      <c r="E121" s="93"/>
      <c r="F121" s="93"/>
      <c r="G121" s="93"/>
      <c r="H121" s="93"/>
      <c r="I121" s="56">
        <f t="shared" si="4"/>
        <v>7.1199999999999992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>
        <v>55</v>
      </c>
      <c r="B122" s="63">
        <f>219.1+13.4</f>
        <v>232.5</v>
      </c>
      <c r="C122" s="63"/>
      <c r="D122" s="63"/>
      <c r="E122" s="93"/>
      <c r="F122" s="93"/>
      <c r="G122" s="93"/>
      <c r="H122" s="93"/>
      <c r="I122" s="56">
        <f t="shared" si="4"/>
        <v>6.119999999999993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>
        <v>60</v>
      </c>
      <c r="B123" s="63">
        <f>233.1+13.4+11.8</f>
        <v>258.3</v>
      </c>
      <c r="C123" s="63">
        <v>5</v>
      </c>
      <c r="D123" s="63">
        <f>13.4+11.8</f>
        <v>25.200000000000003</v>
      </c>
      <c r="E123" s="93"/>
      <c r="F123" s="93"/>
      <c r="G123" s="93"/>
      <c r="H123" s="93"/>
      <c r="I123" s="56">
        <f t="shared" si="4"/>
        <v>5.1600000000000019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>
        <v>65</v>
      </c>
      <c r="B124" s="63">
        <f>243.9+10.9</f>
        <v>254.8</v>
      </c>
      <c r="C124" s="63"/>
      <c r="D124" s="63"/>
      <c r="E124" s="93"/>
      <c r="F124" s="93"/>
      <c r="G124" s="93"/>
      <c r="H124" s="93"/>
      <c r="I124" s="56">
        <f t="shared" si="4"/>
        <v>4.3399999999999981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>
        <v>70</v>
      </c>
      <c r="B125" s="63">
        <f>252.7+10.9+10</f>
        <v>273.59999999999997</v>
      </c>
      <c r="C125" s="63">
        <v>6</v>
      </c>
      <c r="D125" s="63">
        <f>10.9+10</f>
        <v>20.9</v>
      </c>
      <c r="E125" s="93"/>
      <c r="F125" s="93"/>
      <c r="G125" s="93"/>
      <c r="H125" s="93"/>
      <c r="I125" s="56">
        <f t="shared" si="4"/>
        <v>3.7599999999999909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>
        <v>75</v>
      </c>
      <c r="B126" s="63">
        <f>260.6+9.1</f>
        <v>269.70000000000005</v>
      </c>
      <c r="C126" s="63"/>
      <c r="D126" s="63"/>
      <c r="E126" s="68"/>
      <c r="F126" s="68"/>
      <c r="G126" s="68"/>
      <c r="H126" s="68"/>
      <c r="I126" s="56">
        <f t="shared" si="4"/>
        <v>3.4000000000000172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>
        <v>80</v>
      </c>
      <c r="B127" s="63">
        <f>267.3+9.1+8.2</f>
        <v>284.60000000000002</v>
      </c>
      <c r="C127" s="63">
        <v>7</v>
      </c>
      <c r="D127" s="63">
        <f>B127</f>
        <v>284.60000000000002</v>
      </c>
      <c r="E127" s="68"/>
      <c r="F127" s="68"/>
      <c r="G127" s="68"/>
      <c r="H127" s="68"/>
      <c r="I127" s="56">
        <f t="shared" si="4"/>
        <v>2.9799999999999955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Normal="100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46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sylvestre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Pin laricio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Chêne sessile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Châtaignier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183.98573418698061</v>
      </c>
      <c r="T3" s="62">
        <f>IF('Données projet'!E9&gt;30,$R$33-$H$33,LOOKUP('Données projet'!$E$9,$A$3:$A$203,R3:R203)-LOOKUP('Données projet'!$E$9,$A$3:$A$203,$H$3:$H$203))</f>
        <v>158.42298722045609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294.57089926309249</v>
      </c>
      <c r="AO3" s="62">
        <f>IF('Données projet'!E10&gt;30,$AM$33-$H$33,LOOKUP('Données projet'!$E$10,$A$3:$A$203,AM3:AM203)-LOOKUP('Données projet'!$E$10,$A$3:$A$203,$H$3:$H$203))</f>
        <v>221.0956883062172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312.29553270286209</v>
      </c>
      <c r="BJ3" s="62">
        <f>IF('Données projet'!E11&gt;30,$BH$33-$H$33,LOOKUP('Données projet'!$E$11,$A$3:$A$203,BH3:BH203)-LOOKUP('Données projet'!$E$11,$A$3:$A$203,$H$3:$H$203))</f>
        <v>175.8423124483154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293.33333333333331</v>
      </c>
      <c r="CD3" s="62">
        <f ca="1">AVERAGE(OFFSET($CC$3,0,0,'Données projet'!$E$12+1,1))-AVERAGE(OFFSET($H$3,0,0,'Données projet'!$E$12+1,1))</f>
        <v>217.14170654868826</v>
      </c>
      <c r="CE3" s="62">
        <f>IF('Données projet'!E12&gt;30,$CC$33-$H$33,LOOKUP('Données projet'!$E$12,$A$3:$A$203,CC3:CC203)-LOOKUP('Données projet'!$E$12,$A$3:$A$203,$H$3:$H$203))</f>
        <v>202.59844364241644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0.49400000000000005</v>
      </c>
      <c r="D4" s="12">
        <f>IFERROR(EXP(-1.0587+0.8836*LN(C4)+0.284),0)</f>
        <v>0.24713212124918574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5.7210198833270489</v>
      </c>
      <c r="H4" s="70">
        <f t="shared" ref="H4:H67" si="1">(B4+E4+F4)*44/12+(C4+D4)*0.475*44/12</f>
        <v>294.62413844450896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3.92</v>
      </c>
      <c r="N4" s="14">
        <f>IF('Données projet'!$A$36&gt;35,N3+M4-V3,IF(A4&lt;'Données projet'!$A$36,$K$205^A4,IF(A4='Données projet'!$A$36,'Données projet'!$B$36,N3+M4-V3)))</f>
        <v>1.201293267214846</v>
      </c>
      <c r="O4" s="14">
        <f>N4*VLOOKUP('Données projet'!$B$9,Paramètres!$A$1:$I$89,3,0)*VLOOKUP('Données projet'!$B$9,Paramètres!$A$1:$I$89,5,0)</f>
        <v>0.68713974884689188</v>
      </c>
      <c r="P4" s="14">
        <f>EXP(-1.0587+0.8836*LN(O4)+0.284)</f>
        <v>0.33079968728607767</v>
      </c>
      <c r="Q4" s="22">
        <f t="shared" ref="Q4:Q34" si="2">(O4+P4)*0.475*44/12</f>
        <v>1.7729111845982548</v>
      </c>
      <c r="R4" s="62">
        <f t="shared" si="0"/>
        <v>295.10624451793154</v>
      </c>
      <c r="S4" s="62">
        <f ca="1">AVERAGE(OFFSET($R$3,0,0,'Données projet'!$E$9+1,1))-AVERAGE(OFFSET($H$3,0,0,'Données projet'!$E$9+1,1))</f>
        <v>183.98573418698061</v>
      </c>
      <c r="T4" s="62">
        <f>$T$3</f>
        <v>158.42298722045609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5.5909090909090908</v>
      </c>
      <c r="AI4" s="14">
        <f>IF('Données projet'!$A$62&gt;35,AI3+AH4-AQ3,IF(A4&lt;'Données projet'!$A$62,$AF$205^A4,IF(A4='Données projet'!$A$62,'Données projet'!$B$62,AI3+AH4-AQ3)))</f>
        <v>1.244502252163008</v>
      </c>
      <c r="AJ4" s="14">
        <f>AI4*VLOOKUP('Données projet'!$B$10,Paramètres!$A$1:$I$89,3,0)*VLOOKUP('Données projet'!$B$10,Paramètres!$A$1:$I$89,5,0)</f>
        <v>0.74421234679347892</v>
      </c>
      <c r="AK4" s="14">
        <f>EXP(-1.0587+0.8836*LN(AJ4)+0.284)</f>
        <v>0.3549632728022305</v>
      </c>
      <c r="AL4" s="22">
        <f t="shared" ref="AL4:AL67" si="4">(AJ4+AK4)*0.475*44/12</f>
        <v>1.9143975374625271</v>
      </c>
      <c r="AM4" s="62">
        <f t="shared" ref="AM4:AM67" si="5">AL4+(AD4+AE4)*44/12</f>
        <v>295.24773087079586</v>
      </c>
      <c r="AN4" s="62">
        <f ca="1">AVERAGE(OFFSET($AM$3,0,0,'Données projet'!$E$10+1,1))-AVERAGE(OFFSET($H$3,0,0,'Données projet'!$E$10+1,1))</f>
        <v>294.57089926309249</v>
      </c>
      <c r="AO4" s="62">
        <f>$AO$3</f>
        <v>221.0956883062172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2.1</v>
      </c>
      <c r="BD4" s="13">
        <f>IF('Données projet'!$A$88&gt;35,BD3+BC4-BL3,IF(A4&lt;'Données projet'!$A$88,$BA$205^A4,IF(A4='Données projet'!$A$88,'Données projet'!$B$88,BD3+BC4-BL3)))</f>
        <v>1.2054868146447177</v>
      </c>
      <c r="BE4" s="14">
        <f>BD4*VLOOKUP('Données projet'!$B$11,Paramètres!$A$1:$I$89,3,0)*VLOOKUP('Données projet'!$B$11,Paramètres!$A$1:$I$89,5,0)</f>
        <v>1.0907244698905405</v>
      </c>
      <c r="BF4" s="14">
        <f>EXP(-1.0587+0.8836*LN(BE4)+0.284)</f>
        <v>0.49759623852608204</v>
      </c>
      <c r="BG4" s="22">
        <f t="shared" ref="BG4:BG67" si="7">(BE4+BF4)*0.475*44/12</f>
        <v>2.7663252338256172</v>
      </c>
      <c r="BH4" s="62">
        <f t="shared" ref="BH4:BH67" si="8">BG4+(AY4+AZ4)*44/12</f>
        <v>296.09965856715894</v>
      </c>
      <c r="BI4" s="62">
        <f ca="1">AVERAGE(OFFSET($BH$3,0,0,'Données projet'!$E$11+1,1))-AVERAGE(OFFSET($H$3,0,0,'Données projet'!$E$11+1,1))</f>
        <v>312.29553270286209</v>
      </c>
      <c r="BJ4" s="62">
        <f>$BJ$3</f>
        <v>175.8423124483154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2.4933333333333332</v>
      </c>
      <c r="BY4" s="13">
        <f>IF('Données projet'!$A$114&gt;35,BY3+BX4-CG3,IF(A4&lt;'Données projet'!$A$114,$BV$205^A4,IF(A4='Données projet'!$A$114,'Données projet'!$B$114,BY3+BX4-CG3)))</f>
        <v>1.2730870686066207</v>
      </c>
      <c r="BZ4" s="14">
        <f>BY4*VLOOKUP('Données projet'!$B$12,Paramètres!$A$1:$I$89,3,0)*VLOOKUP('Données projet'!$B$12,Paramètres!$A$1:$I$89,5,0)</f>
        <v>0.93342743870237421</v>
      </c>
      <c r="CA4" s="14">
        <f>EXP(-1.0587+0.8836*LN(BZ4)+0.284)</f>
        <v>0.43362593613342421</v>
      </c>
      <c r="CB4" s="22">
        <f t="shared" ref="CB4:CB67" si="10">(BZ4+CA4)*0.475*44/12</f>
        <v>2.3809512945056821</v>
      </c>
      <c r="CC4" s="62">
        <f t="shared" ref="CC4:CC67" si="11">CB4+(BT4+BU4)*44/12</f>
        <v>295.71428462783899</v>
      </c>
      <c r="CD4" s="62">
        <f ca="1">AVERAGE(OFFSET($CC$3,0,0,'Données projet'!$E$12+1,1))-AVERAGE(OFFSET($H$3,0,0,'Données projet'!$E$12+1,1))</f>
        <v>217.14170654868826</v>
      </c>
      <c r="CE4" s="62">
        <f>$CE$3</f>
        <v>202.59844364241644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0.9880000000000001</v>
      </c>
      <c r="D5" s="12">
        <f t="shared" ref="D5:D68" si="32">IFERROR(EXP(-1.0587+0.8836*LN(C5)+0.284),0)</f>
        <v>0.45595218483732475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11.146297567165314</v>
      </c>
      <c r="H5" s="70">
        <f t="shared" si="1"/>
        <v>295.84821672192498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3.92</v>
      </c>
      <c r="N5" s="14">
        <f>IF('Données projet'!$A$36&gt;35,N4+M5-V4,IF(A5&lt;'Données projet'!$A$36,$K$205^A5,IF(A5='Données projet'!$A$36,'Données projet'!$B$36,N4+M5-V4)))</f>
        <v>1.4431055138557194</v>
      </c>
      <c r="O5" s="14">
        <f>N5*VLOOKUP('Données projet'!$B$9,Paramètres!$A$1:$I$89,3,0)*VLOOKUP('Données projet'!$B$9,Paramètres!$A$1:$I$89,5,0)</f>
        <v>0.82545635392547156</v>
      </c>
      <c r="P5" s="14">
        <f t="shared" ref="P5:P68" si="33">EXP(-1.0587+0.8836*LN(O5)+0.284)</f>
        <v>0.3889940735408815</v>
      </c>
      <c r="Q5" s="22">
        <f t="shared" si="2"/>
        <v>2.1151678278372312</v>
      </c>
      <c r="R5" s="62">
        <f t="shared" si="0"/>
        <v>295.44850116117055</v>
      </c>
      <c r="S5" s="62">
        <f ca="1">AVERAGE(OFFSET($R$3,0,0,'Données projet'!$E$9+1,1))-AVERAGE(OFFSET($H$3,0,0,'Données projet'!$E$9+1,1))</f>
        <v>183.98573418698061</v>
      </c>
      <c r="T5" s="62">
        <f t="shared" ref="T5:T68" si="34">$T$3</f>
        <v>158.42298722045609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5.5909090909090908</v>
      </c>
      <c r="AI5" s="14">
        <f>IF('Données projet'!$A$62&gt;35,AI4+AH5-AQ4,IF(A5&lt;'Données projet'!$A$62,$AF$205^A5,IF(A5='Données projet'!$A$62,'Données projet'!$B$62,AI4+AH5-AQ4)))</f>
        <v>1.5487858556387992</v>
      </c>
      <c r="AJ5" s="14">
        <f>AI5*VLOOKUP('Données projet'!$B$10,Paramètres!$A$1:$I$89,3,0)*VLOOKUP('Données projet'!$B$10,Paramètres!$A$1:$I$89,5,0)</f>
        <v>0.92617394167200195</v>
      </c>
      <c r="AK5" s="14">
        <f t="shared" ref="AK5:AK68" si="35">EXP(-1.0587+0.8836*LN(AJ5)+0.284)</f>
        <v>0.43064718121421069</v>
      </c>
      <c r="AL5" s="22">
        <f t="shared" si="4"/>
        <v>2.3631301223601535</v>
      </c>
      <c r="AM5" s="62">
        <f t="shared" si="5"/>
        <v>295.69646345569345</v>
      </c>
      <c r="AN5" s="62">
        <f ca="1">AVERAGE(OFFSET($AM$3,0,0,'Données projet'!$E$10+1,1))-AVERAGE(OFFSET($H$3,0,0,'Données projet'!$E$10+1,1))</f>
        <v>294.57089926309249</v>
      </c>
      <c r="AO5" s="62">
        <f t="shared" ref="AO5:AO68" si="36">$AO$3</f>
        <v>221.0956883062172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2.1</v>
      </c>
      <c r="BD5" s="13">
        <f>IF('Données projet'!$A$88&gt;35,BD4+BC5-BL4,IF(A5&lt;'Données projet'!$A$88,$BA$205^A5,IF(A5='Données projet'!$A$88,'Données projet'!$B$88,BD4+BC5-BL4)))</f>
        <v>1.4531984602822681</v>
      </c>
      <c r="BE5" s="14">
        <f>BD5*VLOOKUP('Données projet'!$B$11,Paramètres!$A$1:$I$89,3,0)*VLOOKUP('Données projet'!$B$11,Paramètres!$A$1:$I$89,5,0)</f>
        <v>1.3148539668633961</v>
      </c>
      <c r="BF5" s="14">
        <f t="shared" ref="BF5:BF68" si="37">EXP(-1.0587+0.8836*LN(BE5)+0.284)</f>
        <v>0.58693801963664449</v>
      </c>
      <c r="BG5" s="22">
        <f t="shared" si="7"/>
        <v>3.3122877098209038</v>
      </c>
      <c r="BH5" s="62">
        <f t="shared" si="8"/>
        <v>296.64562104315422</v>
      </c>
      <c r="BI5" s="62">
        <f ca="1">AVERAGE(OFFSET($BH$3,0,0,'Données projet'!$E$11+1,1))-AVERAGE(OFFSET($H$3,0,0,'Données projet'!$E$11+1,1))</f>
        <v>312.29553270286209</v>
      </c>
      <c r="BJ5" s="62">
        <f t="shared" ref="BJ5:BJ68" si="38">$BJ$3</f>
        <v>175.8423124483154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2.4933333333333332</v>
      </c>
      <c r="BY5" s="13">
        <f>IF('Données projet'!$A$114&gt;35,BY4+BX5-CG4,IF(A5&lt;'Données projet'!$A$114,$BV$205^A5,IF(A5='Données projet'!$A$114,'Données projet'!$B$114,BY4+BX5-CG4)))</f>
        <v>1.6207506842533985</v>
      </c>
      <c r="BZ5" s="14">
        <f>BY5*VLOOKUP('Données projet'!$B$12,Paramètres!$A$1:$I$89,3,0)*VLOOKUP('Données projet'!$B$12,Paramètres!$A$1:$I$89,5,0)</f>
        <v>1.1883344016945918</v>
      </c>
      <c r="CA5" s="14">
        <f t="shared" ref="CA5:CA68" si="39">EXP(-1.0587+0.8836*LN(BZ5)+0.284)</f>
        <v>0.5367448345281679</v>
      </c>
      <c r="CB5" s="22">
        <f t="shared" si="10"/>
        <v>3.0045130030879732</v>
      </c>
      <c r="CC5" s="62">
        <f t="shared" si="11"/>
        <v>296.33784633642131</v>
      </c>
      <c r="CD5" s="62">
        <f ca="1">AVERAGE(OFFSET($CC$3,0,0,'Données projet'!$E$12+1,1))-AVERAGE(OFFSET($H$3,0,0,'Données projet'!$E$12+1,1))</f>
        <v>217.14170654868826</v>
      </c>
      <c r="CE5" s="62">
        <f t="shared" ref="CE5:CE68" si="40">$CE$3</f>
        <v>202.59844364241644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1.4820000000000002</v>
      </c>
      <c r="D6" s="12">
        <f t="shared" si="32"/>
        <v>0.65239937694593597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16.476065365898453</v>
      </c>
      <c r="H6" s="70">
        <f t="shared" si="1"/>
        <v>297.05074558151415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3.92</v>
      </c>
      <c r="N6" s="14">
        <f>IF('Données projet'!$A$36&gt;35,N5+M6-V5,IF(A6&lt;'Données projet'!$A$36,$K$205^A6,IF(A6='Données projet'!$A$36,'Données projet'!$B$36,N5+M6-V5)))</f>
        <v>1.7335929376754964</v>
      </c>
      <c r="O6" s="14">
        <f>N6*VLOOKUP('Données projet'!$B$9,Paramètres!$A$1:$I$89,3,0)*VLOOKUP('Données projet'!$B$9,Paramètres!$A$1:$I$89,5,0)</f>
        <v>0.99161516035038388</v>
      </c>
      <c r="P6" s="14">
        <f t="shared" si="33"/>
        <v>0.45742603474431143</v>
      </c>
      <c r="Q6" s="22">
        <f t="shared" si="2"/>
        <v>2.5237467481232607</v>
      </c>
      <c r="R6" s="62">
        <f t="shared" si="0"/>
        <v>295.85708008145656</v>
      </c>
      <c r="S6" s="62">
        <f ca="1">AVERAGE(OFFSET($R$3,0,0,'Données projet'!$E$9+1,1))-AVERAGE(OFFSET($H$3,0,0,'Données projet'!$E$9+1,1))</f>
        <v>183.98573418698061</v>
      </c>
      <c r="T6" s="62">
        <f t="shared" si="34"/>
        <v>158.42298722045609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5.5909090909090908</v>
      </c>
      <c r="AI6" s="14">
        <f>IF('Données projet'!$A$62&gt;35,AI5+AH6-AQ5,IF(A6&lt;'Données projet'!$A$62,$AF$205^A6,IF(A6='Données projet'!$A$62,'Données projet'!$B$62,AI5+AH6-AQ5)))</f>
        <v>1.927467485460697</v>
      </c>
      <c r="AJ6" s="14">
        <f>AI6*VLOOKUP('Données projet'!$B$10,Paramètres!$A$1:$I$89,3,0)*VLOOKUP('Données projet'!$B$10,Paramètres!$A$1:$I$89,5,0)</f>
        <v>1.152625556305497</v>
      </c>
      <c r="AK6" s="14">
        <f t="shared" si="35"/>
        <v>0.52246812247269758</v>
      </c>
      <c r="AL6" s="22">
        <f t="shared" si="4"/>
        <v>2.9174548238720219</v>
      </c>
      <c r="AM6" s="62">
        <f t="shared" si="5"/>
        <v>296.25078815720536</v>
      </c>
      <c r="AN6" s="62">
        <f ca="1">AVERAGE(OFFSET($AM$3,0,0,'Données projet'!$E$10+1,1))-AVERAGE(OFFSET($H$3,0,0,'Données projet'!$E$10+1,1))</f>
        <v>294.57089926309249</v>
      </c>
      <c r="AO6" s="62">
        <f t="shared" si="36"/>
        <v>221.0956883062172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2.1</v>
      </c>
      <c r="BD6" s="13">
        <f>IF('Données projet'!$A$88&gt;35,BD5+BC6-BL5,IF(A6&lt;'Données projet'!$A$88,$BA$205^A6,IF(A6='Données projet'!$A$88,'Données projet'!$B$88,BD5+BC6-BL5)))</f>
        <v>1.7518115829322798</v>
      </c>
      <c r="BE6" s="14">
        <f>BD6*VLOOKUP('Données projet'!$B$11,Paramètres!$A$1:$I$89,3,0)*VLOOKUP('Données projet'!$B$11,Paramètres!$A$1:$I$89,5,0)</f>
        <v>1.5850391202371266</v>
      </c>
      <c r="BF6" s="14">
        <f t="shared" si="37"/>
        <v>0.69232082604846479</v>
      </c>
      <c r="BG6" s="22">
        <f t="shared" si="7"/>
        <v>3.966401906447405</v>
      </c>
      <c r="BH6" s="62">
        <f t="shared" si="8"/>
        <v>297.29973523978072</v>
      </c>
      <c r="BI6" s="62">
        <f ca="1">AVERAGE(OFFSET($BH$3,0,0,'Données projet'!$E$11+1,1))-AVERAGE(OFFSET($H$3,0,0,'Données projet'!$E$11+1,1))</f>
        <v>312.29553270286209</v>
      </c>
      <c r="BJ6" s="62">
        <f t="shared" si="38"/>
        <v>175.8423124483154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2.4933333333333332</v>
      </c>
      <c r="BY6" s="13">
        <f>IF('Données projet'!$A$114&gt;35,BY5+BX6-CG5,IF(A6&lt;'Données projet'!$A$114,$BV$205^A6,IF(A6='Données projet'!$A$114,'Données projet'!$B$114,BY5+BX6-CG5)))</f>
        <v>2.0633567375583337</v>
      </c>
      <c r="BZ6" s="14">
        <f>BY6*VLOOKUP('Données projet'!$B$12,Paramètres!$A$1:$I$89,3,0)*VLOOKUP('Données projet'!$B$12,Paramètres!$A$1:$I$89,5,0)</f>
        <v>1.5128531599777704</v>
      </c>
      <c r="CA6" s="14">
        <f t="shared" si="39"/>
        <v>0.66438603733339674</v>
      </c>
      <c r="CB6" s="22">
        <f t="shared" si="10"/>
        <v>3.7920249353169493</v>
      </c>
      <c r="CC6" s="62">
        <f t="shared" si="11"/>
        <v>297.12535826865025</v>
      </c>
      <c r="CD6" s="62">
        <f ca="1">AVERAGE(OFFSET($CC$3,0,0,'Données projet'!$E$12+1,1))-AVERAGE(OFFSET($H$3,0,0,'Données projet'!$E$12+1,1))</f>
        <v>217.14170654868826</v>
      </c>
      <c r="CE6" s="62">
        <f t="shared" si="40"/>
        <v>202.59844364241644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1.9760000000000002</v>
      </c>
      <c r="D7" s="12">
        <f t="shared" si="32"/>
        <v>0.84121964318960396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21.746958649182915</v>
      </c>
      <c r="H7" s="70">
        <f t="shared" si="1"/>
        <v>298.2399908785552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3.92</v>
      </c>
      <c r="N7" s="14">
        <f>IF('Données projet'!$A$36&gt;35,N6+M7-V6,IF(A7&lt;'Données projet'!$A$36,$K$205^A7,IF(A7='Données projet'!$A$36,'Données projet'!$B$36,N6+M7-V6)))</f>
        <v>2.08255352412078</v>
      </c>
      <c r="O7" s="14">
        <f>N7*VLOOKUP('Données projet'!$B$9,Paramètres!$A$1:$I$89,3,0)*VLOOKUP('Données projet'!$B$9,Paramètres!$A$1:$I$89,5,0)</f>
        <v>1.1912206157970862</v>
      </c>
      <c r="P7" s="14">
        <f t="shared" si="33"/>
        <v>0.53789656833914212</v>
      </c>
      <c r="Q7" s="22">
        <f t="shared" si="2"/>
        <v>3.0115457623705972</v>
      </c>
      <c r="R7" s="62">
        <f t="shared" si="0"/>
        <v>296.3448790957039</v>
      </c>
      <c r="S7" s="62">
        <f ca="1">AVERAGE(OFFSET($R$3,0,0,'Données projet'!$E$9+1,1))-AVERAGE(OFFSET($H$3,0,0,'Données projet'!$E$9+1,1))</f>
        <v>183.98573418698061</v>
      </c>
      <c r="T7" s="62">
        <f t="shared" si="34"/>
        <v>158.42298722045609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5.5909090909090908</v>
      </c>
      <c r="AI7" s="14">
        <f>IF('Données projet'!$A$62&gt;35,AI6+AH7-AQ6,IF(A7&lt;'Données projet'!$A$62,$AF$205^A7,IF(A7='Données projet'!$A$62,'Données projet'!$B$62,AI6+AH7-AQ6)))</f>
        <v>2.3987376266268075</v>
      </c>
      <c r="AJ7" s="14">
        <f>AI7*VLOOKUP('Données projet'!$B$10,Paramètres!$A$1:$I$89,3,0)*VLOOKUP('Données projet'!$B$10,Paramètres!$A$1:$I$89,5,0)</f>
        <v>1.4344451007228309</v>
      </c>
      <c r="AK7" s="14">
        <f t="shared" si="35"/>
        <v>0.63386677286612625</v>
      </c>
      <c r="AL7" s="22">
        <f t="shared" si="4"/>
        <v>3.6023098465007668</v>
      </c>
      <c r="AM7" s="62">
        <f t="shared" si="5"/>
        <v>296.93564317983407</v>
      </c>
      <c r="AN7" s="62">
        <f ca="1">AVERAGE(OFFSET($AM$3,0,0,'Données projet'!$E$10+1,1))-AVERAGE(OFFSET($H$3,0,0,'Données projet'!$E$10+1,1))</f>
        <v>294.57089926309249</v>
      </c>
      <c r="AO7" s="62">
        <f t="shared" si="36"/>
        <v>221.0956883062172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2.1</v>
      </c>
      <c r="BD7" s="13">
        <f>IF('Données projet'!$A$88&gt;35,BD6+BC7-BL6,IF(A7&lt;'Données projet'!$A$88,$BA$205^A7,IF(A7='Données projet'!$A$88,'Données projet'!$B$88,BD6+BC7-BL6)))</f>
        <v>2.1117857649667546</v>
      </c>
      <c r="BE7" s="14">
        <f>BD7*VLOOKUP('Données projet'!$B$11,Paramètres!$A$1:$I$89,3,0)*VLOOKUP('Données projet'!$B$11,Paramètres!$A$1:$I$89,5,0)</f>
        <v>1.9107437601419195</v>
      </c>
      <c r="BF7" s="14">
        <f t="shared" si="37"/>
        <v>0.81662477151702284</v>
      </c>
      <c r="BG7" s="22">
        <f t="shared" si="7"/>
        <v>4.7501668593059909</v>
      </c>
      <c r="BH7" s="62">
        <f t="shared" si="8"/>
        <v>298.08350019263929</v>
      </c>
      <c r="BI7" s="62">
        <f ca="1">AVERAGE(OFFSET($BH$3,0,0,'Données projet'!$E$11+1,1))-AVERAGE(OFFSET($H$3,0,0,'Données projet'!$E$11+1,1))</f>
        <v>312.29553270286209</v>
      </c>
      <c r="BJ7" s="62">
        <f t="shared" si="38"/>
        <v>175.8423124483154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2.4933333333333332</v>
      </c>
      <c r="BY7" s="13">
        <f>IF('Données projet'!$A$114&gt;35,BY6+BX7-CG6,IF(A7&lt;'Données projet'!$A$114,$BV$205^A7,IF(A7='Données projet'!$A$114,'Données projet'!$B$114,BY6+BX7-CG6)))</f>
        <v>2.6268327805078595</v>
      </c>
      <c r="BZ7" s="14">
        <f>BY7*VLOOKUP('Données projet'!$B$12,Paramètres!$A$1:$I$89,3,0)*VLOOKUP('Données projet'!$B$12,Paramètres!$A$1:$I$89,5,0)</f>
        <v>1.9259937946683627</v>
      </c>
      <c r="CA7" s="14">
        <f t="shared" si="39"/>
        <v>0.82238109844429064</v>
      </c>
      <c r="CB7" s="22">
        <f t="shared" si="10"/>
        <v>4.7867529388378705</v>
      </c>
      <c r="CC7" s="62">
        <f t="shared" si="11"/>
        <v>298.12008627217119</v>
      </c>
      <c r="CD7" s="62">
        <f ca="1">AVERAGE(OFFSET($CC$3,0,0,'Données projet'!$E$12+1,1))-AVERAGE(OFFSET($H$3,0,0,'Données projet'!$E$12+1,1))</f>
        <v>217.14170654868826</v>
      </c>
      <c r="CE7" s="62">
        <f t="shared" si="40"/>
        <v>202.59844364241644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2.4700000000000002</v>
      </c>
      <c r="D8" s="12">
        <f t="shared" si="32"/>
        <v>1.0245640017032431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26.975581767533807</v>
      </c>
      <c r="H8" s="70">
        <f t="shared" si="1"/>
        <v>299.41969896963315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3.92</v>
      </c>
      <c r="N8" s="14">
        <f>IF('Données projet'!$A$36&gt;35,N7+M8-V7,IF(A8&lt;'Données projet'!$A$36,$K$205^A8,IF(A8='Données projet'!$A$36,'Données projet'!$B$36,N7+M8-V7)))</f>
        <v>2.5017575271408434</v>
      </c>
      <c r="O8" s="14">
        <f>N8*VLOOKUP('Données projet'!$B$9,Paramètres!$A$1:$I$89,3,0)*VLOOKUP('Données projet'!$B$9,Paramètres!$A$1:$I$89,5,0)</f>
        <v>1.4310053055245626</v>
      </c>
      <c r="P8" s="14">
        <f t="shared" si="33"/>
        <v>0.63252350381139633</v>
      </c>
      <c r="Q8" s="22">
        <f t="shared" si="2"/>
        <v>3.593979342926795</v>
      </c>
      <c r="R8" s="62">
        <f t="shared" si="0"/>
        <v>296.9273126762601</v>
      </c>
      <c r="S8" s="62">
        <f ca="1">AVERAGE(OFFSET($R$3,0,0,'Données projet'!$E$9+1,1))-AVERAGE(OFFSET($H$3,0,0,'Données projet'!$E$9+1,1))</f>
        <v>183.98573418698061</v>
      </c>
      <c r="T8" s="62">
        <f t="shared" si="34"/>
        <v>158.42298722045609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5.5909090909090908</v>
      </c>
      <c r="AI8" s="14">
        <f>IF('Données projet'!$A$62&gt;35,AI7+AH8-AQ7,IF(A8&lt;'Données projet'!$A$62,$AF$205^A8,IF(A8='Données projet'!$A$62,'Données projet'!$B$62,AI7+AH8-AQ7)))</f>
        <v>2.9852343786852105</v>
      </c>
      <c r="AJ8" s="14">
        <f>AI8*VLOOKUP('Données projet'!$B$10,Paramètres!$A$1:$I$89,3,0)*VLOOKUP('Données projet'!$B$10,Paramètres!$A$1:$I$89,5,0)</f>
        <v>1.785170158453756</v>
      </c>
      <c r="AK8" s="14">
        <f t="shared" si="35"/>
        <v>0.7690174164926461</v>
      </c>
      <c r="AL8" s="22">
        <f t="shared" si="4"/>
        <v>4.4485433596983173</v>
      </c>
      <c r="AM8" s="62">
        <f t="shared" si="5"/>
        <v>297.78187669303162</v>
      </c>
      <c r="AN8" s="62">
        <f ca="1">AVERAGE(OFFSET($AM$3,0,0,'Données projet'!$E$10+1,1))-AVERAGE(OFFSET($H$3,0,0,'Données projet'!$E$10+1,1))</f>
        <v>294.57089926309249</v>
      </c>
      <c r="AO8" s="62">
        <f t="shared" si="36"/>
        <v>221.0956883062172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2.1</v>
      </c>
      <c r="BD8" s="13">
        <f>IF('Données projet'!$A$88&gt;35,BD7+BC8-BL7,IF(A8&lt;'Données projet'!$A$88,$BA$205^A8,IF(A8='Données projet'!$A$88,'Données projet'!$B$88,BD7+BC8-BL7)))</f>
        <v>2.5457298950218314</v>
      </c>
      <c r="BE8" s="14">
        <f>BD8*VLOOKUP('Données projet'!$B$11,Paramètres!$A$1:$I$89,3,0)*VLOOKUP('Données projet'!$B$11,Paramètres!$A$1:$I$89,5,0)</f>
        <v>2.3033764090157529</v>
      </c>
      <c r="BF8" s="14">
        <f t="shared" si="37"/>
        <v>0.96324708482559218</v>
      </c>
      <c r="BG8" s="22">
        <f t="shared" si="7"/>
        <v>5.6893692517736758</v>
      </c>
      <c r="BH8" s="62">
        <f t="shared" si="8"/>
        <v>299.02270258510697</v>
      </c>
      <c r="BI8" s="62">
        <f ca="1">AVERAGE(OFFSET($BH$3,0,0,'Données projet'!$E$11+1,1))-AVERAGE(OFFSET($H$3,0,0,'Données projet'!$E$11+1,1))</f>
        <v>312.29553270286209</v>
      </c>
      <c r="BJ8" s="62">
        <f t="shared" si="38"/>
        <v>175.8423124483154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2.4933333333333332</v>
      </c>
      <c r="BY8" s="13">
        <f>IF('Données projet'!$A$114&gt;35,BY7+BX8-CG7,IF(A8&lt;'Données projet'!$A$114,$BV$205^A8,IF(A8='Données projet'!$A$114,'Données projet'!$B$114,BY7+BX8-CG7)))</f>
        <v>3.3441868442565297</v>
      </c>
      <c r="BZ8" s="14">
        <f>BY8*VLOOKUP('Données projet'!$B$12,Paramètres!$A$1:$I$89,3,0)*VLOOKUP('Données projet'!$B$12,Paramètres!$A$1:$I$89,5,0)</f>
        <v>2.4519577942088877</v>
      </c>
      <c r="CA8" s="14">
        <f t="shared" si="39"/>
        <v>1.017948350920953</v>
      </c>
      <c r="CB8" s="22">
        <f t="shared" si="10"/>
        <v>6.0434198694344721</v>
      </c>
      <c r="CC8" s="62">
        <f t="shared" si="11"/>
        <v>299.37675320276776</v>
      </c>
      <c r="CD8" s="62">
        <f ca="1">AVERAGE(OFFSET($CC$3,0,0,'Données projet'!$E$12+1,1))-AVERAGE(OFFSET($H$3,0,0,'Données projet'!$E$12+1,1))</f>
        <v>217.14170654868826</v>
      </c>
      <c r="CE8" s="62">
        <f t="shared" si="40"/>
        <v>202.59844364241644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2.9640000000000004</v>
      </c>
      <c r="D9" s="12">
        <f t="shared" si="32"/>
        <v>1.2036594830385248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32.17140653573599</v>
      </c>
      <c r="H9" s="70">
        <f t="shared" si="1"/>
        <v>300.59200693295872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3.92</v>
      </c>
      <c r="N9" s="14">
        <f>IF('Données projet'!$A$36&gt;35,N8+M9-V8,IF(A9&lt;'Données projet'!$A$36,$K$205^A9,IF(A9='Données projet'!$A$36,'Données projet'!$B$36,N8+M9-V8)))</f>
        <v>3.0053444735583574</v>
      </c>
      <c r="O9" s="14">
        <f>N9*VLOOKUP('Données projet'!$B$9,Paramètres!$A$1:$I$89,3,0)*VLOOKUP('Données projet'!$B$9,Paramètres!$A$1:$I$89,5,0)</f>
        <v>1.7190570388753805</v>
      </c>
      <c r="P9" s="14">
        <f t="shared" si="33"/>
        <v>0.74379723988421598</v>
      </c>
      <c r="Q9" s="22">
        <f t="shared" si="2"/>
        <v>4.2894712021729635</v>
      </c>
      <c r="R9" s="62">
        <f t="shared" si="0"/>
        <v>297.6228045355063</v>
      </c>
      <c r="S9" s="62">
        <f ca="1">AVERAGE(OFFSET($R$3,0,0,'Données projet'!$E$9+1,1))-AVERAGE(OFFSET($H$3,0,0,'Données projet'!$E$9+1,1))</f>
        <v>183.98573418698061</v>
      </c>
      <c r="T9" s="62">
        <f t="shared" si="34"/>
        <v>158.42298722045609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5.5909090909090908</v>
      </c>
      <c r="AI9" s="14">
        <f>IF('Données projet'!$A$62&gt;35,AI8+AH9-AQ8,IF(A9&lt;'Données projet'!$A$62,$AF$205^A9,IF(A9='Données projet'!$A$62,'Données projet'!$B$62,AI8+AH9-AQ8)))</f>
        <v>3.7151309075081826</v>
      </c>
      <c r="AJ9" s="14">
        <f>AI9*VLOOKUP('Données projet'!$B$10,Paramètres!$A$1:$I$89,3,0)*VLOOKUP('Données projet'!$B$10,Paramètres!$A$1:$I$89,5,0)</f>
        <v>2.2216482826898933</v>
      </c>
      <c r="AK9" s="14">
        <f t="shared" si="35"/>
        <v>0.93298436230530435</v>
      </c>
      <c r="AL9" s="22">
        <f t="shared" si="4"/>
        <v>5.4943185233666361</v>
      </c>
      <c r="AM9" s="62">
        <f t="shared" si="5"/>
        <v>298.82765185669996</v>
      </c>
      <c r="AN9" s="62">
        <f ca="1">AVERAGE(OFFSET($AM$3,0,0,'Données projet'!$E$10+1,1))-AVERAGE(OFFSET($H$3,0,0,'Données projet'!$E$10+1,1))</f>
        <v>294.57089926309249</v>
      </c>
      <c r="AO9" s="62">
        <f t="shared" si="36"/>
        <v>221.0956883062172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2.1</v>
      </c>
      <c r="BD9" s="13">
        <f>IF('Données projet'!$A$88&gt;35,BD8+BC9-BL8,IF(A9&lt;'Données projet'!$A$88,$BA$205^A9,IF(A9='Données projet'!$A$88,'Données projet'!$B$88,BD8+BC9-BL8)))</f>
        <v>3.0688438220956993</v>
      </c>
      <c r="BE9" s="14">
        <f>BD9*VLOOKUP('Données projet'!$B$11,Paramètres!$A$1:$I$89,3,0)*VLOOKUP('Données projet'!$B$11,Paramètres!$A$1:$I$89,5,0)</f>
        <v>2.7766898902321886</v>
      </c>
      <c r="BF9" s="14">
        <f t="shared" si="37"/>
        <v>1.1361949561012803</v>
      </c>
      <c r="BG9" s="22">
        <f t="shared" si="7"/>
        <v>6.8149411073641248</v>
      </c>
      <c r="BH9" s="62">
        <f t="shared" si="8"/>
        <v>300.14827444069743</v>
      </c>
      <c r="BI9" s="62">
        <f ca="1">AVERAGE(OFFSET($BH$3,0,0,'Données projet'!$E$11+1,1))-AVERAGE(OFFSET($H$3,0,0,'Données projet'!$E$11+1,1))</f>
        <v>312.29553270286209</v>
      </c>
      <c r="BJ9" s="62">
        <f t="shared" si="38"/>
        <v>175.8423124483154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2.4933333333333332</v>
      </c>
      <c r="BY9" s="13">
        <f>IF('Données projet'!$A$114&gt;35,BY8+BX9-CG8,IF(A9&lt;'Données projet'!$A$114,$BV$205^A9,IF(A9='Données projet'!$A$114,'Données projet'!$B$114,BY8+BX9-CG8)))</f>
        <v>4.2574410264273705</v>
      </c>
      <c r="BZ9" s="14">
        <f>BY9*VLOOKUP('Données projet'!$B$12,Paramètres!$A$1:$I$89,3,0)*VLOOKUP('Données projet'!$B$12,Paramètres!$A$1:$I$89,5,0)</f>
        <v>3.1215557605765478</v>
      </c>
      <c r="CA9" s="14">
        <f t="shared" si="39"/>
        <v>1.2600226915512978</v>
      </c>
      <c r="CB9" s="22">
        <f t="shared" si="10"/>
        <v>7.6312491374559963</v>
      </c>
      <c r="CC9" s="62">
        <f t="shared" si="11"/>
        <v>300.96458247078931</v>
      </c>
      <c r="CD9" s="62">
        <f ca="1">AVERAGE(OFFSET($CC$3,0,0,'Données projet'!$E$12+1,1))-AVERAGE(OFFSET($H$3,0,0,'Données projet'!$E$12+1,1))</f>
        <v>217.14170654868826</v>
      </c>
      <c r="CE9" s="62">
        <f t="shared" si="40"/>
        <v>202.59844364241644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3.4580000000000006</v>
      </c>
      <c r="D10" s="12">
        <f t="shared" si="32"/>
        <v>1.3792971063482828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37.340539066548153</v>
      </c>
      <c r="H10" s="70">
        <f t="shared" si="1"/>
        <v>301.75829246022323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3.92</v>
      </c>
      <c r="N10" s="14">
        <f>IF('Données projet'!$A$36&gt;35,N9+M10-V9,IF(A10&lt;'Données projet'!$A$36,$K$205^A10,IF(A10='Données projet'!$A$36,'Données projet'!$B$36,N9+M10-V9)))</f>
        <v>3.6103000817470008</v>
      </c>
      <c r="O10" s="14">
        <f>N10*VLOOKUP('Données projet'!$B$9,Paramètres!$A$1:$I$89,3,0)*VLOOKUP('Données projet'!$B$9,Paramètres!$A$1:$I$89,5,0)</f>
        <v>2.0650916467592846</v>
      </c>
      <c r="P10" s="14">
        <f t="shared" si="33"/>
        <v>0.87464628701661573</v>
      </c>
      <c r="Q10" s="22">
        <f t="shared" si="2"/>
        <v>5.1200435679930258</v>
      </c>
      <c r="R10" s="62">
        <f t="shared" si="0"/>
        <v>298.45337690132635</v>
      </c>
      <c r="S10" s="62">
        <f ca="1">AVERAGE(OFFSET($R$3,0,0,'Données projet'!$E$9+1,1))-AVERAGE(OFFSET($H$3,0,0,'Données projet'!$E$9+1,1))</f>
        <v>183.98573418698061</v>
      </c>
      <c r="T10" s="62">
        <f t="shared" si="34"/>
        <v>158.42298722045609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5.5909090909090908</v>
      </c>
      <c r="AI10" s="14">
        <f>IF('Données projet'!$A$62&gt;35,AI9+AH10-AQ9,IF(A10&lt;'Données projet'!$A$62,$AF$205^A10,IF(A10='Données projet'!$A$62,'Données projet'!$B$62,AI9+AH10-AQ9)))</f>
        <v>4.6234887814743333</v>
      </c>
      <c r="AJ10" s="14">
        <f>AI10*VLOOKUP('Données projet'!$B$10,Paramètres!$A$1:$I$89,3,0)*VLOOKUP('Données projet'!$B$10,Paramètres!$A$1:$I$89,5,0)</f>
        <v>2.7648462913216516</v>
      </c>
      <c r="AK10" s="14">
        <f t="shared" si="35"/>
        <v>1.1319117118000401</v>
      </c>
      <c r="AL10" s="22">
        <f t="shared" si="4"/>
        <v>6.7868535221036126</v>
      </c>
      <c r="AM10" s="62">
        <f t="shared" si="5"/>
        <v>300.12018685543694</v>
      </c>
      <c r="AN10" s="62">
        <f ca="1">AVERAGE(OFFSET($AM$3,0,0,'Données projet'!$E$10+1,1))-AVERAGE(OFFSET($H$3,0,0,'Données projet'!$E$10+1,1))</f>
        <v>294.57089926309249</v>
      </c>
      <c r="AO10" s="62">
        <f t="shared" si="36"/>
        <v>221.0956883062172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2.1</v>
      </c>
      <c r="BD10" s="13">
        <f>IF('Données projet'!$A$88&gt;35,BD9+BC10-BL9,IF(A10&lt;'Données projet'!$A$88,$BA$205^A10,IF(A10='Données projet'!$A$88,'Données projet'!$B$88,BD9+BC10-BL9)))</f>
        <v>3.6994507637402658</v>
      </c>
      <c r="BE10" s="14">
        <f>BD10*VLOOKUP('Données projet'!$B$11,Paramètres!$A$1:$I$89,3,0)*VLOOKUP('Données projet'!$B$11,Paramètres!$A$1:$I$89,5,0)</f>
        <v>3.3472630510321921</v>
      </c>
      <c r="BF10" s="14">
        <f t="shared" si="37"/>
        <v>1.34019505338418</v>
      </c>
      <c r="BG10" s="22">
        <f t="shared" si="7"/>
        <v>8.1639895318585136</v>
      </c>
      <c r="BH10" s="62">
        <f t="shared" si="8"/>
        <v>301.49732286519185</v>
      </c>
      <c r="BI10" s="62">
        <f ca="1">AVERAGE(OFFSET($BH$3,0,0,'Données projet'!$E$11+1,1))-AVERAGE(OFFSET($H$3,0,0,'Données projet'!$E$11+1,1))</f>
        <v>312.29553270286209</v>
      </c>
      <c r="BJ10" s="62">
        <f t="shared" si="38"/>
        <v>175.8423124483154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2.4933333333333332</v>
      </c>
      <c r="BY10" s="13">
        <f>IF('Données projet'!$A$114&gt;35,BY9+BX10-CG9,IF(A10&lt;'Données projet'!$A$114,$BV$205^A10,IF(A10='Données projet'!$A$114,'Données projet'!$B$114,BY9+BX10-CG9)))</f>
        <v>5.4200931160999835</v>
      </c>
      <c r="BZ10" s="14">
        <f>BY10*VLOOKUP('Données projet'!$B$12,Paramètres!$A$1:$I$89,3,0)*VLOOKUP('Données projet'!$B$12,Paramètres!$A$1:$I$89,5,0)</f>
        <v>3.974012272724508</v>
      </c>
      <c r="CA10" s="14">
        <f t="shared" si="39"/>
        <v>1.5596637901989818</v>
      </c>
      <c r="CB10" s="22">
        <f t="shared" si="10"/>
        <v>9.6378191429250784</v>
      </c>
      <c r="CC10" s="62">
        <f t="shared" si="11"/>
        <v>302.9711524762584</v>
      </c>
      <c r="CD10" s="62">
        <f ca="1">AVERAGE(OFFSET($CC$3,0,0,'Données projet'!$E$12+1,1))-AVERAGE(OFFSET($H$3,0,0,'Données projet'!$E$12+1,1))</f>
        <v>217.14170654868826</v>
      </c>
      <c r="CE10" s="62">
        <f t="shared" si="40"/>
        <v>202.59844364241644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3.9520000000000008</v>
      </c>
      <c r="D11" s="12">
        <f t="shared" si="32"/>
        <v>1.5520278477018838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42.48723250857595</v>
      </c>
      <c r="H11" s="70">
        <f t="shared" si="1"/>
        <v>302.91951516808075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3.92</v>
      </c>
      <c r="N11" s="14">
        <f>IF('Données projet'!$A$36&gt;35,N10+M11-V10,IF(A11&lt;'Données projet'!$A$36,$K$205^A11,IF(A11='Données projet'!$A$36,'Données projet'!$B$36,N10+M11-V10)))</f>
        <v>4.33702918082788</v>
      </c>
      <c r="O11" s="14">
        <f>N11*VLOOKUP('Données projet'!$B$9,Paramètres!$A$1:$I$89,3,0)*VLOOKUP('Données projet'!$B$9,Paramètres!$A$1:$I$89,5,0)</f>
        <v>2.4807806914335475</v>
      </c>
      <c r="P11" s="14">
        <f t="shared" si="33"/>
        <v>1.0285143401594736</v>
      </c>
      <c r="Q11" s="22">
        <f t="shared" si="2"/>
        <v>6.1120221800245114</v>
      </c>
      <c r="R11" s="62">
        <f t="shared" si="0"/>
        <v>299.44535551335781</v>
      </c>
      <c r="S11" s="62">
        <f ca="1">AVERAGE(OFFSET($R$3,0,0,'Données projet'!$E$9+1,1))-AVERAGE(OFFSET($H$3,0,0,'Données projet'!$E$9+1,1))</f>
        <v>183.98573418698061</v>
      </c>
      <c r="T11" s="62">
        <f t="shared" si="34"/>
        <v>158.42298722045609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5.5909090909090908</v>
      </c>
      <c r="AI11" s="14">
        <f>IF('Données projet'!$A$62&gt;35,AI10+AH11-AQ10,IF(A11&lt;'Données projet'!$A$62,$AF$205^A11,IF(A11='Données projet'!$A$62,'Données projet'!$B$62,AI10+AH11-AQ10)))</f>
        <v>5.7539422013952093</v>
      </c>
      <c r="AJ11" s="14">
        <f>AI11*VLOOKUP('Données projet'!$B$10,Paramètres!$A$1:$I$89,3,0)*VLOOKUP('Données projet'!$B$10,Paramètres!$A$1:$I$89,5,0)</f>
        <v>3.4408574364343356</v>
      </c>
      <c r="AK11" s="14">
        <f t="shared" si="35"/>
        <v>1.3732535882427113</v>
      </c>
      <c r="AL11" s="22">
        <f t="shared" si="4"/>
        <v>8.3845767013125236</v>
      </c>
      <c r="AM11" s="62">
        <f t="shared" si="5"/>
        <v>301.71791003464585</v>
      </c>
      <c r="AN11" s="62">
        <f ca="1">AVERAGE(OFFSET($AM$3,0,0,'Données projet'!$E$10+1,1))-AVERAGE(OFFSET($H$3,0,0,'Données projet'!$E$10+1,1))</f>
        <v>294.57089926309249</v>
      </c>
      <c r="AO11" s="62">
        <f t="shared" si="36"/>
        <v>221.0956883062172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2.1</v>
      </c>
      <c r="BD11" s="13">
        <f>IF('Données projet'!$A$88&gt;35,BD10+BC11-BL10,IF(A11&lt;'Données projet'!$A$88,$BA$205^A11,IF(A11='Données projet'!$A$88,'Données projet'!$B$88,BD10+BC11-BL10)))</f>
        <v>4.4596391171162209</v>
      </c>
      <c r="BE11" s="14">
        <f>BD11*VLOOKUP('Données projet'!$B$11,Paramètres!$A$1:$I$89,3,0)*VLOOKUP('Données projet'!$B$11,Paramètres!$A$1:$I$89,5,0)</f>
        <v>4.0350814731667564</v>
      </c>
      <c r="BF11" s="14">
        <f t="shared" si="37"/>
        <v>1.5808227025391921</v>
      </c>
      <c r="BG11" s="22">
        <f t="shared" si="7"/>
        <v>9.7810331060211926</v>
      </c>
      <c r="BH11" s="62">
        <f t="shared" si="8"/>
        <v>303.11436643935451</v>
      </c>
      <c r="BI11" s="62">
        <f ca="1">AVERAGE(OFFSET($BH$3,0,0,'Données projet'!$E$11+1,1))-AVERAGE(OFFSET($H$3,0,0,'Données projet'!$E$11+1,1))</f>
        <v>312.29553270286209</v>
      </c>
      <c r="BJ11" s="62">
        <f t="shared" si="38"/>
        <v>175.8423124483154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2.4933333333333332</v>
      </c>
      <c r="BY11" s="13">
        <f>IF('Données projet'!$A$114&gt;35,BY10+BX11-CG10,IF(A11&lt;'Données projet'!$A$114,$BV$205^A11,IF(A11='Données projet'!$A$114,'Données projet'!$B$114,BY10+BX11-CG10)))</f>
        <v>6.9002504567506522</v>
      </c>
      <c r="BZ11" s="14">
        <f>BY11*VLOOKUP('Données projet'!$B$12,Paramètres!$A$1:$I$89,3,0)*VLOOKUP('Données projet'!$B$12,Paramètres!$A$1:$I$89,5,0)</f>
        <v>5.0592636348895788</v>
      </c>
      <c r="CA11" s="14">
        <f t="shared" si="39"/>
        <v>1.9305613738296874</v>
      </c>
      <c r="CB11" s="22">
        <f t="shared" si="10"/>
        <v>12.173945223519388</v>
      </c>
      <c r="CC11" s="62">
        <f t="shared" si="11"/>
        <v>305.50727855685273</v>
      </c>
      <c r="CD11" s="62">
        <f ca="1">AVERAGE(OFFSET($CC$3,0,0,'Données projet'!$E$12+1,1))-AVERAGE(OFFSET($H$3,0,0,'Données projet'!$E$12+1,1))</f>
        <v>217.14170654868826</v>
      </c>
      <c r="CE11" s="62">
        <f t="shared" si="40"/>
        <v>202.59844364241644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4.4460000000000006</v>
      </c>
      <c r="D12" s="12">
        <f t="shared" si="32"/>
        <v>1.7222566815192901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47.614612980148912</v>
      </c>
      <c r="H12" s="70">
        <f t="shared" si="1"/>
        <v>304.07638038697939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3.92</v>
      </c>
      <c r="N12" s="14">
        <f>IF('Données projet'!$A$36&gt;35,N11+M12-V11,IF(A12&lt;'Données projet'!$A$36,$K$205^A12,IF(A12='Données projet'!$A$36,'Données projet'!$B$36,N11+M12-V11)))</f>
        <v>5.2100439546428507</v>
      </c>
      <c r="O12" s="14">
        <f>N12*VLOOKUP('Données projet'!$B$9,Paramètres!$A$1:$I$89,3,0)*VLOOKUP('Données projet'!$B$9,Paramètres!$A$1:$I$89,5,0)</f>
        <v>2.980145142055711</v>
      </c>
      <c r="P12" s="14">
        <f t="shared" si="33"/>
        <v>1.2094509101752824</v>
      </c>
      <c r="Q12" s="22">
        <f t="shared" si="2"/>
        <v>7.2968797909689798</v>
      </c>
      <c r="R12" s="62">
        <f t="shared" si="0"/>
        <v>300.63021312430232</v>
      </c>
      <c r="S12" s="62">
        <f ca="1">AVERAGE(OFFSET($R$3,0,0,'Données projet'!$E$9+1,1))-AVERAGE(OFFSET($H$3,0,0,'Données projet'!$E$9+1,1))</f>
        <v>183.98573418698061</v>
      </c>
      <c r="T12" s="62">
        <f t="shared" si="34"/>
        <v>158.42298722045609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5.5909090909090908</v>
      </c>
      <c r="AI12" s="14">
        <f>IF('Données projet'!$A$62&gt;35,AI11+AH12-AQ11,IF(A12&lt;'Données projet'!$A$62,$AF$205^A12,IF(A12='Données projet'!$A$62,'Données projet'!$B$62,AI11+AH12-AQ11)))</f>
        <v>7.1607940284521145</v>
      </c>
      <c r="AJ12" s="14">
        <f>AI12*VLOOKUP('Données projet'!$B$10,Paramètres!$A$1:$I$89,3,0)*VLOOKUP('Données projet'!$B$10,Paramètres!$A$1:$I$89,5,0)</f>
        <v>4.2821548290143649</v>
      </c>
      <c r="AK12" s="14">
        <f t="shared" si="35"/>
        <v>1.6660534544894132</v>
      </c>
      <c r="AL12" s="22">
        <f t="shared" si="4"/>
        <v>10.359796093769079</v>
      </c>
      <c r="AM12" s="62">
        <f t="shared" si="5"/>
        <v>303.69312942710241</v>
      </c>
      <c r="AN12" s="62">
        <f ca="1">AVERAGE(OFFSET($AM$3,0,0,'Données projet'!$E$10+1,1))-AVERAGE(OFFSET($H$3,0,0,'Données projet'!$E$10+1,1))</f>
        <v>294.57089926309249</v>
      </c>
      <c r="AO12" s="62">
        <f t="shared" si="36"/>
        <v>221.0956883062172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2.1</v>
      </c>
      <c r="BD12" s="13">
        <f>IF('Données projet'!$A$88&gt;35,BD11+BC12-BL11,IF(A12&lt;'Données projet'!$A$88,$BA$205^A12,IF(A12='Données projet'!$A$88,'Données projet'!$B$88,BD11+BC12-BL11)))</f>
        <v>5.3760361537574148</v>
      </c>
      <c r="BE12" s="14">
        <f>BD12*VLOOKUP('Données projet'!$B$11,Paramètres!$A$1:$I$89,3,0)*VLOOKUP('Données projet'!$B$11,Paramètres!$A$1:$I$89,5,0)</f>
        <v>4.8642375119197085</v>
      </c>
      <c r="BF12" s="14">
        <f t="shared" si="37"/>
        <v>1.8646542609995393</v>
      </c>
      <c r="BG12" s="22">
        <f t="shared" si="7"/>
        <v>11.719486504501022</v>
      </c>
      <c r="BH12" s="62">
        <f t="shared" si="8"/>
        <v>305.05281983783436</v>
      </c>
      <c r="BI12" s="62">
        <f ca="1">AVERAGE(OFFSET($BH$3,0,0,'Données projet'!$E$11+1,1))-AVERAGE(OFFSET($H$3,0,0,'Données projet'!$E$11+1,1))</f>
        <v>312.29553270286209</v>
      </c>
      <c r="BJ12" s="62">
        <f t="shared" si="38"/>
        <v>175.8423124483154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2.4933333333333332</v>
      </c>
      <c r="BY12" s="13">
        <f>IF('Données projet'!$A$114&gt;35,BY11+BX12-CG11,IF(A12&lt;'Données projet'!$A$114,$BV$205^A12,IF(A12='Données projet'!$A$114,'Données projet'!$B$114,BY11+BX12-CG11)))</f>
        <v>8.784619626636184</v>
      </c>
      <c r="BZ12" s="14">
        <f>BY12*VLOOKUP('Données projet'!$B$12,Paramètres!$A$1:$I$89,3,0)*VLOOKUP('Données projet'!$B$12,Paramètres!$A$1:$I$89,5,0)</f>
        <v>6.4408831102496507</v>
      </c>
      <c r="CA12" s="14">
        <f t="shared" si="39"/>
        <v>2.3896606701676846</v>
      </c>
      <c r="CB12" s="22">
        <f t="shared" si="10"/>
        <v>15.379863750893525</v>
      </c>
      <c r="CC12" s="62">
        <f t="shared" si="11"/>
        <v>308.71319708422686</v>
      </c>
      <c r="CD12" s="62">
        <f ca="1">AVERAGE(OFFSET($CC$3,0,0,'Données projet'!$E$12+1,1))-AVERAGE(OFFSET($H$3,0,0,'Données projet'!$E$12+1,1))</f>
        <v>217.14170654868826</v>
      </c>
      <c r="CE12" s="62">
        <f t="shared" si="40"/>
        <v>202.59844364241644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4.9400000000000004</v>
      </c>
      <c r="D13" s="12">
        <f t="shared" si="32"/>
        <v>1.8902933083766646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52.725071152381275</v>
      </c>
      <c r="H13" s="70">
        <f t="shared" si="1"/>
        <v>305.22942751208933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3.92</v>
      </c>
      <c r="N13" s="14">
        <f>IF('Données projet'!$A$36&gt;35,N12+M13-V12,IF(A13&lt;'Données projet'!$A$36,$K$205^A13,IF(A13='Données projet'!$A$36,'Données projet'!$B$36,N12+M13-V12)))</f>
        <v>6.2587907246058672</v>
      </c>
      <c r="O13" s="14">
        <f>N13*VLOOKUP('Données projet'!$B$9,Paramètres!$A$1:$I$89,3,0)*VLOOKUP('Données projet'!$B$9,Paramètres!$A$1:$I$89,5,0)</f>
        <v>3.5800282944745563</v>
      </c>
      <c r="P13" s="14">
        <f t="shared" si="33"/>
        <v>1.422217899166105</v>
      </c>
      <c r="Q13" s="22">
        <f t="shared" si="2"/>
        <v>8.712245453924151</v>
      </c>
      <c r="R13" s="62">
        <f t="shared" si="0"/>
        <v>302.04557878725745</v>
      </c>
      <c r="S13" s="62">
        <f ca="1">AVERAGE(OFFSET($R$3,0,0,'Données projet'!$E$9+1,1))-AVERAGE(OFFSET($H$3,0,0,'Données projet'!$E$9+1,1))</f>
        <v>183.98573418698061</v>
      </c>
      <c r="T13" s="62">
        <f t="shared" si="34"/>
        <v>158.42298722045609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5.5909090909090908</v>
      </c>
      <c r="AI13" s="14">
        <f>IF('Données projet'!$A$62&gt;35,AI12+AH13-AQ12,IF(A13&lt;'Données projet'!$A$62,$AF$205^A13,IF(A13='Données projet'!$A$62,'Données projet'!$B$62,AI12+AH13-AQ12)))</f>
        <v>8.9116242956840761</v>
      </c>
      <c r="AJ13" s="14">
        <f>AI13*VLOOKUP('Données projet'!$B$10,Paramètres!$A$1:$I$89,3,0)*VLOOKUP('Données projet'!$B$10,Paramètres!$A$1:$I$89,5,0)</f>
        <v>5.3291513288190782</v>
      </c>
      <c r="AK13" s="14">
        <f t="shared" si="35"/>
        <v>2.0212829858817885</v>
      </c>
      <c r="AL13" s="22">
        <f t="shared" si="4"/>
        <v>12.802006431437341</v>
      </c>
      <c r="AM13" s="62">
        <f t="shared" si="5"/>
        <v>306.13533976477066</v>
      </c>
      <c r="AN13" s="62">
        <f ca="1">AVERAGE(OFFSET($AM$3,0,0,'Données projet'!$E$10+1,1))-AVERAGE(OFFSET($H$3,0,0,'Données projet'!$E$10+1,1))</f>
        <v>294.57089926309249</v>
      </c>
      <c r="AO13" s="62">
        <f t="shared" si="36"/>
        <v>221.0956883062172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2.1</v>
      </c>
      <c r="BD13" s="13">
        <f>IF('Données projet'!$A$88&gt;35,BD12+BC13-BL12,IF(A13&lt;'Données projet'!$A$88,$BA$205^A13,IF(A13='Données projet'!$A$88,'Données projet'!$B$88,BD12+BC13-BL12)))</f>
        <v>6.4807406984078657</v>
      </c>
      <c r="BE13" s="14">
        <f>BD13*VLOOKUP('Données projet'!$B$11,Paramètres!$A$1:$I$89,3,0)*VLOOKUP('Données projet'!$B$11,Paramètres!$A$1:$I$89,5,0)</f>
        <v>5.8637741839194364</v>
      </c>
      <c r="BF13" s="14">
        <f t="shared" si="37"/>
        <v>2.1994468497187687</v>
      </c>
      <c r="BG13" s="22">
        <f t="shared" si="7"/>
        <v>14.043443300253207</v>
      </c>
      <c r="BH13" s="62">
        <f t="shared" si="8"/>
        <v>307.37677663358653</v>
      </c>
      <c r="BI13" s="62">
        <f ca="1">AVERAGE(OFFSET($BH$3,0,0,'Données projet'!$E$11+1,1))-AVERAGE(OFFSET($H$3,0,0,'Données projet'!$E$11+1,1))</f>
        <v>312.29553270286209</v>
      </c>
      <c r="BJ13" s="62">
        <f t="shared" si="38"/>
        <v>175.8423124483154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2.4933333333333332</v>
      </c>
      <c r="BY13" s="13">
        <f>IF('Données projet'!$A$114&gt;35,BY12+BX13-CG12,IF(A13&lt;'Données projet'!$A$114,$BV$205^A13,IF(A13='Données projet'!$A$114,'Données projet'!$B$114,BY12+BX13-CG12)))</f>
        <v>11.183585649298445</v>
      </c>
      <c r="BZ13" s="14">
        <f>BY13*VLOOKUP('Données projet'!$B$12,Paramètres!$A$1:$I$89,3,0)*VLOOKUP('Données projet'!$B$12,Paramètres!$A$1:$I$89,5,0)</f>
        <v>8.1998049980656198</v>
      </c>
      <c r="CA13" s="14">
        <f t="shared" si="39"/>
        <v>2.9579365856773014</v>
      </c>
      <c r="CB13" s="22">
        <f t="shared" si="10"/>
        <v>19.433066591685588</v>
      </c>
      <c r="CC13" s="62">
        <f t="shared" si="11"/>
        <v>312.7663999250189</v>
      </c>
      <c r="CD13" s="62">
        <f ca="1">AVERAGE(OFFSET($CC$3,0,0,'Données projet'!$E$12+1,1))-AVERAGE(OFFSET($H$3,0,0,'Données projet'!$E$12+1,1))</f>
        <v>217.14170654868826</v>
      </c>
      <c r="CE13" s="62">
        <f t="shared" si="40"/>
        <v>202.59844364241644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5.4340000000000002</v>
      </c>
      <c r="D14" s="12">
        <f t="shared" si="32"/>
        <v>2.0563819044260145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57.820491893814847</v>
      </c>
      <c r="H14" s="70">
        <f t="shared" si="1"/>
        <v>306.37908181687527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3.92</v>
      </c>
      <c r="N14" s="14">
        <f>IF('Données projet'!$A$36&gt;35,N13+M14-V13,IF(A14&lt;'Données projet'!$A$36,$K$205^A14,IF(A14='Données projet'!$A$36,'Données projet'!$B$36,N13+M14-V13)))</f>
        <v>7.518643158375756</v>
      </c>
      <c r="O14" s="14">
        <f>N14*VLOOKUP('Données projet'!$B$9,Paramètres!$A$1:$I$89,3,0)*VLOOKUP('Données projet'!$B$9,Paramètres!$A$1:$I$89,5,0)</f>
        <v>4.3006638865909332</v>
      </c>
      <c r="P14" s="14">
        <f t="shared" si="33"/>
        <v>1.6724149245671369</v>
      </c>
      <c r="Q14" s="22">
        <f t="shared" si="2"/>
        <v>10.403112262766973</v>
      </c>
      <c r="R14" s="62">
        <f t="shared" si="0"/>
        <v>303.73644559610028</v>
      </c>
      <c r="S14" s="62">
        <f ca="1">AVERAGE(OFFSET($R$3,0,0,'Données projet'!$E$9+1,1))-AVERAGE(OFFSET($H$3,0,0,'Données projet'!$E$9+1,1))</f>
        <v>183.98573418698061</v>
      </c>
      <c r="T14" s="62">
        <f t="shared" si="34"/>
        <v>158.42298722045609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5.5909090909090908</v>
      </c>
      <c r="AI14" s="14">
        <f>IF('Données projet'!$A$62&gt;35,AI13+AH14-AQ13,IF(A14&lt;'Données projet'!$A$62,$AF$205^A14,IF(A14='Données projet'!$A$62,'Données projet'!$B$62,AI13+AH14-AQ13)))</f>
        <v>11.090536506409412</v>
      </c>
      <c r="AJ14" s="14">
        <f>AI14*VLOOKUP('Données projet'!$B$10,Paramètres!$A$1:$I$89,3,0)*VLOOKUP('Données projet'!$B$10,Paramètres!$A$1:$I$89,5,0)</f>
        <v>6.6321408308328289</v>
      </c>
      <c r="AK14" s="14">
        <f t="shared" si="35"/>
        <v>2.4522531963221348</v>
      </c>
      <c r="AL14" s="22">
        <f t="shared" si="4"/>
        <v>15.821986263961561</v>
      </c>
      <c r="AM14" s="62">
        <f t="shared" si="5"/>
        <v>309.15531959729486</v>
      </c>
      <c r="AN14" s="62">
        <f ca="1">AVERAGE(OFFSET($AM$3,0,0,'Données projet'!$E$10+1,1))-AVERAGE(OFFSET($H$3,0,0,'Données projet'!$E$10+1,1))</f>
        <v>294.57089926309249</v>
      </c>
      <c r="AO14" s="62">
        <f t="shared" si="36"/>
        <v>221.0956883062172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2.1</v>
      </c>
      <c r="BD14" s="13">
        <f>IF('Données projet'!$A$88&gt;35,BD13+BC14-BL13,IF(A14&lt;'Données projet'!$A$88,$BA$205^A14,IF(A14='Données projet'!$A$88,'Données projet'!$B$88,BD13+BC14-BL13)))</f>
        <v>7.8124474610620815</v>
      </c>
      <c r="BE14" s="14">
        <f>BD14*VLOOKUP('Données projet'!$B$11,Paramètres!$A$1:$I$89,3,0)*VLOOKUP('Données projet'!$B$11,Paramètres!$A$1:$I$89,5,0)</f>
        <v>7.0687024627689707</v>
      </c>
      <c r="BF14" s="14">
        <f t="shared" si="37"/>
        <v>2.5943503554083325</v>
      </c>
      <c r="BG14" s="22">
        <f t="shared" si="7"/>
        <v>16.829816991658799</v>
      </c>
      <c r="BH14" s="62">
        <f t="shared" si="8"/>
        <v>310.1631503249921</v>
      </c>
      <c r="BI14" s="62">
        <f ca="1">AVERAGE(OFFSET($BH$3,0,0,'Données projet'!$E$11+1,1))-AVERAGE(OFFSET($H$3,0,0,'Données projet'!$E$11+1,1))</f>
        <v>312.29553270286209</v>
      </c>
      <c r="BJ14" s="62">
        <f t="shared" si="38"/>
        <v>175.8423124483154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2.4933333333333332</v>
      </c>
      <c r="BY14" s="13">
        <f>IF('Données projet'!$A$114&gt;35,BY13+BX14-CG13,IF(A14&lt;'Données projet'!$A$114,$BV$205^A14,IF(A14='Données projet'!$A$114,'Données projet'!$B$114,BY13+BX14-CG13)))</f>
        <v>14.237678270776428</v>
      </c>
      <c r="BZ14" s="14">
        <f>BY14*VLOOKUP('Données projet'!$B$12,Paramètres!$A$1:$I$89,3,0)*VLOOKUP('Données projet'!$B$12,Paramètres!$A$1:$I$89,5,0)</f>
        <v>10.439065708133278</v>
      </c>
      <c r="CA14" s="14">
        <f t="shared" si="39"/>
        <v>3.6613519878009879</v>
      </c>
      <c r="CB14" s="22">
        <f t="shared" si="10"/>
        <v>24.558227487085514</v>
      </c>
      <c r="CC14" s="62">
        <f t="shared" si="11"/>
        <v>317.89156082041882</v>
      </c>
      <c r="CD14" s="62">
        <f ca="1">AVERAGE(OFFSET($CC$3,0,0,'Données projet'!$E$12+1,1))-AVERAGE(OFFSET($H$3,0,0,'Données projet'!$E$12+1,1))</f>
        <v>217.14170654868826</v>
      </c>
      <c r="CE14" s="62">
        <f t="shared" si="40"/>
        <v>202.59844364241644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5.9279999999999999</v>
      </c>
      <c r="D15" s="12">
        <f t="shared" si="32"/>
        <v>2.2207197037661022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62.902397713282191</v>
      </c>
      <c r="H15" s="70">
        <f t="shared" si="1"/>
        <v>307.52568681739263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3.92</v>
      </c>
      <c r="N15" s="14">
        <f>IF('Données projet'!$A$36&gt;35,N14+M15-V14,IF(A15&lt;'Données projet'!$A$36,$K$205^A15,IF(A15='Données projet'!$A$36,'Données projet'!$B$36,N14+M15-V14)))</f>
        <v>9.0320954047477606</v>
      </c>
      <c r="O15" s="14">
        <f>N15*VLOOKUP('Données projet'!$B$9,Paramètres!$A$1:$I$89,3,0)*VLOOKUP('Données projet'!$B$9,Paramètres!$A$1:$I$89,5,0)</f>
        <v>5.1663585715157199</v>
      </c>
      <c r="P15" s="14">
        <f t="shared" si="33"/>
        <v>1.9666266902946876</v>
      </c>
      <c r="Q15" s="22">
        <f t="shared" si="2"/>
        <v>12.423282664319792</v>
      </c>
      <c r="R15" s="62">
        <f t="shared" si="0"/>
        <v>305.75661599765311</v>
      </c>
      <c r="S15" s="62">
        <f ca="1">AVERAGE(OFFSET($R$3,0,0,'Données projet'!$E$9+1,1))-AVERAGE(OFFSET($H$3,0,0,'Données projet'!$E$9+1,1))</f>
        <v>183.98573418698061</v>
      </c>
      <c r="T15" s="62">
        <f t="shared" si="34"/>
        <v>158.42298722045609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5.5909090909090908</v>
      </c>
      <c r="AI15" s="14">
        <f>IF('Données projet'!$A$62&gt;35,AI14+AH15-AQ14,IF(A15&lt;'Données projet'!$A$62,$AF$205^A15,IF(A15='Données projet'!$A$62,'Données projet'!$B$62,AI14+AH15-AQ14)))</f>
        <v>13.802197659922571</v>
      </c>
      <c r="AJ15" s="14">
        <f>AI15*VLOOKUP('Données projet'!$B$10,Paramètres!$A$1:$I$89,3,0)*VLOOKUP('Données projet'!$B$10,Paramètres!$A$1:$I$89,5,0)</f>
        <v>8.2537142006336985</v>
      </c>
      <c r="AK15" s="14">
        <f t="shared" si="35"/>
        <v>2.9751132230743558</v>
      </c>
      <c r="AL15" s="22">
        <f t="shared" si="4"/>
        <v>19.556874429624859</v>
      </c>
      <c r="AM15" s="62">
        <f t="shared" si="5"/>
        <v>312.8902077629582</v>
      </c>
      <c r="AN15" s="62">
        <f ca="1">AVERAGE(OFFSET($AM$3,0,0,'Données projet'!$E$10+1,1))-AVERAGE(OFFSET($H$3,0,0,'Données projet'!$E$10+1,1))</f>
        <v>294.57089926309249</v>
      </c>
      <c r="AO15" s="62">
        <f t="shared" si="36"/>
        <v>221.0956883062172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2.1</v>
      </c>
      <c r="BD15" s="13">
        <f>IF('Données projet'!$A$88&gt;35,BD14+BC15-BL14,IF(A15&lt;'Données projet'!$A$88,$BA$205^A15,IF(A15='Données projet'!$A$88,'Données projet'!$B$88,BD14+BC15-BL14)))</f>
        <v>9.4178024044149407</v>
      </c>
      <c r="BE15" s="14">
        <f>BD15*VLOOKUP('Données projet'!$B$11,Paramètres!$A$1:$I$89,3,0)*VLOOKUP('Données projet'!$B$11,Paramètres!$A$1:$I$89,5,0)</f>
        <v>8.521227615514638</v>
      </c>
      <c r="BF15" s="14">
        <f t="shared" si="37"/>
        <v>3.0601574970852128</v>
      </c>
      <c r="BG15" s="22">
        <f t="shared" si="7"/>
        <v>20.170912404444739</v>
      </c>
      <c r="BH15" s="62">
        <f t="shared" si="8"/>
        <v>313.50424573777804</v>
      </c>
      <c r="BI15" s="62">
        <f ca="1">AVERAGE(OFFSET($BH$3,0,0,'Données projet'!$E$11+1,1))-AVERAGE(OFFSET($H$3,0,0,'Données projet'!$E$11+1,1))</f>
        <v>312.29553270286209</v>
      </c>
      <c r="BJ15" s="62">
        <f t="shared" si="38"/>
        <v>175.8423124483154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2.4933333333333332</v>
      </c>
      <c r="BY15" s="13">
        <f>IF('Données projet'!$A$114&gt;35,BY14+BX15-CG14,IF(A15&lt;'Données projet'!$A$114,$BV$205^A15,IF(A15='Données projet'!$A$114,'Données projet'!$B$114,BY14+BX15-CG14)))</f>
        <v>18.125804093506943</v>
      </c>
      <c r="BZ15" s="14">
        <f>BY15*VLOOKUP('Données projet'!$B$12,Paramètres!$A$1:$I$89,3,0)*VLOOKUP('Données projet'!$B$12,Paramètres!$A$1:$I$89,5,0)</f>
        <v>13.28983956135929</v>
      </c>
      <c r="CA15" s="14">
        <f t="shared" si="39"/>
        <v>4.5320438725716254</v>
      </c>
      <c r="CB15" s="22">
        <f t="shared" si="10"/>
        <v>31.039780314096337</v>
      </c>
      <c r="CC15" s="62">
        <f t="shared" si="11"/>
        <v>324.37311364742965</v>
      </c>
      <c r="CD15" s="62">
        <f ca="1">AVERAGE(OFFSET($CC$3,0,0,'Données projet'!$E$12+1,1))-AVERAGE(OFFSET($H$3,0,0,'Données projet'!$E$12+1,1))</f>
        <v>217.14170654868826</v>
      </c>
      <c r="CE15" s="62">
        <f t="shared" si="40"/>
        <v>202.59844364241644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6.4219999999999997</v>
      </c>
      <c r="D16" s="12">
        <f t="shared" si="32"/>
        <v>2.3834691936258148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67.97204289816419</v>
      </c>
      <c r="H16" s="70">
        <f t="shared" si="1"/>
        <v>308.66952551223159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3.92</v>
      </c>
      <c r="N16" s="14">
        <f>IF('Données projet'!$A$36&gt;35,N15+M16-V15,IF(A16&lt;'Données projet'!$A$36,$K$205^A16,IF(A16='Données projet'!$A$36,'Données projet'!$B$36,N15+M16-V15)))</f>
        <v>10.850195398565635</v>
      </c>
      <c r="O16" s="14">
        <f>N16*VLOOKUP('Données projet'!$B$9,Paramètres!$A$1:$I$89,3,0)*VLOOKUP('Données projet'!$B$9,Paramètres!$A$1:$I$89,5,0)</f>
        <v>6.2063117679795434</v>
      </c>
      <c r="P16" s="14">
        <f t="shared" si="33"/>
        <v>2.3125962834734182</v>
      </c>
      <c r="Q16" s="22">
        <f t="shared" si="2"/>
        <v>14.837098189613906</v>
      </c>
      <c r="R16" s="62">
        <f t="shared" si="0"/>
        <v>308.17043152294724</v>
      </c>
      <c r="S16" s="62">
        <f ca="1">AVERAGE(OFFSET($R$3,0,0,'Données projet'!$E$9+1,1))-AVERAGE(OFFSET($H$3,0,0,'Données projet'!$E$9+1,1))</f>
        <v>183.98573418698061</v>
      </c>
      <c r="T16" s="62">
        <f t="shared" si="34"/>
        <v>158.42298722045609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5.5909090909090908</v>
      </c>
      <c r="AI16" s="14">
        <f>IF('Données projet'!$A$62&gt;35,AI15+AH16-AQ15,IF(A16&lt;'Données projet'!$A$62,$AF$205^A16,IF(A16='Données projet'!$A$62,'Données projet'!$B$62,AI15+AH16-AQ15)))</f>
        <v>17.17686607257264</v>
      </c>
      <c r="AJ16" s="14">
        <f>AI16*VLOOKUP('Données projet'!$B$10,Paramètres!$A$1:$I$89,3,0)*VLOOKUP('Données projet'!$B$10,Paramètres!$A$1:$I$89,5,0)</f>
        <v>10.27176591139844</v>
      </c>
      <c r="AK16" s="14">
        <f t="shared" si="35"/>
        <v>3.609455460548272</v>
      </c>
      <c r="AL16" s="22">
        <f t="shared" si="4"/>
        <v>24.176460556140523</v>
      </c>
      <c r="AM16" s="62">
        <f t="shared" si="5"/>
        <v>317.50979388947383</v>
      </c>
      <c r="AN16" s="62">
        <f ca="1">AVERAGE(OFFSET($AM$3,0,0,'Données projet'!$E$10+1,1))-AVERAGE(OFFSET($H$3,0,0,'Données projet'!$E$10+1,1))</f>
        <v>294.57089926309249</v>
      </c>
      <c r="AO16" s="62">
        <f t="shared" si="36"/>
        <v>221.0956883062172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2.1</v>
      </c>
      <c r="BD16" s="13">
        <f>IF('Données projet'!$A$88&gt;35,BD15+BC16-BL15,IF(A16&lt;'Données projet'!$A$88,$BA$205^A16,IF(A16='Données projet'!$A$88,'Données projet'!$B$88,BD15+BC16-BL15)))</f>
        <v>11.35303662145153</v>
      </c>
      <c r="BE16" s="14">
        <f>BD16*VLOOKUP('Données projet'!$B$11,Paramètres!$A$1:$I$89,3,0)*VLOOKUP('Données projet'!$B$11,Paramètres!$A$1:$I$89,5,0)</f>
        <v>10.272227535089344</v>
      </c>
      <c r="BF16" s="14">
        <f t="shared" si="37"/>
        <v>3.6095987912522753</v>
      </c>
      <c r="BG16" s="22">
        <f t="shared" si="7"/>
        <v>24.177514185044988</v>
      </c>
      <c r="BH16" s="62">
        <f t="shared" si="8"/>
        <v>317.51084751837828</v>
      </c>
      <c r="BI16" s="62">
        <f ca="1">AVERAGE(OFFSET($BH$3,0,0,'Données projet'!$E$11+1,1))-AVERAGE(OFFSET($H$3,0,0,'Données projet'!$E$11+1,1))</f>
        <v>312.29553270286209</v>
      </c>
      <c r="BJ16" s="62">
        <f t="shared" si="38"/>
        <v>175.8423124483154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2.4933333333333332</v>
      </c>
      <c r="BY16" s="13">
        <f>IF('Données projet'!$A$114&gt;35,BY15+BX16-CG15,IF(A16&lt;'Données projet'!$A$114,$BV$205^A16,IF(A16='Données projet'!$A$114,'Données projet'!$B$114,BY15+BX16-CG15)))</f>
        <v>23.075726799540639</v>
      </c>
      <c r="BZ16" s="14">
        <f>BY16*VLOOKUP('Données projet'!$B$12,Paramètres!$A$1:$I$89,3,0)*VLOOKUP('Données projet'!$B$12,Paramètres!$A$1:$I$89,5,0)</f>
        <v>16.919122889423196</v>
      </c>
      <c r="CA16" s="14">
        <f t="shared" si="39"/>
        <v>5.6097916101341596</v>
      </c>
      <c r="CB16" s="22">
        <f t="shared" si="10"/>
        <v>39.237859420062392</v>
      </c>
      <c r="CC16" s="62">
        <f t="shared" si="11"/>
        <v>332.57119275339574</v>
      </c>
      <c r="CD16" s="62">
        <f ca="1">AVERAGE(OFFSET($CC$3,0,0,'Données projet'!$E$12+1,1))-AVERAGE(OFFSET($H$3,0,0,'Données projet'!$E$12+1,1))</f>
        <v>217.14170654868826</v>
      </c>
      <c r="CE16" s="62">
        <f t="shared" si="40"/>
        <v>202.59844364241644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6.9159999999999995</v>
      </c>
      <c r="D17" s="12">
        <f t="shared" si="32"/>
        <v>2.5447664431495727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73.030477806768616</v>
      </c>
      <c r="H17" s="70">
        <f t="shared" si="1"/>
        <v>309.81083488848549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3.92</v>
      </c>
      <c r="N17" s="14">
        <f>IF('Données projet'!$A$36&gt;35,N16+M17-V16,IF(A17&lt;'Données projet'!$A$36,$K$205^A17,IF(A17='Données projet'!$A$36,'Données projet'!$B$36,N16+M17-V16)))</f>
        <v>13.0342666802624</v>
      </c>
      <c r="O17" s="14">
        <f>N17*VLOOKUP('Données projet'!$B$9,Paramètres!$A$1:$I$89,3,0)*VLOOKUP('Données projet'!$B$9,Paramètres!$A$1:$I$89,5,0)</f>
        <v>7.4556005411100932</v>
      </c>
      <c r="P17" s="14">
        <f t="shared" si="33"/>
        <v>2.7194289575789719</v>
      </c>
      <c r="Q17" s="22">
        <f t="shared" si="2"/>
        <v>17.721509710216786</v>
      </c>
      <c r="R17" s="62">
        <f t="shared" si="0"/>
        <v>311.05484304355008</v>
      </c>
      <c r="S17" s="62">
        <f ca="1">AVERAGE(OFFSET($R$3,0,0,'Données projet'!$E$9+1,1))-AVERAGE(OFFSET($H$3,0,0,'Données projet'!$E$9+1,1))</f>
        <v>183.98573418698061</v>
      </c>
      <c r="T17" s="62">
        <f t="shared" si="34"/>
        <v>158.42298722045609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5.5909090909090908</v>
      </c>
      <c r="AI17" s="14">
        <f>IF('Données projet'!$A$62&gt;35,AI16+AH17-AQ16,IF(A17&lt;'Données projet'!$A$62,$AF$205^A17,IF(A17='Données projet'!$A$62,'Données projet'!$B$62,AI16+AH17-AQ16)))</f>
        <v>21.376648512419013</v>
      </c>
      <c r="AJ17" s="14">
        <f>AI17*VLOOKUP('Données projet'!$B$10,Paramètres!$A$1:$I$89,3,0)*VLOOKUP('Données projet'!$B$10,Paramètres!$A$1:$I$89,5,0)</f>
        <v>12.783235810426572</v>
      </c>
      <c r="AK17" s="14">
        <f t="shared" si="35"/>
        <v>4.3790497183898731</v>
      </c>
      <c r="AL17" s="22">
        <f t="shared" si="4"/>
        <v>29.890980629355308</v>
      </c>
      <c r="AM17" s="62">
        <f t="shared" si="5"/>
        <v>323.2243139626886</v>
      </c>
      <c r="AN17" s="62">
        <f ca="1">AVERAGE(OFFSET($AM$3,0,0,'Données projet'!$E$10+1,1))-AVERAGE(OFFSET($H$3,0,0,'Données projet'!$E$10+1,1))</f>
        <v>294.57089926309249</v>
      </c>
      <c r="AO17" s="62">
        <f t="shared" si="36"/>
        <v>221.0956883062172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2.1</v>
      </c>
      <c r="BD17" s="13">
        <f>IF('Données projet'!$A$88&gt;35,BD16+BC17-BL16,IF(A17&lt;'Données projet'!$A$88,$BA$205^A17,IF(A17='Données projet'!$A$88,'Données projet'!$B$88,BD16+BC17-BL16)))</f>
        <v>13.685935953338433</v>
      </c>
      <c r="BE17" s="14">
        <f>BD17*VLOOKUP('Données projet'!$B$11,Paramètres!$A$1:$I$89,3,0)*VLOOKUP('Données projet'!$B$11,Paramètres!$A$1:$I$89,5,0)</f>
        <v>12.383034850580612</v>
      </c>
      <c r="BF17" s="14">
        <f t="shared" si="37"/>
        <v>4.2576904771143838</v>
      </c>
      <c r="BG17" s="22">
        <f t="shared" si="7"/>
        <v>28.982596612402116</v>
      </c>
      <c r="BH17" s="62">
        <f t="shared" si="8"/>
        <v>322.31592994573543</v>
      </c>
      <c r="BI17" s="62">
        <f ca="1">AVERAGE(OFFSET($BH$3,0,0,'Données projet'!$E$11+1,1))-AVERAGE(OFFSET($H$3,0,0,'Données projet'!$E$11+1,1))</f>
        <v>312.29553270286209</v>
      </c>
      <c r="BJ17" s="62">
        <f t="shared" si="38"/>
        <v>175.8423124483154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2.4933333333333332</v>
      </c>
      <c r="BY17" s="13">
        <f>IF('Données projet'!$A$114&gt;35,BY16+BX17-CG16,IF(A17&lt;'Données projet'!$A$114,$BV$205^A17,IF(A17='Données projet'!$A$114,'Données projet'!$B$114,BY16+BX17-CG16)))</f>
        <v>29.37740938719443</v>
      </c>
      <c r="BZ17" s="14">
        <f>BY17*VLOOKUP('Données projet'!$B$12,Paramètres!$A$1:$I$89,3,0)*VLOOKUP('Données projet'!$B$12,Paramètres!$A$1:$I$89,5,0)</f>
        <v>21.539516562690956</v>
      </c>
      <c r="CA17" s="14">
        <f t="shared" si="39"/>
        <v>6.9438343480277602</v>
      </c>
      <c r="CB17" s="22">
        <f t="shared" si="10"/>
        <v>49.608502836168434</v>
      </c>
      <c r="CC17" s="62">
        <f t="shared" si="11"/>
        <v>342.94183616950176</v>
      </c>
      <c r="CD17" s="62">
        <f ca="1">AVERAGE(OFFSET($CC$3,0,0,'Données projet'!$E$12+1,1))-AVERAGE(OFFSET($H$3,0,0,'Données projet'!$E$12+1,1))</f>
        <v>217.14170654868826</v>
      </c>
      <c r="CE17" s="62">
        <f t="shared" si="40"/>
        <v>202.59844364241644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7.4099999999999993</v>
      </c>
      <c r="D18" s="12">
        <f t="shared" si="32"/>
        <v>2.7047269815583839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78.078594243608578</v>
      </c>
      <c r="H18" s="70">
        <f t="shared" si="1"/>
        <v>310.94981615954748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3.92</v>
      </c>
      <c r="N18" s="14">
        <f>IF('Données projet'!$A$36&gt;35,N17+M18-V17,IF(A18&lt;'Données projet'!$A$36,$K$205^A18,IF(A18='Données projet'!$A$36,'Données projet'!$B$36,N17+M18-V17)))</f>
        <v>15.657976806082024</v>
      </c>
      <c r="O18" s="14">
        <f>N18*VLOOKUP('Données projet'!$B$9,Paramètres!$A$1:$I$89,3,0)*VLOOKUP('Données projet'!$B$9,Paramètres!$A$1:$I$89,5,0)</f>
        <v>8.9563627330789188</v>
      </c>
      <c r="P18" s="14">
        <f t="shared" si="33"/>
        <v>3.1978317651759127</v>
      </c>
      <c r="Q18" s="22">
        <f t="shared" si="2"/>
        <v>21.168555417793829</v>
      </c>
      <c r="R18" s="62">
        <f t="shared" si="0"/>
        <v>314.50188875112713</v>
      </c>
      <c r="S18" s="62">
        <f ca="1">AVERAGE(OFFSET($R$3,0,0,'Données projet'!$E$9+1,1))-AVERAGE(OFFSET($H$3,0,0,'Données projet'!$E$9+1,1))</f>
        <v>183.98573418698061</v>
      </c>
      <c r="T18" s="62">
        <f t="shared" si="34"/>
        <v>158.42298722045609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5.5909090909090908</v>
      </c>
      <c r="AI18" s="14">
        <f>IF('Données projet'!$A$62&gt;35,AI17+AH18-AQ17,IF(A18&lt;'Données projet'!$A$62,$AF$205^A18,IF(A18='Données projet'!$A$62,'Données projet'!$B$62,AI17+AH18-AQ17)))</f>
        <v>26.603287217402478</v>
      </c>
      <c r="AJ18" s="14">
        <f>AI18*VLOOKUP('Données projet'!$B$10,Paramètres!$A$1:$I$89,3,0)*VLOOKUP('Données projet'!$B$10,Paramètres!$A$1:$I$89,5,0)</f>
        <v>15.908765756006684</v>
      </c>
      <c r="AK18" s="14">
        <f t="shared" si="35"/>
        <v>5.312733913945455</v>
      </c>
      <c r="AL18" s="22">
        <f t="shared" si="4"/>
        <v>36.960778591833304</v>
      </c>
      <c r="AM18" s="62">
        <f t="shared" si="5"/>
        <v>330.29411192516659</v>
      </c>
      <c r="AN18" s="62">
        <f ca="1">AVERAGE(OFFSET($AM$3,0,0,'Données projet'!$E$10+1,1))-AVERAGE(OFFSET($H$3,0,0,'Données projet'!$E$10+1,1))</f>
        <v>294.57089926309249</v>
      </c>
      <c r="AO18" s="62">
        <f t="shared" si="36"/>
        <v>221.0956883062172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2.1</v>
      </c>
      <c r="BD18" s="13">
        <f>IF('Données projet'!$A$88&gt;35,BD17+BC18-BL17,IF(A18&lt;'Données projet'!$A$88,$BA$205^A18,IF(A18='Données projet'!$A$88,'Données projet'!$B$88,BD17+BC18-BL17)))</f>
        <v>16.498215337821566</v>
      </c>
      <c r="BE18" s="14">
        <f>BD18*VLOOKUP('Données projet'!$B$11,Paramètres!$A$1:$I$89,3,0)*VLOOKUP('Données projet'!$B$11,Paramètres!$A$1:$I$89,5,0)</f>
        <v>14.927585237660953</v>
      </c>
      <c r="BF18" s="14">
        <f t="shared" si="37"/>
        <v>5.0221449106318534</v>
      </c>
      <c r="BG18" s="22">
        <f t="shared" si="7"/>
        <v>34.745780008276633</v>
      </c>
      <c r="BH18" s="62">
        <f t="shared" si="8"/>
        <v>328.07911334160997</v>
      </c>
      <c r="BI18" s="62">
        <f ca="1">AVERAGE(OFFSET($BH$3,0,0,'Données projet'!$E$11+1,1))-AVERAGE(OFFSET($H$3,0,0,'Données projet'!$E$11+1,1))</f>
        <v>312.29553270286209</v>
      </c>
      <c r="BJ18" s="62">
        <f t="shared" si="38"/>
        <v>175.8423124483154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>
        <f>VLOOKUP(A18,'Données projet'!$A$113:$I$133,2,0)</f>
        <v>37.4</v>
      </c>
      <c r="BW18" s="13">
        <f>VLOOKUP(A18,'Données projet'!$A$113:$I$133,9,0)</f>
        <v>2.4933333333333332</v>
      </c>
      <c r="BX18" s="13">
        <f t="array" ref="BX18">INDEX(BW:BW,MIN(IF(ISNUMBER(BW18:BW214),ROW(BW18:BW214),"")))</f>
        <v>2.4933333333333332</v>
      </c>
      <c r="BY18" s="13">
        <f>IF('Données projet'!$A$114&gt;35,BY17+BX18-CG17,IF(A18&lt;'Données projet'!$A$114,$BV$205^A18,IF(A18='Données projet'!$A$114,'Données projet'!$B$114,BY17+BX18-CG17)))</f>
        <v>37.4</v>
      </c>
      <c r="BZ18" s="14">
        <f>BY18*VLOOKUP('Données projet'!$B$12,Paramètres!$A$1:$I$89,3,0)*VLOOKUP('Données projet'!$B$12,Paramètres!$A$1:$I$89,5,0)</f>
        <v>27.421679999999999</v>
      </c>
      <c r="CA18" s="14">
        <f t="shared" si="39"/>
        <v>8.5951206040783781</v>
      </c>
      <c r="CB18" s="22">
        <f t="shared" si="10"/>
        <v>62.729261052103169</v>
      </c>
      <c r="CC18" s="62">
        <f t="shared" si="11"/>
        <v>356.06259438543646</v>
      </c>
      <c r="CD18" s="62">
        <f ca="1">AVERAGE(OFFSET($CC$3,0,0,'Données projet'!$E$12+1,1))-AVERAGE(OFFSET($H$3,0,0,'Données projet'!$E$12+1,1))</f>
        <v>217.14170654868826</v>
      </c>
      <c r="CE18" s="62">
        <f t="shared" si="40"/>
        <v>202.59844364241644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7.903999999999999</v>
      </c>
      <c r="D19" s="12">
        <f t="shared" si="32"/>
        <v>2.863450062707606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83.117158378795551</v>
      </c>
      <c r="H19" s="70">
        <f t="shared" si="1"/>
        <v>312.08664219254905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3.92</v>
      </c>
      <c r="N19" s="14">
        <f>IF('Données projet'!$A$36&gt;35,N18+M19-V18,IF(A19&lt;'Données projet'!$A$36,$K$205^A19,IF(A19='Données projet'!$A$36,'Données projet'!$B$36,N18+M19-V18)))</f>
        <v>18.809822115352553</v>
      </c>
      <c r="O19" s="14">
        <f>N19*VLOOKUP('Données projet'!$B$9,Paramètres!$A$1:$I$89,3,0)*VLOOKUP('Données projet'!$B$9,Paramètres!$A$1:$I$89,5,0)</f>
        <v>10.759218249981661</v>
      </c>
      <c r="P19" s="14">
        <f t="shared" si="33"/>
        <v>3.7603953469231675</v>
      </c>
      <c r="Q19" s="22">
        <f t="shared" si="2"/>
        <v>25.288327014609248</v>
      </c>
      <c r="R19" s="62">
        <f t="shared" si="0"/>
        <v>318.62166034794257</v>
      </c>
      <c r="S19" s="62">
        <f ca="1">AVERAGE(OFFSET($R$3,0,0,'Données projet'!$E$9+1,1))-AVERAGE(OFFSET($H$3,0,0,'Données projet'!$E$9+1,1))</f>
        <v>183.98573418698061</v>
      </c>
      <c r="T19" s="62">
        <f t="shared" si="34"/>
        <v>158.42298722045609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5.5909090909090908</v>
      </c>
      <c r="AI19" s="14">
        <f>IF('Données projet'!$A$62&gt;35,AI18+AH19-AQ18,IF(A19&lt;'Données projet'!$A$62,$AF$205^A19,IF(A19='Données projet'!$A$62,'Données projet'!$B$62,AI18+AH19-AQ18)))</f>
        <v>33.107850856996748</v>
      </c>
      <c r="AJ19" s="14">
        <f>AI19*VLOOKUP('Données projet'!$B$10,Paramètres!$A$1:$I$89,3,0)*VLOOKUP('Données projet'!$B$10,Paramètres!$A$1:$I$89,5,0)</f>
        <v>19.798494812484059</v>
      </c>
      <c r="AK19" s="14">
        <f t="shared" si="35"/>
        <v>6.4454946747588586</v>
      </c>
      <c r="AL19" s="22">
        <f t="shared" si="4"/>
        <v>45.70828169028141</v>
      </c>
      <c r="AM19" s="62">
        <f t="shared" si="5"/>
        <v>339.04161502361472</v>
      </c>
      <c r="AN19" s="62">
        <f ca="1">AVERAGE(OFFSET($AM$3,0,0,'Données projet'!$E$10+1,1))-AVERAGE(OFFSET($H$3,0,0,'Données projet'!$E$10+1,1))</f>
        <v>294.57089926309249</v>
      </c>
      <c r="AO19" s="62">
        <f t="shared" si="36"/>
        <v>221.0956883062172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2.1</v>
      </c>
      <c r="BD19" s="13">
        <f>IF('Données projet'!$A$88&gt;35,BD18+BC19-BL18,IF(A19&lt;'Données projet'!$A$88,$BA$205^A19,IF(A19='Données projet'!$A$88,'Données projet'!$B$88,BD18+BC19-BL18)))</f>
        <v>19.888381054913147</v>
      </c>
      <c r="BE19" s="14">
        <f>BD19*VLOOKUP('Données projet'!$B$11,Paramètres!$A$1:$I$89,3,0)*VLOOKUP('Données projet'!$B$11,Paramètres!$A$1:$I$89,5,0)</f>
        <v>17.995007178485412</v>
      </c>
      <c r="BF19" s="14">
        <f t="shared" si="37"/>
        <v>5.9238546434872337</v>
      </c>
      <c r="BG19" s="22">
        <f t="shared" si="7"/>
        <v>41.658684339935689</v>
      </c>
      <c r="BH19" s="62">
        <f t="shared" si="8"/>
        <v>334.992017673269</v>
      </c>
      <c r="BI19" s="62">
        <f ca="1">AVERAGE(OFFSET($BH$3,0,0,'Données projet'!$E$11+1,1))-AVERAGE(OFFSET($H$3,0,0,'Données projet'!$E$11+1,1))</f>
        <v>312.29553270286209</v>
      </c>
      <c r="BJ19" s="62">
        <f t="shared" si="38"/>
        <v>175.8423124483154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11.54</v>
      </c>
      <c r="BY19" s="13">
        <f>IF('Données projet'!$A$114&gt;35,BY18+BX19-CG18,IF(A19&lt;'Données projet'!$A$114,$BV$205^A19,IF(A19='Données projet'!$A$114,'Données projet'!$B$114,BY18+BX19-CG18)))</f>
        <v>48.94</v>
      </c>
      <c r="BZ19" s="14">
        <f>BY19*VLOOKUP('Données projet'!$B$12,Paramètres!$A$1:$I$89,3,0)*VLOOKUP('Données projet'!$B$12,Paramètres!$A$1:$I$89,5,0)</f>
        <v>35.882807999999997</v>
      </c>
      <c r="CA19" s="14">
        <f t="shared" si="39"/>
        <v>10.900582514018076</v>
      </c>
      <c r="CB19" s="22">
        <f t="shared" si="10"/>
        <v>81.481071811914816</v>
      </c>
      <c r="CC19" s="62">
        <f t="shared" si="11"/>
        <v>374.81440514524814</v>
      </c>
      <c r="CD19" s="62">
        <f ca="1">AVERAGE(OFFSET($CC$3,0,0,'Données projet'!$E$12+1,1))-AVERAGE(OFFSET($H$3,0,0,'Données projet'!$E$12+1,1))</f>
        <v>217.14170654868826</v>
      </c>
      <c r="CE19" s="62">
        <f t="shared" si="40"/>
        <v>202.59844364241644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8.3979999999999997</v>
      </c>
      <c r="D20" s="12">
        <f t="shared" si="32"/>
        <v>3.0210218324899247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88.146835198167835</v>
      </c>
      <c r="H20" s="70">
        <f t="shared" si="1"/>
        <v>313.22146302491996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3.92</v>
      </c>
      <c r="N20" s="14">
        <f>IF('Données projet'!$A$36&gt;35,N19+M20-V19,IF(A20&lt;'Données projet'!$A$36,$K$205^A20,IF(A20='Données projet'!$A$36,'Données projet'!$B$36,N19+M20-V19)))</f>
        <v>22.596112664681932</v>
      </c>
      <c r="O20" s="14">
        <f>N20*VLOOKUP('Données projet'!$B$9,Paramètres!$A$1:$I$89,3,0)*VLOOKUP('Données projet'!$B$9,Paramètres!$A$1:$I$89,5,0)</f>
        <v>12.924976444198066</v>
      </c>
      <c r="P20" s="14">
        <f t="shared" si="33"/>
        <v>4.4219252929909976</v>
      </c>
      <c r="Q20" s="22">
        <f t="shared" si="2"/>
        <v>30.212520525604287</v>
      </c>
      <c r="R20" s="62">
        <f t="shared" si="0"/>
        <v>323.54585385893762</v>
      </c>
      <c r="S20" s="62">
        <f ca="1">AVERAGE(OFFSET($R$3,0,0,'Données projet'!$E$9+1,1))-AVERAGE(OFFSET($H$3,0,0,'Données projet'!$E$9+1,1))</f>
        <v>183.98573418698061</v>
      </c>
      <c r="T20" s="62">
        <f t="shared" si="34"/>
        <v>158.42298722045609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5.5909090909090908</v>
      </c>
      <c r="AI20" s="14">
        <f>IF('Données projet'!$A$62&gt;35,AI19+AH20-AQ19,IF(A20&lt;'Données projet'!$A$62,$AF$205^A20,IF(A20='Données projet'!$A$62,'Données projet'!$B$62,AI19+AH20-AQ19)))</f>
        <v>41.202794955809431</v>
      </c>
      <c r="AJ20" s="14">
        <f>AI20*VLOOKUP('Données projet'!$B$10,Paramètres!$A$1:$I$89,3,0)*VLOOKUP('Données projet'!$B$10,Paramètres!$A$1:$I$89,5,0)</f>
        <v>24.639271383574041</v>
      </c>
      <c r="AK20" s="14">
        <f t="shared" si="35"/>
        <v>7.8197783429910519</v>
      </c>
      <c r="AL20" s="22">
        <f t="shared" si="4"/>
        <v>56.532844940434195</v>
      </c>
      <c r="AM20" s="62">
        <f t="shared" si="5"/>
        <v>349.8661782737675</v>
      </c>
      <c r="AN20" s="62">
        <f ca="1">AVERAGE(OFFSET($AM$3,0,0,'Données projet'!$E$10+1,1))-AVERAGE(OFFSET($H$3,0,0,'Données projet'!$E$10+1,1))</f>
        <v>294.57089926309249</v>
      </c>
      <c r="AO20" s="62">
        <f t="shared" si="36"/>
        <v>221.0956883062172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2.1</v>
      </c>
      <c r="BD20" s="13">
        <f>IF('Données projet'!$A$88&gt;35,BD19+BC20-BL19,IF(A20&lt;'Données projet'!$A$88,$BA$205^A20,IF(A20='Données projet'!$A$88,'Données projet'!$B$88,BD19+BC20-BL19)))</f>
        <v>23.975181126327602</v>
      </c>
      <c r="BE20" s="14">
        <f>BD20*VLOOKUP('Données projet'!$B$11,Paramètres!$A$1:$I$89,3,0)*VLOOKUP('Données projet'!$B$11,Paramètres!$A$1:$I$89,5,0)</f>
        <v>21.692743883101215</v>
      </c>
      <c r="BF20" s="14">
        <f t="shared" si="37"/>
        <v>6.98746341685115</v>
      </c>
      <c r="BG20" s="22">
        <f t="shared" si="7"/>
        <v>49.951361047417038</v>
      </c>
      <c r="BH20" s="62">
        <f t="shared" si="8"/>
        <v>343.28469438075035</v>
      </c>
      <c r="BI20" s="62">
        <f ca="1">AVERAGE(OFFSET($BH$3,0,0,'Données projet'!$E$11+1,1))-AVERAGE(OFFSET($H$3,0,0,'Données projet'!$E$11+1,1))</f>
        <v>312.29553270286209</v>
      </c>
      <c r="BJ20" s="62">
        <f t="shared" si="38"/>
        <v>175.8423124483154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11.54</v>
      </c>
      <c r="BY20" s="13">
        <f>IF('Données projet'!$A$114&gt;35,BY19+BX20-CG19,IF(A20&lt;'Données projet'!$A$114,$BV$205^A20,IF(A20='Données projet'!$A$114,'Données projet'!$B$114,BY19+BX20-CG19)))</f>
        <v>60.48</v>
      </c>
      <c r="BZ20" s="14">
        <f>BY20*VLOOKUP('Données projet'!$B$12,Paramètres!$A$1:$I$89,3,0)*VLOOKUP('Données projet'!$B$12,Paramètres!$A$1:$I$89,5,0)</f>
        <v>44.343935999999992</v>
      </c>
      <c r="CA20" s="14">
        <f t="shared" si="39"/>
        <v>13.143008787151626</v>
      </c>
      <c r="CB20" s="22">
        <f t="shared" si="10"/>
        <v>100.12309550428905</v>
      </c>
      <c r="CC20" s="62">
        <f t="shared" si="11"/>
        <v>393.45642883762235</v>
      </c>
      <c r="CD20" s="62">
        <f ca="1">AVERAGE(OFFSET($CC$3,0,0,'Données projet'!$E$12+1,1))-AVERAGE(OFFSET($H$3,0,0,'Données projet'!$E$12+1,1))</f>
        <v>217.14170654868826</v>
      </c>
      <c r="CE20" s="62">
        <f t="shared" si="40"/>
        <v>202.59844364241644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21" s="12">
        <f t="shared" si="32"/>
        <v>3.177517729464268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93.16820703446102</v>
      </c>
      <c r="H21" s="70">
        <f t="shared" si="1"/>
        <v>314.35441004548358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3.92</v>
      </c>
      <c r="N21" s="14">
        <f>IF('Données projet'!$A$36&gt;35,N20+M21-V20,IF(A21&lt;'Données projet'!$A$36,$K$205^A21,IF(A21='Données projet'!$A$36,'Données projet'!$B$36,N20+M21-V20)))</f>
        <v>27.144558009310522</v>
      </c>
      <c r="O21" s="14">
        <f>N21*VLOOKUP('Données projet'!$B$9,Paramètres!$A$1:$I$89,3,0)*VLOOKUP('Données projet'!$B$9,Paramètres!$A$1:$I$89,5,0)</f>
        <v>15.526687181325618</v>
      </c>
      <c r="P21" s="14">
        <f t="shared" si="33"/>
        <v>5.1998317976838608</v>
      </c>
      <c r="Q21" s="22">
        <f t="shared" si="2"/>
        <v>36.098687221774846</v>
      </c>
      <c r="R21" s="62">
        <f t="shared" si="0"/>
        <v>329.43202055510818</v>
      </c>
      <c r="S21" s="62">
        <f ca="1">AVERAGE(OFFSET($R$3,0,0,'Données projet'!$E$9+1,1))-AVERAGE(OFFSET($H$3,0,0,'Données projet'!$E$9+1,1))</f>
        <v>183.98573418698061</v>
      </c>
      <c r="T21" s="62">
        <f t="shared" si="34"/>
        <v>158.42298722045609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5.5909090909090908</v>
      </c>
      <c r="AI21" s="14">
        <f>IF('Données projet'!$A$62&gt;35,AI20+AH21-AQ20,IF(A21&lt;'Données projet'!$A$62,$AF$205^A21,IF(A21='Données projet'!$A$62,'Données projet'!$B$62,AI20+AH21-AQ20)))</f>
        <v>51.276971117915458</v>
      </c>
      <c r="AJ21" s="14">
        <f>AI21*VLOOKUP('Données projet'!$B$10,Paramètres!$A$1:$I$89,3,0)*VLOOKUP('Données projet'!$B$10,Paramètres!$A$1:$I$89,5,0)</f>
        <v>30.663628728513448</v>
      </c>
      <c r="AK21" s="14">
        <f t="shared" si="35"/>
        <v>9.4870815071768995</v>
      </c>
      <c r="AL21" s="22">
        <f t="shared" si="4"/>
        <v>69.929153660494023</v>
      </c>
      <c r="AM21" s="62">
        <f t="shared" si="5"/>
        <v>363.26248699382734</v>
      </c>
      <c r="AN21" s="62">
        <f ca="1">AVERAGE(OFFSET($AM$3,0,0,'Données projet'!$E$10+1,1))-AVERAGE(OFFSET($H$3,0,0,'Données projet'!$E$10+1,1))</f>
        <v>294.57089926309249</v>
      </c>
      <c r="AO21" s="62">
        <f t="shared" si="36"/>
        <v>221.0956883062172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2.1</v>
      </c>
      <c r="BD21" s="13">
        <f>IF('Données projet'!$A$88&gt;35,BD20+BC21-BL20,IF(A21&lt;'Données projet'!$A$88,$BA$205^A21,IF(A21='Données projet'!$A$88,'Données projet'!$B$88,BD20+BC21-BL20)))</f>
        <v>28.901764726506816</v>
      </c>
      <c r="BE21" s="14">
        <f>BD21*VLOOKUP('Données projet'!$B$11,Paramètres!$A$1:$I$89,3,0)*VLOOKUP('Données projet'!$B$11,Paramètres!$A$1:$I$89,5,0)</f>
        <v>26.150316724543362</v>
      </c>
      <c r="BF21" s="14">
        <f t="shared" si="37"/>
        <v>8.2420396752158016</v>
      </c>
      <c r="BG21" s="22">
        <f t="shared" si="7"/>
        <v>59.900020729580547</v>
      </c>
      <c r="BH21" s="62">
        <f t="shared" si="8"/>
        <v>353.23335406291386</v>
      </c>
      <c r="BI21" s="62">
        <f ca="1">AVERAGE(OFFSET($BH$3,0,0,'Données projet'!$E$11+1,1))-AVERAGE(OFFSET($H$3,0,0,'Données projet'!$E$11+1,1))</f>
        <v>312.29553270286209</v>
      </c>
      <c r="BJ21" s="62">
        <f t="shared" si="38"/>
        <v>175.8423124483154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11.54</v>
      </c>
      <c r="BY21" s="13">
        <f>IF('Données projet'!$A$114&gt;35,BY20+BX21-CG20,IF(A21&lt;'Données projet'!$A$114,$BV$205^A21,IF(A21='Données projet'!$A$114,'Données projet'!$B$114,BY20+BX21-CG20)))</f>
        <v>72.02</v>
      </c>
      <c r="BZ21" s="14">
        <f>BY21*VLOOKUP('Données projet'!$B$12,Paramètres!$A$1:$I$89,3,0)*VLOOKUP('Données projet'!$B$12,Paramètres!$A$1:$I$89,5,0)</f>
        <v>52.805063999999994</v>
      </c>
      <c r="CA21" s="14">
        <f t="shared" si="39"/>
        <v>15.335862338225963</v>
      </c>
      <c r="CB21" s="22">
        <f t="shared" si="10"/>
        <v>118.67878003907686</v>
      </c>
      <c r="CC21" s="62">
        <f t="shared" si="11"/>
        <v>412.01211337241017</v>
      </c>
      <c r="CD21" s="62">
        <f ca="1">AVERAGE(OFFSET($CC$3,0,0,'Données projet'!$E$12+1,1))-AVERAGE(OFFSET($H$3,0,0,'Données projet'!$E$12+1,1))</f>
        <v>217.14170654868826</v>
      </c>
      <c r="CE21" s="62">
        <f t="shared" si="40"/>
        <v>202.59844364241644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9.3859999999999992</v>
      </c>
      <c r="D22" s="12">
        <f t="shared" si="32"/>
        <v>3.3330043367174276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98.181787862380133</v>
      </c>
      <c r="H22" s="70">
        <f t="shared" si="1"/>
        <v>315.48559921978284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3.92</v>
      </c>
      <c r="N22" s="14">
        <f>IF('Données projet'!$A$36&gt;35,N21+M22-V21,IF(A22&lt;'Données projet'!$A$36,$K$205^A22,IF(A22='Données projet'!$A$36,'Données projet'!$B$36,N21+M22-V21)))</f>
        <v>32.608574778107553</v>
      </c>
      <c r="O22" s="14">
        <f>N22*VLOOKUP('Données projet'!$B$9,Paramètres!$A$1:$I$89,3,0)*VLOOKUP('Données projet'!$B$9,Paramètres!$A$1:$I$89,5,0)</f>
        <v>18.652104773077522</v>
      </c>
      <c r="P22" s="14">
        <f t="shared" si="33"/>
        <v>6.1145878622285492</v>
      </c>
      <c r="Q22" s="22">
        <f t="shared" si="2"/>
        <v>43.135323006491404</v>
      </c>
      <c r="R22" s="62">
        <f t="shared" si="0"/>
        <v>336.46865633982475</v>
      </c>
      <c r="S22" s="62">
        <f ca="1">AVERAGE(OFFSET($R$3,0,0,'Données projet'!$E$9+1,1))-AVERAGE(OFFSET($H$3,0,0,'Données projet'!$E$9+1,1))</f>
        <v>183.98573418698061</v>
      </c>
      <c r="T22" s="62">
        <f t="shared" si="34"/>
        <v>158.42298722045609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5.5909090909090908</v>
      </c>
      <c r="AI22" s="14">
        <f>IF('Données projet'!$A$62&gt;35,AI21+AH22-AQ21,IF(A22&lt;'Données projet'!$A$62,$AF$205^A22,IF(A22='Données projet'!$A$62,'Données projet'!$B$62,AI21+AH22-AQ21)))</f>
        <v>63.814306040343304</v>
      </c>
      <c r="AJ22" s="14">
        <f>AI22*VLOOKUP('Données projet'!$B$10,Paramètres!$A$1:$I$89,3,0)*VLOOKUP('Données projet'!$B$10,Paramètres!$A$1:$I$89,5,0)</f>
        <v>38.160955012125299</v>
      </c>
      <c r="AK22" s="14">
        <f t="shared" si="35"/>
        <v>11.509880661066306</v>
      </c>
      <c r="AL22" s="22">
        <f t="shared" si="4"/>
        <v>86.510038797475374</v>
      </c>
      <c r="AM22" s="62">
        <f t="shared" si="5"/>
        <v>379.84337213080869</v>
      </c>
      <c r="AN22" s="62">
        <f ca="1">AVERAGE(OFFSET($AM$3,0,0,'Données projet'!$E$10+1,1))-AVERAGE(OFFSET($H$3,0,0,'Données projet'!$E$10+1,1))</f>
        <v>294.57089926309249</v>
      </c>
      <c r="AO22" s="62">
        <f t="shared" si="36"/>
        <v>221.0956883062172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2.1</v>
      </c>
      <c r="BD22" s="13">
        <f>IF('Données projet'!$A$88&gt;35,BD21+BC22-BL21,IF(A22&lt;'Données projet'!$A$88,$BA$205^A22,IF(A22='Données projet'!$A$88,'Données projet'!$B$88,BD21+BC22-BL21)))</f>
        <v>34.840696297767764</v>
      </c>
      <c r="BE22" s="14">
        <f>BD22*VLOOKUP('Données projet'!$B$11,Paramètres!$A$1:$I$89,3,0)*VLOOKUP('Données projet'!$B$11,Paramètres!$A$1:$I$89,5,0)</f>
        <v>31.52386201022027</v>
      </c>
      <c r="BF22" s="14">
        <f t="shared" si="37"/>
        <v>9.7218710074397983</v>
      </c>
      <c r="BG22" s="22">
        <f t="shared" si="7"/>
        <v>71.836318339091292</v>
      </c>
      <c r="BH22" s="62">
        <f t="shared" si="8"/>
        <v>365.16965167242461</v>
      </c>
      <c r="BI22" s="62">
        <f ca="1">AVERAGE(OFFSET($BH$3,0,0,'Données projet'!$E$11+1,1))-AVERAGE(OFFSET($H$3,0,0,'Données projet'!$E$11+1,1))</f>
        <v>312.29553270286209</v>
      </c>
      <c r="BJ22" s="62">
        <f t="shared" si="38"/>
        <v>175.8423124483154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11.54</v>
      </c>
      <c r="BY22" s="13">
        <f>IF('Données projet'!$A$114&gt;35,BY21+BX22-CG21,IF(A22&lt;'Données projet'!$A$114,$BV$205^A22,IF(A22='Données projet'!$A$114,'Données projet'!$B$114,BY21+BX22-CG21)))</f>
        <v>83.56</v>
      </c>
      <c r="BZ22" s="14">
        <f>BY22*VLOOKUP('Données projet'!$B$12,Paramètres!$A$1:$I$89,3,0)*VLOOKUP('Données projet'!$B$12,Paramètres!$A$1:$I$89,5,0)</f>
        <v>61.266191999999997</v>
      </c>
      <c r="CA22" s="14">
        <f t="shared" si="39"/>
        <v>17.488011941198707</v>
      </c>
      <c r="CB22" s="22">
        <f t="shared" si="10"/>
        <v>137.16357186425441</v>
      </c>
      <c r="CC22" s="62">
        <f t="shared" si="11"/>
        <v>430.49690519758769</v>
      </c>
      <c r="CD22" s="62">
        <f ca="1">AVERAGE(OFFSET($CC$3,0,0,'Données projet'!$E$12+1,1))-AVERAGE(OFFSET($H$3,0,0,'Données projet'!$E$12+1,1))</f>
        <v>217.14170654868826</v>
      </c>
      <c r="CE22" s="62">
        <f t="shared" si="40"/>
        <v>202.59844364241644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9.879999999999999</v>
      </c>
      <c r="D23" s="12">
        <f t="shared" si="32"/>
        <v>3.4875408327380875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103.1880344983291</v>
      </c>
      <c r="H23" s="70">
        <f t="shared" si="1"/>
        <v>316.61513361701884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3.92</v>
      </c>
      <c r="N23" s="14">
        <f>IF('Données projet'!$A$36&gt;35,N22+M23-V22,IF(A23&lt;'Données projet'!$A$36,$K$205^A23,IF(A23='Données projet'!$A$36,'Données projet'!$B$36,N22+M23-V22)))</f>
        <v>39.172461334412446</v>
      </c>
      <c r="O23" s="14">
        <f>N23*VLOOKUP('Données projet'!$B$9,Paramètres!$A$1:$I$89,3,0)*VLOOKUP('Données projet'!$B$9,Paramètres!$A$1:$I$89,5,0)</f>
        <v>22.40664788328392</v>
      </c>
      <c r="P23" s="14">
        <f t="shared" si="33"/>
        <v>7.1902681047426107</v>
      </c>
      <c r="Q23" s="22">
        <f t="shared" si="2"/>
        <v>51.547962012479537</v>
      </c>
      <c r="R23" s="62">
        <f t="shared" si="0"/>
        <v>344.88129534581287</v>
      </c>
      <c r="S23" s="62">
        <f ca="1">AVERAGE(OFFSET($R$3,0,0,'Données projet'!$E$9+1,1))-AVERAGE(OFFSET($H$3,0,0,'Données projet'!$E$9+1,1))</f>
        <v>183.98573418698061</v>
      </c>
      <c r="T23" s="62">
        <f t="shared" si="34"/>
        <v>158.42298722045609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5.5909090909090908</v>
      </c>
      <c r="AI23" s="14">
        <f>IF('Données projet'!$A$62&gt;35,AI22+AH23-AQ22,IF(A23&lt;'Données projet'!$A$62,$AF$205^A23,IF(A23='Données projet'!$A$62,'Données projet'!$B$62,AI22+AH23-AQ22)))</f>
        <v>79.417047587426694</v>
      </c>
      <c r="AJ23" s="14">
        <f>AI23*VLOOKUP('Données projet'!$B$10,Paramètres!$A$1:$I$89,3,0)*VLOOKUP('Données projet'!$B$10,Paramètres!$A$1:$I$89,5,0)</f>
        <v>47.49139445728116</v>
      </c>
      <c r="AK23" s="14">
        <f t="shared" si="35"/>
        <v>13.96397329692701</v>
      </c>
      <c r="AL23" s="22">
        <f t="shared" si="4"/>
        <v>107.03476550524589</v>
      </c>
      <c r="AM23" s="62">
        <f t="shared" si="5"/>
        <v>400.36809883857921</v>
      </c>
      <c r="AN23" s="62">
        <f ca="1">AVERAGE(OFFSET($AM$3,0,0,'Données projet'!$E$10+1,1))-AVERAGE(OFFSET($H$3,0,0,'Données projet'!$E$10+1,1))</f>
        <v>294.57089926309249</v>
      </c>
      <c r="AO23" s="62">
        <f t="shared" si="36"/>
        <v>221.0956883062172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>
        <f>VLOOKUP(A23,'Données projet'!$A$87:$I$107,2,0)</f>
        <v>42</v>
      </c>
      <c r="BB23" s="13">
        <f>VLOOKUP(A23,'Données projet'!$A$87:$I$107,9,0)</f>
        <v>2.1</v>
      </c>
      <c r="BC23" s="13">
        <f t="array" ref="BC23">INDEX(BB:BB,MIN(IF(ISNUMBER(BB23:BB219),ROW(BB23:BB219),"")))</f>
        <v>2.1</v>
      </c>
      <c r="BD23" s="13">
        <f>IF('Données projet'!$A$88&gt;35,BD22+BC23-BL22,IF(A23&lt;'Données projet'!$A$88,$BA$205^A23,IF(A23='Données projet'!$A$88,'Données projet'!$B$88,BD22+BC23-BL22)))</f>
        <v>42</v>
      </c>
      <c r="BE23" s="14">
        <f>BD23*VLOOKUP('Données projet'!$B$11,Paramètres!$A$1:$I$89,3,0)*VLOOKUP('Données projet'!$B$11,Paramètres!$A$1:$I$89,5,0)</f>
        <v>38.001600000000003</v>
      </c>
      <c r="BF23" s="14">
        <f t="shared" si="37"/>
        <v>11.467401227090512</v>
      </c>
      <c r="BG23" s="22">
        <f t="shared" si="7"/>
        <v>86.158510470515978</v>
      </c>
      <c r="BH23" s="62">
        <f t="shared" si="8"/>
        <v>379.49184380384929</v>
      </c>
      <c r="BI23" s="62">
        <f ca="1">AVERAGE(OFFSET($BH$3,0,0,'Données projet'!$E$11+1,1))-AVERAGE(OFFSET($H$3,0,0,'Données projet'!$E$11+1,1))</f>
        <v>312.29553270286209</v>
      </c>
      <c r="BJ23" s="62">
        <f t="shared" si="38"/>
        <v>175.8423124483154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>
        <f>VLOOKUP(A23,'Données projet'!$A$113:$I$133,2,0)</f>
        <v>95.1</v>
      </c>
      <c r="BW23" s="13">
        <f>VLOOKUP(A23,'Données projet'!$A$113:$I$133,9,0)</f>
        <v>11.54</v>
      </c>
      <c r="BX23" s="13">
        <f t="array" ref="BX23">INDEX(BW:BW,MIN(IF(ISNUMBER(BW23:BW219),ROW(BW23:BW219),"")))</f>
        <v>11.54</v>
      </c>
      <c r="BY23" s="13">
        <f>IF('Données projet'!$A$114&gt;35,BY22+BX23-CG22,IF(A23&lt;'Données projet'!$A$114,$BV$205^A23,IF(A23='Données projet'!$A$114,'Données projet'!$B$114,BY22+BX23-CG22)))</f>
        <v>95.1</v>
      </c>
      <c r="BZ23" s="14">
        <f>BY23*VLOOKUP('Données projet'!$B$12,Paramètres!$A$1:$I$89,3,0)*VLOOKUP('Données projet'!$B$12,Paramètres!$A$1:$I$89,5,0)</f>
        <v>69.727319999999992</v>
      </c>
      <c r="CA23" s="14">
        <f t="shared" si="39"/>
        <v>19.605726142453484</v>
      </c>
      <c r="CB23" s="22">
        <f t="shared" si="10"/>
        <v>155.58838869810646</v>
      </c>
      <c r="CC23" s="62">
        <f t="shared" si="11"/>
        <v>448.9217220314398</v>
      </c>
      <c r="CD23" s="62">
        <f ca="1">AVERAGE(OFFSET($CC$3,0,0,'Données projet'!$E$12+1,1))-AVERAGE(OFFSET($H$3,0,0,'Données projet'!$E$12+1,1))</f>
        <v>217.14170654868826</v>
      </c>
      <c r="CE23" s="62">
        <f t="shared" si="40"/>
        <v>202.59844364241644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10.373999999999999</v>
      </c>
      <c r="D24" s="12">
        <f t="shared" si="32"/>
        <v>3.6411801438697711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108.18735549653859</v>
      </c>
      <c r="H24" s="70">
        <f t="shared" si="1"/>
        <v>317.7431054172398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3.92</v>
      </c>
      <c r="N24" s="14">
        <f>IF('Données projet'!$A$36&gt;35,N23+M24-V23,IF(A24&lt;'Données projet'!$A$36,$K$205^A24,IF(A24='Données projet'!$A$36,'Données projet'!$B$36,N23+M24-V23)))</f>
        <v>47.05761406126355</v>
      </c>
      <c r="O24" s="14">
        <f>N24*VLOOKUP('Données projet'!$B$9,Paramètres!$A$1:$I$89,3,0)*VLOOKUP('Données projet'!$B$9,Paramètres!$A$1:$I$89,5,0)</f>
        <v>26.91695524304275</v>
      </c>
      <c r="P24" s="14">
        <f t="shared" si="33"/>
        <v>8.4551823578238796</v>
      </c>
      <c r="Q24" s="22">
        <f t="shared" si="2"/>
        <v>61.606472988176044</v>
      </c>
      <c r="R24" s="62">
        <f t="shared" si="0"/>
        <v>354.93980632150937</v>
      </c>
      <c r="S24" s="62">
        <f ca="1">AVERAGE(OFFSET($R$3,0,0,'Données projet'!$E$9+1,1))-AVERAGE(OFFSET($H$3,0,0,'Données projet'!$E$9+1,1))</f>
        <v>183.98573418698061</v>
      </c>
      <c r="T24" s="62">
        <f t="shared" si="34"/>
        <v>158.42298722045609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5.5909090909090908</v>
      </c>
      <c r="AI24" s="14">
        <f>IF('Données projet'!$A$62&gt;35,AI23+AH24-AQ23,IF(A24&lt;'Données projet'!$A$62,$AF$205^A24,IF(A24='Données projet'!$A$62,'Données projet'!$B$62,AI23+AH24-AQ23)))</f>
        <v>98.834694582689295</v>
      </c>
      <c r="AJ24" s="14">
        <f>AI24*VLOOKUP('Données projet'!$B$10,Paramètres!$A$1:$I$89,3,0)*VLOOKUP('Données projet'!$B$10,Paramètres!$A$1:$I$89,5,0)</f>
        <v>59.103147360448204</v>
      </c>
      <c r="AK24" s="14">
        <f t="shared" si="35"/>
        <v>16.94131815778756</v>
      </c>
      <c r="AL24" s="22">
        <f t="shared" si="4"/>
        <v>132.44411077759398</v>
      </c>
      <c r="AM24" s="62">
        <f t="shared" si="5"/>
        <v>425.77744411092726</v>
      </c>
      <c r="AN24" s="62">
        <f ca="1">AVERAGE(OFFSET($AM$3,0,0,'Données projet'!$E$10+1,1))-AVERAGE(OFFSET($H$3,0,0,'Données projet'!$E$10+1,1))</f>
        <v>294.57089926309249</v>
      </c>
      <c r="AO24" s="62">
        <f t="shared" si="36"/>
        <v>221.0956883062172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5.6</v>
      </c>
      <c r="BD24" s="13">
        <f>IF('Données projet'!$A$88&gt;35,BD23+BC24-BL23,IF(A24&lt;'Données projet'!$A$88,$BA$205^A24,IF(A24='Données projet'!$A$88,'Données projet'!$B$88,BD23+BC24-BL23)))</f>
        <v>47.6</v>
      </c>
      <c r="BE24" s="14">
        <f>BD24*VLOOKUP('Données projet'!$B$11,Paramètres!$A$1:$I$89,3,0)*VLOOKUP('Données projet'!$B$11,Paramètres!$A$1:$I$89,5,0)</f>
        <v>43.068480000000001</v>
      </c>
      <c r="BF24" s="14">
        <f t="shared" si="37"/>
        <v>12.808416415102187</v>
      </c>
      <c r="BG24" s="22">
        <f t="shared" si="7"/>
        <v>97.318927922969635</v>
      </c>
      <c r="BH24" s="62">
        <f t="shared" si="8"/>
        <v>390.65226125630295</v>
      </c>
      <c r="BI24" s="62">
        <f ca="1">AVERAGE(OFFSET($BH$3,0,0,'Données projet'!$E$11+1,1))-AVERAGE(OFFSET($H$3,0,0,'Données projet'!$E$11+1,1))</f>
        <v>312.29553270286209</v>
      </c>
      <c r="BJ24" s="62">
        <f t="shared" si="38"/>
        <v>175.8423124483154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12.5</v>
      </c>
      <c r="BY24" s="13">
        <f>IF('Données projet'!$A$114&gt;35,BY23+BX24-CG23,IF(A24&lt;'Données projet'!$A$114,$BV$205^A24,IF(A24='Données projet'!$A$114,'Données projet'!$B$114,BY23+BX24-CG23)))</f>
        <v>107.6</v>
      </c>
      <c r="BZ24" s="14">
        <f>BY24*VLOOKUP('Données projet'!$B$12,Paramètres!$A$1:$I$89,3,0)*VLOOKUP('Données projet'!$B$12,Paramètres!$A$1:$I$89,5,0)</f>
        <v>78.892319999999998</v>
      </c>
      <c r="CA24" s="14">
        <f t="shared" si="39"/>
        <v>21.866131229595826</v>
      </c>
      <c r="CB24" s="22">
        <f t="shared" si="10"/>
        <v>175.48763589154603</v>
      </c>
      <c r="CC24" s="62">
        <f t="shared" si="11"/>
        <v>468.82096922487938</v>
      </c>
      <c r="CD24" s="62">
        <f ca="1">AVERAGE(OFFSET($CC$3,0,0,'Données projet'!$E$12+1,1))-AVERAGE(OFFSET($H$3,0,0,'Données projet'!$E$12+1,1))</f>
        <v>217.14170654868826</v>
      </c>
      <c r="CE24" s="62">
        <f t="shared" si="40"/>
        <v>202.59844364241644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10.867999999999999</v>
      </c>
      <c r="D25" s="12">
        <f t="shared" si="32"/>
        <v>3.7939698710293386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113.18011830268262</v>
      </c>
      <c r="H25" s="70">
        <f t="shared" si="1"/>
        <v>318.86959752537609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3.92</v>
      </c>
      <c r="N25" s="14">
        <f>IF('Données projet'!$A$36&gt;35,N24+M25-V24,IF(A25&lt;'Données projet'!$A$36,$K$205^A25,IF(A25='Données projet'!$A$36,'Données projet'!$B$36,N24+M25-V24)))</f>
        <v>56.529994942990569</v>
      </c>
      <c r="O25" s="14">
        <f>N25*VLOOKUP('Données projet'!$B$9,Paramètres!$A$1:$I$89,3,0)*VLOOKUP('Données projet'!$B$9,Paramètres!$A$1:$I$89,5,0)</f>
        <v>32.335157107390607</v>
      </c>
      <c r="P25" s="14">
        <f t="shared" si="33"/>
        <v>9.942620728829608</v>
      </c>
      <c r="Q25" s="22">
        <f t="shared" si="2"/>
        <v>73.633796398083533</v>
      </c>
      <c r="R25" s="62">
        <f t="shared" si="0"/>
        <v>366.96712973141683</v>
      </c>
      <c r="S25" s="62">
        <f ca="1">AVERAGE(OFFSET($R$3,0,0,'Données projet'!$E$9+1,1))-AVERAGE(OFFSET($H$3,0,0,'Données projet'!$E$9+1,1))</f>
        <v>183.98573418698061</v>
      </c>
      <c r="T25" s="62">
        <f t="shared" si="34"/>
        <v>158.42298722045609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>
        <f>VLOOKUP(A25,'Données projet'!$A$61:$I$81,2,0)</f>
        <v>123</v>
      </c>
      <c r="AG25" s="13">
        <f>VLOOKUP(A25,'Données projet'!$A$61:$I$81,9,0)</f>
        <v>5.5909090909090908</v>
      </c>
      <c r="AH25" s="13">
        <f t="array" ref="AH25">INDEX(AG:AG,MIN(IF(ISNUMBER(AG25:AG221),ROW(AG25:AG221),"")))</f>
        <v>5.5909090909090908</v>
      </c>
      <c r="AI25" s="14">
        <f>IF('Données projet'!$A$62&gt;35,AI24+AH25-AQ24,IF(A25&lt;'Données projet'!$A$62,$AF$205^A25,IF(A25='Données projet'!$A$62,'Données projet'!$B$62,AI24+AH25-AQ24)))</f>
        <v>123</v>
      </c>
      <c r="AJ25" s="14">
        <f>AI25*VLOOKUP('Données projet'!$B$10,Paramètres!$A$1:$I$89,3,0)*VLOOKUP('Données projet'!$B$10,Paramètres!$A$1:$I$89,5,0)</f>
        <v>73.554000000000016</v>
      </c>
      <c r="AK25" s="14">
        <f t="shared" si="35"/>
        <v>20.553481077376691</v>
      </c>
      <c r="AL25" s="22">
        <f t="shared" si="4"/>
        <v>163.90386287643108</v>
      </c>
      <c r="AM25" s="62">
        <f t="shared" si="5"/>
        <v>457.23719620976442</v>
      </c>
      <c r="AN25" s="62">
        <f ca="1">AVERAGE(OFFSET($AM$3,0,0,'Données projet'!$E$10+1,1))-AVERAGE(OFFSET($H$3,0,0,'Données projet'!$E$10+1,1))</f>
        <v>294.57089926309249</v>
      </c>
      <c r="AO25" s="62">
        <f t="shared" si="36"/>
        <v>221.0956883062172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5.6</v>
      </c>
      <c r="BD25" s="13">
        <f>IF('Données projet'!$A$88&gt;35,BD24+BC25-BL24,IF(A25&lt;'Données projet'!$A$88,$BA$205^A25,IF(A25='Données projet'!$A$88,'Données projet'!$B$88,BD24+BC25-BL24)))</f>
        <v>53.2</v>
      </c>
      <c r="BE25" s="14">
        <f>BD25*VLOOKUP('Données projet'!$B$11,Paramètres!$A$1:$I$89,3,0)*VLOOKUP('Données projet'!$B$11,Paramètres!$A$1:$I$89,5,0)</f>
        <v>48.135359999999999</v>
      </c>
      <c r="BF25" s="14">
        <f t="shared" si="37"/>
        <v>14.131148275361113</v>
      </c>
      <c r="BG25" s="22">
        <f t="shared" si="7"/>
        <v>108.4475019129206</v>
      </c>
      <c r="BH25" s="62">
        <f t="shared" si="8"/>
        <v>401.7808352462539</v>
      </c>
      <c r="BI25" s="62">
        <f ca="1">AVERAGE(OFFSET($BH$3,0,0,'Données projet'!$E$11+1,1))-AVERAGE(OFFSET($H$3,0,0,'Données projet'!$E$11+1,1))</f>
        <v>312.29553270286209</v>
      </c>
      <c r="BJ25" s="62">
        <f t="shared" si="38"/>
        <v>175.8423124483154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12.5</v>
      </c>
      <c r="BY25" s="13">
        <f>IF('Données projet'!$A$114&gt;35,BY24+BX25-CG24,IF(A25&lt;'Données projet'!$A$114,$BV$205^A25,IF(A25='Données projet'!$A$114,'Données projet'!$B$114,BY24+BX25-CG24)))</f>
        <v>120.1</v>
      </c>
      <c r="BZ25" s="14">
        <f>BY25*VLOOKUP('Données projet'!$B$12,Paramètres!$A$1:$I$89,3,0)*VLOOKUP('Données projet'!$B$12,Paramètres!$A$1:$I$89,5,0)</f>
        <v>88.05731999999999</v>
      </c>
      <c r="CA25" s="14">
        <f t="shared" si="39"/>
        <v>24.09610397931716</v>
      </c>
      <c r="CB25" s="22">
        <f t="shared" si="10"/>
        <v>195.3338800973107</v>
      </c>
      <c r="CC25" s="62">
        <f t="shared" si="11"/>
        <v>488.66721343064398</v>
      </c>
      <c r="CD25" s="62">
        <f ca="1">AVERAGE(OFFSET($CC$3,0,0,'Données projet'!$E$12+1,1))-AVERAGE(OFFSET($H$3,0,0,'Données projet'!$E$12+1,1))</f>
        <v>217.14170654868826</v>
      </c>
      <c r="CE25" s="62">
        <f t="shared" si="40"/>
        <v>202.59844364241644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11.361999999999998</v>
      </c>
      <c r="D26" s="12">
        <f t="shared" si="32"/>
        <v>3.945953043168259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118.16665507007077</v>
      </c>
      <c r="H26" s="70">
        <f t="shared" si="1"/>
        <v>319.994684883518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3.92</v>
      </c>
      <c r="N26" s="14">
        <f>IF('Données projet'!$A$36&gt;35,N25+M26-V25,IF(A26&lt;'Données projet'!$A$36,$K$205^A26,IF(A26='Données projet'!$A$36,'Données projet'!$B$36,N25+M26-V25)))</f>
        <v>67.909102320703866</v>
      </c>
      <c r="O26" s="14">
        <f>N26*VLOOKUP('Données projet'!$B$9,Paramètres!$A$1:$I$89,3,0)*VLOOKUP('Données projet'!$B$9,Paramètres!$A$1:$I$89,5,0)</f>
        <v>38.844006527442609</v>
      </c>
      <c r="P26" s="14">
        <f t="shared" si="33"/>
        <v>11.691729731396913</v>
      </c>
      <c r="Q26" s="22">
        <f t="shared" si="2"/>
        <v>88.016407317478823</v>
      </c>
      <c r="R26" s="62">
        <f t="shared" si="0"/>
        <v>381.34974065081212</v>
      </c>
      <c r="S26" s="62">
        <f ca="1">AVERAGE(OFFSET($R$3,0,0,'Données projet'!$E$9+1,1))-AVERAGE(OFFSET($H$3,0,0,'Données projet'!$E$9+1,1))</f>
        <v>183.98573418698061</v>
      </c>
      <c r="T26" s="62">
        <f t="shared" si="34"/>
        <v>158.42298722045609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12.333333333333334</v>
      </c>
      <c r="AI26" s="14">
        <f>IF('Données projet'!$A$62&gt;35,AI25+AH26-AQ25,IF(A26&lt;'Données projet'!$A$62,$AF$205^A26,IF(A26='Données projet'!$A$62,'Données projet'!$B$62,AI25+AH26-AQ25)))</f>
        <v>135.33333333333334</v>
      </c>
      <c r="AJ26" s="14">
        <f>AI26*VLOOKUP('Données projet'!$B$10,Paramètres!$A$1:$I$89,3,0)*VLOOKUP('Données projet'!$B$10,Paramètres!$A$1:$I$89,5,0)</f>
        <v>80.929333333333346</v>
      </c>
      <c r="AK26" s="14">
        <f t="shared" si="35"/>
        <v>22.364257994262992</v>
      </c>
      <c r="AL26" s="22">
        <f t="shared" si="4"/>
        <v>179.90300489556364</v>
      </c>
      <c r="AM26" s="62">
        <f t="shared" si="5"/>
        <v>473.23633822889695</v>
      </c>
      <c r="AN26" s="62">
        <f ca="1">AVERAGE(OFFSET($AM$3,0,0,'Données projet'!$E$10+1,1))-AVERAGE(OFFSET($H$3,0,0,'Données projet'!$E$10+1,1))</f>
        <v>294.57089926309249</v>
      </c>
      <c r="AO26" s="62">
        <f t="shared" si="36"/>
        <v>221.0956883062172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5.6</v>
      </c>
      <c r="BD26" s="13">
        <f>IF('Données projet'!$A$88&gt;35,BD25+BC26-BL25,IF(A26&lt;'Données projet'!$A$88,$BA$205^A26,IF(A26='Données projet'!$A$88,'Données projet'!$B$88,BD25+BC26-BL25)))</f>
        <v>58.800000000000004</v>
      </c>
      <c r="BE26" s="14">
        <f>BD26*VLOOKUP('Données projet'!$B$11,Paramètres!$A$1:$I$89,3,0)*VLOOKUP('Données projet'!$B$11,Paramètres!$A$1:$I$89,5,0)</f>
        <v>53.202240000000003</v>
      </c>
      <c r="BF26" s="14">
        <f t="shared" si="37"/>
        <v>15.437740642425908</v>
      </c>
      <c r="BG26" s="22">
        <f t="shared" si="7"/>
        <v>119.54796628555846</v>
      </c>
      <c r="BH26" s="62">
        <f t="shared" si="8"/>
        <v>412.88129961889177</v>
      </c>
      <c r="BI26" s="62">
        <f ca="1">AVERAGE(OFFSET($BH$3,0,0,'Données projet'!$E$11+1,1))-AVERAGE(OFFSET($H$3,0,0,'Données projet'!$E$11+1,1))</f>
        <v>312.29553270286209</v>
      </c>
      <c r="BJ26" s="62">
        <f t="shared" si="38"/>
        <v>175.8423124483154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12.5</v>
      </c>
      <c r="BY26" s="13">
        <f>IF('Données projet'!$A$114&gt;35,BY25+BX26-CG25,IF(A26&lt;'Données projet'!$A$114,$BV$205^A26,IF(A26='Données projet'!$A$114,'Données projet'!$B$114,BY25+BX26-CG25)))</f>
        <v>132.6</v>
      </c>
      <c r="BZ26" s="14">
        <f>BY26*VLOOKUP('Données projet'!$B$12,Paramètres!$A$1:$I$89,3,0)*VLOOKUP('Données projet'!$B$12,Paramètres!$A$1:$I$89,5,0)</f>
        <v>97.222319999999996</v>
      </c>
      <c r="CA26" s="14">
        <f t="shared" si="39"/>
        <v>26.299172586513929</v>
      </c>
      <c r="CB26" s="22">
        <f t="shared" si="10"/>
        <v>215.1332662548451</v>
      </c>
      <c r="CC26" s="62">
        <f t="shared" si="11"/>
        <v>508.46659958817838</v>
      </c>
      <c r="CD26" s="62">
        <f ca="1">AVERAGE(OFFSET($CC$3,0,0,'Données projet'!$E$12+1,1))-AVERAGE(OFFSET($H$3,0,0,'Données projet'!$E$12+1,1))</f>
        <v>217.14170654868826</v>
      </c>
      <c r="CE26" s="62">
        <f t="shared" si="40"/>
        <v>202.59844364241644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11.855999999999998</v>
      </c>
      <c r="D27" s="12">
        <f t="shared" si="32"/>
        <v>4.0971687359996993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123.14726743578713</v>
      </c>
      <c r="H27" s="70">
        <f t="shared" si="1"/>
        <v>321.11843554853277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3.92</v>
      </c>
      <c r="N27" s="14">
        <f>IF('Données projet'!$A$36&gt;35,N26+M27-V26,IF(A27&lt;'Données projet'!$A$36,$K$205^A27,IF(A27='Données projet'!$A$36,'Données projet'!$B$36,N26+M27-V26)))</f>
        <v>81.57874740046563</v>
      </c>
      <c r="O27" s="14">
        <f>N27*VLOOKUP('Données projet'!$B$9,Paramètres!$A$1:$I$89,3,0)*VLOOKUP('Données projet'!$B$9,Paramètres!$A$1:$I$89,5,0)</f>
        <v>46.663043513066341</v>
      </c>
      <c r="P27" s="14">
        <f t="shared" si="33"/>
        <v>13.748542546299239</v>
      </c>
      <c r="Q27" s="22">
        <f t="shared" si="2"/>
        <v>105.21684572006173</v>
      </c>
      <c r="R27" s="62">
        <f t="shared" si="0"/>
        <v>398.55017905339503</v>
      </c>
      <c r="S27" s="62">
        <f ca="1">AVERAGE(OFFSET($R$3,0,0,'Données projet'!$E$9+1,1))-AVERAGE(OFFSET($H$3,0,0,'Données projet'!$E$9+1,1))</f>
        <v>183.98573418698061</v>
      </c>
      <c r="T27" s="62">
        <f t="shared" si="34"/>
        <v>158.42298722045609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12.333333333333334</v>
      </c>
      <c r="AI27" s="14">
        <f>IF('Données projet'!$A$62&gt;35,AI26+AH27-AQ26,IF(A27&lt;'Données projet'!$A$62,$AF$205^A27,IF(A27='Données projet'!$A$62,'Données projet'!$B$62,AI26+AH27-AQ26)))</f>
        <v>147.66666666666669</v>
      </c>
      <c r="AJ27" s="14">
        <f>AI27*VLOOKUP('Données projet'!$B$10,Paramètres!$A$1:$I$89,3,0)*VLOOKUP('Données projet'!$B$10,Paramètres!$A$1:$I$89,5,0)</f>
        <v>88.304666666666677</v>
      </c>
      <c r="AK27" s="14">
        <f t="shared" si="35"/>
        <v>24.155899989082851</v>
      </c>
      <c r="AL27" s="22">
        <f t="shared" si="4"/>
        <v>195.86882025876375</v>
      </c>
      <c r="AM27" s="62">
        <f t="shared" si="5"/>
        <v>489.20215359209703</v>
      </c>
      <c r="AN27" s="62">
        <f ca="1">AVERAGE(OFFSET($AM$3,0,0,'Données projet'!$E$10+1,1))-AVERAGE(OFFSET($H$3,0,0,'Données projet'!$E$10+1,1))</f>
        <v>294.57089926309249</v>
      </c>
      <c r="AO27" s="62">
        <f t="shared" si="36"/>
        <v>221.0956883062172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5.6</v>
      </c>
      <c r="BD27" s="13">
        <f>IF('Données projet'!$A$88&gt;35,BD26+BC27-BL26,IF(A27&lt;'Données projet'!$A$88,$BA$205^A27,IF(A27='Données projet'!$A$88,'Données projet'!$B$88,BD26+BC27-BL26)))</f>
        <v>64.400000000000006</v>
      </c>
      <c r="BE27" s="14">
        <f>BD27*VLOOKUP('Données projet'!$B$11,Paramètres!$A$1:$I$89,3,0)*VLOOKUP('Données projet'!$B$11,Paramètres!$A$1:$I$89,5,0)</f>
        <v>58.269120000000008</v>
      </c>
      <c r="BF27" s="14">
        <f t="shared" si="37"/>
        <v>16.729905486873804</v>
      </c>
      <c r="BG27" s="22">
        <f t="shared" si="7"/>
        <v>130.62330272297189</v>
      </c>
      <c r="BH27" s="62">
        <f t="shared" si="8"/>
        <v>423.95663605630523</v>
      </c>
      <c r="BI27" s="62">
        <f ca="1">AVERAGE(OFFSET($BH$3,0,0,'Données projet'!$E$11+1,1))-AVERAGE(OFFSET($H$3,0,0,'Données projet'!$E$11+1,1))</f>
        <v>312.29553270286209</v>
      </c>
      <c r="BJ27" s="62">
        <f t="shared" si="38"/>
        <v>175.8423124483154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12.5</v>
      </c>
      <c r="BY27" s="13">
        <f>IF('Données projet'!$A$114&gt;35,BY26+BX27-CG26,IF(A27&lt;'Données projet'!$A$114,$BV$205^A27,IF(A27='Données projet'!$A$114,'Données projet'!$B$114,BY26+BX27-CG26)))</f>
        <v>145.1</v>
      </c>
      <c r="BZ27" s="14">
        <f>BY27*VLOOKUP('Données projet'!$B$12,Paramètres!$A$1:$I$89,3,0)*VLOOKUP('Données projet'!$B$12,Paramètres!$A$1:$I$89,5,0)</f>
        <v>106.38731999999999</v>
      </c>
      <c r="CA27" s="14">
        <f t="shared" si="39"/>
        <v>28.478161781661427</v>
      </c>
      <c r="CB27" s="22">
        <f t="shared" si="10"/>
        <v>234.89071410306022</v>
      </c>
      <c r="CC27" s="62">
        <f t="shared" si="11"/>
        <v>528.22404743639356</v>
      </c>
      <c r="CD27" s="62">
        <f ca="1">AVERAGE(OFFSET($CC$3,0,0,'Données projet'!$E$12+1,1))-AVERAGE(OFFSET($H$3,0,0,'Données projet'!$E$12+1,1))</f>
        <v>217.14170654868826</v>
      </c>
      <c r="CE27" s="62">
        <f t="shared" si="40"/>
        <v>202.59844364241644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12.349999999999998</v>
      </c>
      <c r="D28" s="12">
        <f t="shared" si="32"/>
        <v>4.2476525846986481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128.12223047837551</v>
      </c>
      <c r="H28" s="70">
        <f t="shared" si="1"/>
        <v>322.24091158501676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98</v>
      </c>
      <c r="L28" s="13">
        <f>VLOOKUP(A28,'Données projet'!$A$35:$I$55,9,0)</f>
        <v>3.92</v>
      </c>
      <c r="M28" s="13">
        <f t="array" ref="M28">INDEX(L:L,MIN(IF(ISNUMBER(L28:L224),ROW(L28:L224),"")))</f>
        <v>3.92</v>
      </c>
      <c r="N28" s="14">
        <f>IF('Données projet'!$A$36&gt;35,N27+M28-V27,IF(A28&lt;'Données projet'!$A$36,$K$205^A28,IF(A28='Données projet'!$A$36,'Données projet'!$B$36,N27+M28-V27)))</f>
        <v>98</v>
      </c>
      <c r="O28" s="14">
        <f>N28*VLOOKUP('Données projet'!$B$9,Paramètres!$A$1:$I$89,3,0)*VLOOKUP('Données projet'!$B$9,Paramètres!$A$1:$I$89,5,0)</f>
        <v>56.055999999999997</v>
      </c>
      <c r="P28" s="14">
        <f t="shared" si="33"/>
        <v>16.167190526120397</v>
      </c>
      <c r="Q28" s="22">
        <f t="shared" si="2"/>
        <v>125.78872349965967</v>
      </c>
      <c r="R28" s="62">
        <f t="shared" si="0"/>
        <v>419.122056832993</v>
      </c>
      <c r="S28" s="62">
        <f ca="1">AVERAGE(OFFSET($R$3,0,0,'Données projet'!$E$9+1,1))-AVERAGE(OFFSET($H$3,0,0,'Données projet'!$E$9+1,1))</f>
        <v>183.98573418698061</v>
      </c>
      <c r="T28" s="62">
        <f t="shared" si="34"/>
        <v>158.42298722045609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160</v>
      </c>
      <c r="AG28" s="13">
        <f>VLOOKUP(A28,'Données projet'!$A$61:$I$81,9,0)</f>
        <v>12.333333333333334</v>
      </c>
      <c r="AH28" s="13">
        <f t="array" ref="AH28">INDEX(AG:AG,MIN(IF(ISNUMBER(AG28:AG224),ROW(AG28:AG224),"")))</f>
        <v>12.333333333333334</v>
      </c>
      <c r="AI28" s="14">
        <f>IF('Données projet'!$A$62&gt;35,AI27+AH28-AQ27,IF(A28&lt;'Données projet'!$A$62,$AF$205^A28,IF(A28='Données projet'!$A$62,'Données projet'!$B$62,AI27+AH28-AQ27)))</f>
        <v>160.00000000000003</v>
      </c>
      <c r="AJ28" s="14">
        <f>AI28*VLOOKUP('Données projet'!$B$10,Paramètres!$A$1:$I$89,3,0)*VLOOKUP('Données projet'!$B$10,Paramètres!$A$1:$I$89,5,0)</f>
        <v>95.680000000000035</v>
      </c>
      <c r="AK28" s="14">
        <f t="shared" si="35"/>
        <v>25.930186937101965</v>
      </c>
      <c r="AL28" s="22">
        <f t="shared" si="4"/>
        <v>211.80440891545263</v>
      </c>
      <c r="AM28" s="62">
        <f t="shared" si="5"/>
        <v>505.13774224878591</v>
      </c>
      <c r="AN28" s="62">
        <f ca="1">AVERAGE(OFFSET($AM$3,0,0,'Données projet'!$E$10+1,1))-AVERAGE(OFFSET($H$3,0,0,'Données projet'!$E$10+1,1))</f>
        <v>294.57089926309249</v>
      </c>
      <c r="AO28" s="62">
        <f t="shared" si="36"/>
        <v>221.0956883062172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33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>
        <f>VLOOKUP(A28,'Données projet'!$A$87:$I$107,2,0)</f>
        <v>70</v>
      </c>
      <c r="BB28" s="13">
        <f>VLOOKUP(A28,'Données projet'!$A$87:$I$107,9,0)</f>
        <v>5.6</v>
      </c>
      <c r="BC28" s="13">
        <f t="array" ref="BC28">INDEX(BB:BB,MIN(IF(ISNUMBER(BB28:BB224),ROW(BB28:BB224),"")))</f>
        <v>5.6</v>
      </c>
      <c r="BD28" s="13">
        <f>IF('Données projet'!$A$88&gt;35,BD27+BC28-BL27,IF(A28&lt;'Données projet'!$A$88,$BA$205^A28,IF(A28='Données projet'!$A$88,'Données projet'!$B$88,BD27+BC28-BL27)))</f>
        <v>70</v>
      </c>
      <c r="BE28" s="14">
        <f>BD28*VLOOKUP('Données projet'!$B$11,Paramètres!$A$1:$I$89,3,0)*VLOOKUP('Données projet'!$B$11,Paramètres!$A$1:$I$89,5,0)</f>
        <v>63.335999999999991</v>
      </c>
      <c r="BF28" s="14">
        <f t="shared" si="37"/>
        <v>18.009040022946227</v>
      </c>
      <c r="BG28" s="22">
        <f t="shared" si="7"/>
        <v>141.67594470663133</v>
      </c>
      <c r="BH28" s="62">
        <f t="shared" si="8"/>
        <v>435.00927803996467</v>
      </c>
      <c r="BI28" s="62">
        <f ca="1">AVERAGE(OFFSET($BH$3,0,0,'Données projet'!$E$11+1,1))-AVERAGE(OFFSET($H$3,0,0,'Données projet'!$E$11+1,1))</f>
        <v>312.29553270286209</v>
      </c>
      <c r="BJ28" s="62">
        <f t="shared" si="38"/>
        <v>175.8423124483154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>
        <f>VLOOKUP(A28,'Données projet'!$A$113:$I$133,2,0)</f>
        <v>157.6</v>
      </c>
      <c r="BW28" s="13">
        <f>VLOOKUP(A28,'Données projet'!$A$113:$I$133,9,0)</f>
        <v>12.5</v>
      </c>
      <c r="BX28" s="13">
        <f t="array" ref="BX28">INDEX(BW:BW,MIN(IF(ISNUMBER(BW28:BW224),ROW(BW28:BW224),"")))</f>
        <v>12.5</v>
      </c>
      <c r="BY28" s="13">
        <f>IF('Données projet'!$A$114&gt;35,BY27+BX28-CG27,IF(A28&lt;'Données projet'!$A$114,$BV$205^A28,IF(A28='Données projet'!$A$114,'Données projet'!$B$114,BY27+BX28-CG27)))</f>
        <v>157.6</v>
      </c>
      <c r="BZ28" s="14">
        <f>BY28*VLOOKUP('Données projet'!$B$12,Paramètres!$A$1:$I$89,3,0)*VLOOKUP('Données projet'!$B$12,Paramètres!$A$1:$I$89,5,0)</f>
        <v>115.55231999999998</v>
      </c>
      <c r="CA28" s="14">
        <f t="shared" si="39"/>
        <v>30.635381800029723</v>
      </c>
      <c r="CB28" s="22">
        <f t="shared" si="10"/>
        <v>254.61024730171843</v>
      </c>
      <c r="CC28" s="62">
        <f t="shared" si="11"/>
        <v>547.94358063505172</v>
      </c>
      <c r="CD28" s="62">
        <f ca="1">AVERAGE(OFFSET($CC$3,0,0,'Données projet'!$E$12+1,1))-AVERAGE(OFFSET($H$3,0,0,'Données projet'!$E$12+1,1))</f>
        <v>217.14170654868826</v>
      </c>
      <c r="CE28" s="62">
        <f t="shared" si="40"/>
        <v>202.59844364241644</v>
      </c>
      <c r="CF28" s="16">
        <f>IF(ISNA(VLOOKUP(A28,'Données projet'!$A$113:$I$133,3,0)),0,VLOOKUP(A28,'Données projet'!$A$113:$I$133,3,0))</f>
        <v>1</v>
      </c>
      <c r="CG28" s="16">
        <f>IF(ISNA(VLOOKUP(A28,'Données projet'!$A$113:$I$133,4,0)),0,VLOOKUP(A28,'Données projet'!$A$113:$I$133,4,0))</f>
        <v>71.099999999999994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12.843999999999998</v>
      </c>
      <c r="D29" s="12">
        <f t="shared" si="32"/>
        <v>4.3974372122609191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133.09179602447026</v>
      </c>
      <c r="H29" s="70">
        <f t="shared" si="1"/>
        <v>323.36216981135442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10.8</v>
      </c>
      <c r="N29" s="14">
        <f>IF('Données projet'!$A$36&gt;35,N28+M29-V28,IF(A29&lt;'Données projet'!$A$36,$K$205^A29,IF(A29='Données projet'!$A$36,'Données projet'!$B$36,N28+M29-V28)))</f>
        <v>108.8</v>
      </c>
      <c r="O29" s="14">
        <f>N29*VLOOKUP('Données projet'!$B$9,Paramètres!$A$1:$I$89,3,0)*VLOOKUP('Données projet'!$B$9,Paramètres!$A$1:$I$89,5,0)</f>
        <v>62.233600000000003</v>
      </c>
      <c r="P29" s="14">
        <f t="shared" si="33"/>
        <v>17.731786268393918</v>
      </c>
      <c r="Q29" s="22">
        <f t="shared" si="2"/>
        <v>139.27304775078611</v>
      </c>
      <c r="R29" s="62">
        <f t="shared" si="0"/>
        <v>432.60638108411945</v>
      </c>
      <c r="S29" s="62">
        <f ca="1">AVERAGE(OFFSET($R$3,0,0,'Données projet'!$E$9+1,1))-AVERAGE(OFFSET($H$3,0,0,'Données projet'!$E$9+1,1))</f>
        <v>183.98573418698061</v>
      </c>
      <c r="T29" s="62">
        <f t="shared" si="34"/>
        <v>158.42298722045609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13.4</v>
      </c>
      <c r="AI29" s="14">
        <f>IF('Données projet'!$A$62&gt;35,AI28+AH29-AQ28,IF(A29&lt;'Données projet'!$A$62,$AF$205^A29,IF(A29='Données projet'!$A$62,'Données projet'!$B$62,AI28+AH29-AQ28)))</f>
        <v>140.40000000000003</v>
      </c>
      <c r="AJ29" s="14">
        <f>AI29*VLOOKUP('Données projet'!$B$10,Paramètres!$A$1:$I$89,3,0)*VLOOKUP('Données projet'!$B$10,Paramètres!$A$1:$I$89,5,0)</f>
        <v>83.959200000000024</v>
      </c>
      <c r="AK29" s="14">
        <f t="shared" si="35"/>
        <v>23.102490880810642</v>
      </c>
      <c r="AL29" s="22">
        <f t="shared" si="4"/>
        <v>186.46577828407854</v>
      </c>
      <c r="AM29" s="62">
        <f t="shared" si="5"/>
        <v>479.79911161741188</v>
      </c>
      <c r="AN29" s="62">
        <f ca="1">AVERAGE(OFFSET($AM$3,0,0,'Données projet'!$E$10+1,1))-AVERAGE(OFFSET($H$3,0,0,'Données projet'!$E$10+1,1))</f>
        <v>294.57089926309249</v>
      </c>
      <c r="AO29" s="62">
        <f t="shared" si="36"/>
        <v>221.0956883062172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7</v>
      </c>
      <c r="BD29" s="13">
        <f>IF('Données projet'!$A$88&gt;35,BD28+BC29-BL28,IF(A29&lt;'Données projet'!$A$88,$BA$205^A29,IF(A29='Données projet'!$A$88,'Données projet'!$B$88,BD28+BC29-BL28)))</f>
        <v>77</v>
      </c>
      <c r="BE29" s="14">
        <f>BD29*VLOOKUP('Données projet'!$B$11,Paramètres!$A$1:$I$89,3,0)*VLOOKUP('Données projet'!$B$11,Paramètres!$A$1:$I$89,5,0)</f>
        <v>69.669600000000003</v>
      </c>
      <c r="BF29" s="14">
        <f t="shared" si="37"/>
        <v>19.591385027476957</v>
      </c>
      <c r="BG29" s="22">
        <f t="shared" si="7"/>
        <v>155.46288225618903</v>
      </c>
      <c r="BH29" s="62">
        <f t="shared" si="8"/>
        <v>448.79621558952238</v>
      </c>
      <c r="BI29" s="62">
        <f ca="1">AVERAGE(OFFSET($BH$3,0,0,'Données projet'!$E$11+1,1))-AVERAGE(OFFSET($H$3,0,0,'Données projet'!$E$11+1,1))</f>
        <v>312.29553270286209</v>
      </c>
      <c r="BJ29" s="62">
        <f t="shared" si="38"/>
        <v>175.8423124483154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12</v>
      </c>
      <c r="BY29" s="13">
        <f>IF('Données projet'!$A$114&gt;35,BY28+BX29-CG28,IF(A29&lt;'Données projet'!$A$114,$BV$205^A29,IF(A29='Données projet'!$A$114,'Données projet'!$B$114,BY28+BX29-CG28)))</f>
        <v>98.5</v>
      </c>
      <c r="BZ29" s="14">
        <f>BY29*VLOOKUP('Données projet'!$B$12,Paramètres!$A$1:$I$89,3,0)*VLOOKUP('Données projet'!$B$12,Paramètres!$A$1:$I$89,5,0)</f>
        <v>72.220199999999991</v>
      </c>
      <c r="CA29" s="14">
        <f t="shared" si="39"/>
        <v>20.223805531081045</v>
      </c>
      <c r="CB29" s="22">
        <f t="shared" si="10"/>
        <v>161.0066429666328</v>
      </c>
      <c r="CC29" s="62">
        <f t="shared" si="11"/>
        <v>454.33997629996611</v>
      </c>
      <c r="CD29" s="62">
        <f ca="1">AVERAGE(OFFSET($CC$3,0,0,'Données projet'!$E$12+1,1))-AVERAGE(OFFSET($H$3,0,0,'Données projet'!$E$12+1,1))</f>
        <v>217.14170654868826</v>
      </c>
      <c r="CE29" s="62">
        <f t="shared" si="40"/>
        <v>202.59844364241644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13.337999999999997</v>
      </c>
      <c r="D30" s="12">
        <f t="shared" si="32"/>
        <v>4.5465525901071517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138.05619543240607</v>
      </c>
      <c r="H30" s="70">
        <f t="shared" si="1"/>
        <v>324.48226242776991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10.8</v>
      </c>
      <c r="N30" s="14">
        <f>IF('Données projet'!$A$36&gt;35,N29+M30-V29,IF(A30&lt;'Données projet'!$A$36,$K$205^A30,IF(A30='Données projet'!$A$36,'Données projet'!$B$36,N29+M30-V29)))</f>
        <v>119.6</v>
      </c>
      <c r="O30" s="14">
        <f>N30*VLOOKUP('Données projet'!$B$9,Paramètres!$A$1:$I$89,3,0)*VLOOKUP('Données projet'!$B$9,Paramètres!$A$1:$I$89,5,0)</f>
        <v>68.411199999999994</v>
      </c>
      <c r="P30" s="14">
        <f t="shared" si="33"/>
        <v>19.278376882353374</v>
      </c>
      <c r="Q30" s="22">
        <f t="shared" si="2"/>
        <v>152.72601307009879</v>
      </c>
      <c r="R30" s="62">
        <f t="shared" si="0"/>
        <v>446.05934640343207</v>
      </c>
      <c r="S30" s="62">
        <f ca="1">AVERAGE(OFFSET($R$3,0,0,'Données projet'!$E$9+1,1))-AVERAGE(OFFSET($H$3,0,0,'Données projet'!$E$9+1,1))</f>
        <v>183.98573418698061</v>
      </c>
      <c r="T30" s="62">
        <f t="shared" si="34"/>
        <v>158.42298722045609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13.4</v>
      </c>
      <c r="AI30" s="14">
        <f>IF('Données projet'!$A$62&gt;35,AI29+AH30-AQ29,IF(A30&lt;'Données projet'!$A$62,$AF$205^A30,IF(A30='Données projet'!$A$62,'Données projet'!$B$62,AI29+AH30-AQ29)))</f>
        <v>153.80000000000004</v>
      </c>
      <c r="AJ30" s="14">
        <f>AI30*VLOOKUP('Données projet'!$B$10,Paramètres!$A$1:$I$89,3,0)*VLOOKUP('Données projet'!$B$10,Paramètres!$A$1:$I$89,5,0)</f>
        <v>91.972400000000022</v>
      </c>
      <c r="AK30" s="14">
        <f t="shared" si="35"/>
        <v>25.040318527820091</v>
      </c>
      <c r="AL30" s="22">
        <f t="shared" si="4"/>
        <v>203.79715143595334</v>
      </c>
      <c r="AM30" s="62">
        <f t="shared" si="5"/>
        <v>497.13048476928668</v>
      </c>
      <c r="AN30" s="62">
        <f ca="1">AVERAGE(OFFSET($AM$3,0,0,'Données projet'!$E$10+1,1))-AVERAGE(OFFSET($H$3,0,0,'Données projet'!$E$10+1,1))</f>
        <v>294.57089926309249</v>
      </c>
      <c r="AO30" s="62">
        <f t="shared" si="36"/>
        <v>221.0956883062172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7</v>
      </c>
      <c r="BD30" s="13">
        <f>IF('Données projet'!$A$88&gt;35,BD29+BC30-BL29,IF(A30&lt;'Données projet'!$A$88,$BA$205^A30,IF(A30='Données projet'!$A$88,'Données projet'!$B$88,BD29+BC30-BL29)))</f>
        <v>84</v>
      </c>
      <c r="BE30" s="14">
        <f>BD30*VLOOKUP('Données projet'!$B$11,Paramètres!$A$1:$I$89,3,0)*VLOOKUP('Données projet'!$B$11,Paramètres!$A$1:$I$89,5,0)</f>
        <v>76.003200000000007</v>
      </c>
      <c r="BF30" s="14">
        <f t="shared" si="37"/>
        <v>21.157049992000456</v>
      </c>
      <c r="BG30" s="22">
        <f t="shared" si="7"/>
        <v>169.22076873606747</v>
      </c>
      <c r="BH30" s="62">
        <f t="shared" si="8"/>
        <v>462.55410206940076</v>
      </c>
      <c r="BI30" s="62">
        <f ca="1">AVERAGE(OFFSET($BH$3,0,0,'Données projet'!$E$11+1,1))-AVERAGE(OFFSET($H$3,0,0,'Données projet'!$E$11+1,1))</f>
        <v>312.29553270286209</v>
      </c>
      <c r="BJ30" s="62">
        <f t="shared" si="38"/>
        <v>175.8423124483154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12</v>
      </c>
      <c r="BY30" s="13">
        <f>IF('Données projet'!$A$114&gt;35,BY29+BX30-CG29,IF(A30&lt;'Données projet'!$A$114,$BV$205^A30,IF(A30='Données projet'!$A$114,'Données projet'!$B$114,BY29+BX30-CG29)))</f>
        <v>110.5</v>
      </c>
      <c r="BZ30" s="14">
        <f>BY30*VLOOKUP('Données projet'!$B$12,Paramètres!$A$1:$I$89,3,0)*VLOOKUP('Données projet'!$B$12,Paramètres!$A$1:$I$89,5,0)</f>
        <v>81.018599999999992</v>
      </c>
      <c r="CA30" s="14">
        <f t="shared" si="39"/>
        <v>22.386053436560296</v>
      </c>
      <c r="CB30" s="22">
        <f t="shared" si="10"/>
        <v>180.09643806867584</v>
      </c>
      <c r="CC30" s="62">
        <f t="shared" si="11"/>
        <v>473.42977140200912</v>
      </c>
      <c r="CD30" s="62">
        <f ca="1">AVERAGE(OFFSET($CC$3,0,0,'Données projet'!$E$12+1,1))-AVERAGE(OFFSET($H$3,0,0,'Données projet'!$E$12+1,1))</f>
        <v>217.14170654868826</v>
      </c>
      <c r="CE30" s="62">
        <f t="shared" si="40"/>
        <v>202.59844364241644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13.831999999999997</v>
      </c>
      <c r="D31" s="12">
        <f t="shared" si="32"/>
        <v>4.6950263437621773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143.01564195184838</v>
      </c>
      <c r="H31" s="70">
        <f t="shared" si="1"/>
        <v>325.6012375487191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10.8</v>
      </c>
      <c r="N31" s="14">
        <f>IF('Données projet'!$A$36&gt;35,N30+M31-V30,IF(A31&lt;'Données projet'!$A$36,$K$205^A31,IF(A31='Données projet'!$A$36,'Données projet'!$B$36,N30+M31-V30)))</f>
        <v>130.4</v>
      </c>
      <c r="O31" s="14">
        <f>N31*VLOOKUP('Données projet'!$B$9,Paramètres!$A$1:$I$89,3,0)*VLOOKUP('Données projet'!$B$9,Paramètres!$A$1:$I$89,5,0)</f>
        <v>74.588800000000006</v>
      </c>
      <c r="P31" s="14">
        <f t="shared" si="33"/>
        <v>20.808773148500993</v>
      </c>
      <c r="Q31" s="22">
        <f t="shared" si="2"/>
        <v>166.15077323363923</v>
      </c>
      <c r="R31" s="62">
        <f t="shared" si="0"/>
        <v>459.48410656697251</v>
      </c>
      <c r="S31" s="62">
        <f ca="1">AVERAGE(OFFSET($R$3,0,0,'Données projet'!$E$9+1,1))-AVERAGE(OFFSET($H$3,0,0,'Données projet'!$E$9+1,1))</f>
        <v>183.98573418698061</v>
      </c>
      <c r="T31" s="62">
        <f t="shared" si="34"/>
        <v>158.42298722045609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13.4</v>
      </c>
      <c r="AI31" s="14">
        <f>IF('Données projet'!$A$62&gt;35,AI30+AH31-AQ30,IF(A31&lt;'Données projet'!$A$62,$AF$205^A31,IF(A31='Données projet'!$A$62,'Données projet'!$B$62,AI30+AH31-AQ30)))</f>
        <v>167.20000000000005</v>
      </c>
      <c r="AJ31" s="14">
        <f>AI31*VLOOKUP('Données projet'!$B$10,Paramètres!$A$1:$I$89,3,0)*VLOOKUP('Données projet'!$B$10,Paramètres!$A$1:$I$89,5,0)</f>
        <v>99.985600000000034</v>
      </c>
      <c r="AK31" s="14">
        <f t="shared" si="35"/>
        <v>26.958566918169435</v>
      </c>
      <c r="AL31" s="22">
        <f t="shared" si="4"/>
        <v>221.09442404914515</v>
      </c>
      <c r="AM31" s="62">
        <f t="shared" si="5"/>
        <v>514.42775738247849</v>
      </c>
      <c r="AN31" s="62">
        <f ca="1">AVERAGE(OFFSET($AM$3,0,0,'Données projet'!$E$10+1,1))-AVERAGE(OFFSET($H$3,0,0,'Données projet'!$E$10+1,1))</f>
        <v>294.57089926309249</v>
      </c>
      <c r="AO31" s="62">
        <f t="shared" si="36"/>
        <v>221.0956883062172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7</v>
      </c>
      <c r="BD31" s="13">
        <f>IF('Données projet'!$A$88&gt;35,BD30+BC31-BL30,IF(A31&lt;'Données projet'!$A$88,$BA$205^A31,IF(A31='Données projet'!$A$88,'Données projet'!$B$88,BD30+BC31-BL30)))</f>
        <v>91</v>
      </c>
      <c r="BE31" s="14">
        <f>BD31*VLOOKUP('Données projet'!$B$11,Paramètres!$A$1:$I$89,3,0)*VLOOKUP('Données projet'!$B$11,Paramètres!$A$1:$I$89,5,0)</f>
        <v>82.336799999999997</v>
      </c>
      <c r="BF31" s="14">
        <f t="shared" si="37"/>
        <v>22.707582950885364</v>
      </c>
      <c r="BG31" s="22">
        <f t="shared" si="7"/>
        <v>182.95230030612535</v>
      </c>
      <c r="BH31" s="62">
        <f t="shared" si="8"/>
        <v>476.28563363945864</v>
      </c>
      <c r="BI31" s="62">
        <f ca="1">AVERAGE(OFFSET($BH$3,0,0,'Données projet'!$E$11+1,1))-AVERAGE(OFFSET($H$3,0,0,'Données projet'!$E$11+1,1))</f>
        <v>312.29553270286209</v>
      </c>
      <c r="BJ31" s="62">
        <f t="shared" si="38"/>
        <v>175.8423124483154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12</v>
      </c>
      <c r="BY31" s="13">
        <f>IF('Données projet'!$A$114&gt;35,BY30+BX31-CG30,IF(A31&lt;'Données projet'!$A$114,$BV$205^A31,IF(A31='Données projet'!$A$114,'Données projet'!$B$114,BY30+BX31-CG30)))</f>
        <v>122.5</v>
      </c>
      <c r="BZ31" s="14">
        <f>BY31*VLOOKUP('Données projet'!$B$12,Paramètres!$A$1:$I$89,3,0)*VLOOKUP('Données projet'!$B$12,Paramètres!$A$1:$I$89,5,0)</f>
        <v>89.816999999999993</v>
      </c>
      <c r="CA31" s="14">
        <f t="shared" si="39"/>
        <v>24.521084573624954</v>
      </c>
      <c r="CB31" s="22">
        <f t="shared" si="10"/>
        <v>199.13883063239675</v>
      </c>
      <c r="CC31" s="62">
        <f t="shared" si="11"/>
        <v>492.47216396573003</v>
      </c>
      <c r="CD31" s="62">
        <f ca="1">AVERAGE(OFFSET($CC$3,0,0,'Données projet'!$E$12+1,1))-AVERAGE(OFFSET($H$3,0,0,'Données projet'!$E$12+1,1))</f>
        <v>217.14170654868826</v>
      </c>
      <c r="CE31" s="62">
        <f t="shared" si="40"/>
        <v>202.59844364241644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14.325999999999997</v>
      </c>
      <c r="D32" s="12">
        <f t="shared" si="32"/>
        <v>4.8428840136387867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147.9703327368608</v>
      </c>
      <c r="H32" s="70">
        <f t="shared" si="1"/>
        <v>326.71913965708751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10.8</v>
      </c>
      <c r="N32" s="14">
        <f>IF('Données projet'!$A$36&gt;35,N31+M32-V31,IF(A32&lt;'Données projet'!$A$36,$K$205^A32,IF(A32='Données projet'!$A$36,'Données projet'!$B$36,N31+M32-V31)))</f>
        <v>141.20000000000002</v>
      </c>
      <c r="O32" s="14">
        <f>N32*VLOOKUP('Données projet'!$B$9,Paramètres!$A$1:$I$89,3,0)*VLOOKUP('Données projet'!$B$9,Paramètres!$A$1:$I$89,5,0)</f>
        <v>80.766400000000019</v>
      </c>
      <c r="P32" s="14">
        <f t="shared" si="33"/>
        <v>22.324468803802212</v>
      </c>
      <c r="Q32" s="22">
        <f t="shared" si="2"/>
        <v>179.54992983328893</v>
      </c>
      <c r="R32" s="62">
        <f t="shared" si="0"/>
        <v>472.88326316662221</v>
      </c>
      <c r="S32" s="62">
        <f ca="1">AVERAGE(OFFSET($R$3,0,0,'Données projet'!$E$9+1,1))-AVERAGE(OFFSET($H$3,0,0,'Données projet'!$E$9+1,1))</f>
        <v>183.98573418698061</v>
      </c>
      <c r="T32" s="62">
        <f t="shared" si="34"/>
        <v>158.42298722045609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13.4</v>
      </c>
      <c r="AI32" s="14">
        <f>IF('Données projet'!$A$62&gt;35,AI31+AH32-AQ31,IF(A32&lt;'Données projet'!$A$62,$AF$205^A32,IF(A32='Données projet'!$A$62,'Données projet'!$B$62,AI31+AH32-AQ31)))</f>
        <v>180.60000000000005</v>
      </c>
      <c r="AJ32" s="14">
        <f>AI32*VLOOKUP('Données projet'!$B$10,Paramètres!$A$1:$I$89,3,0)*VLOOKUP('Données projet'!$B$10,Paramètres!$A$1:$I$89,5,0)</f>
        <v>107.99880000000003</v>
      </c>
      <c r="AK32" s="14">
        <f t="shared" si="35"/>
        <v>28.85898360070161</v>
      </c>
      <c r="AL32" s="22">
        <f t="shared" si="4"/>
        <v>238.36063977122203</v>
      </c>
      <c r="AM32" s="62">
        <f t="shared" si="5"/>
        <v>531.69397310455531</v>
      </c>
      <c r="AN32" s="62">
        <f ca="1">AVERAGE(OFFSET($AM$3,0,0,'Données projet'!$E$10+1,1))-AVERAGE(OFFSET($H$3,0,0,'Données projet'!$E$10+1,1))</f>
        <v>294.57089926309249</v>
      </c>
      <c r="AO32" s="62">
        <f t="shared" si="36"/>
        <v>221.0956883062172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7</v>
      </c>
      <c r="BD32" s="13">
        <f>IF('Données projet'!$A$88&gt;35,BD31+BC32-BL31,IF(A32&lt;'Données projet'!$A$88,$BA$205^A32,IF(A32='Données projet'!$A$88,'Données projet'!$B$88,BD31+BC32-BL31)))</f>
        <v>98</v>
      </c>
      <c r="BE32" s="14">
        <f>BD32*VLOOKUP('Données projet'!$B$11,Paramètres!$A$1:$I$89,3,0)*VLOOKUP('Données projet'!$B$11,Paramètres!$A$1:$I$89,5,0)</f>
        <v>88.670400000000001</v>
      </c>
      <c r="BF32" s="14">
        <f t="shared" si="37"/>
        <v>24.244280250395512</v>
      </c>
      <c r="BG32" s="22">
        <f t="shared" si="7"/>
        <v>196.65973476943884</v>
      </c>
      <c r="BH32" s="62">
        <f t="shared" si="8"/>
        <v>489.99306810277216</v>
      </c>
      <c r="BI32" s="62">
        <f ca="1">AVERAGE(OFFSET($BH$3,0,0,'Données projet'!$E$11+1,1))-AVERAGE(OFFSET($H$3,0,0,'Données projet'!$E$11+1,1))</f>
        <v>312.29553270286209</v>
      </c>
      <c r="BJ32" s="62">
        <f t="shared" si="38"/>
        <v>175.8423124483154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12</v>
      </c>
      <c r="BY32" s="13">
        <f>IF('Données projet'!$A$114&gt;35,BY31+BX32-CG31,IF(A32&lt;'Données projet'!$A$114,$BV$205^A32,IF(A32='Données projet'!$A$114,'Données projet'!$B$114,BY31+BX32-CG31)))</f>
        <v>134.5</v>
      </c>
      <c r="BZ32" s="14">
        <f>BY32*VLOOKUP('Données projet'!$B$12,Paramètres!$A$1:$I$89,3,0)*VLOOKUP('Données projet'!$B$12,Paramètres!$A$1:$I$89,5,0)</f>
        <v>98.615399999999994</v>
      </c>
      <c r="CA32" s="14">
        <f t="shared" si="39"/>
        <v>26.631868496814743</v>
      </c>
      <c r="CB32" s="22">
        <f t="shared" si="10"/>
        <v>218.13899263195233</v>
      </c>
      <c r="CC32" s="62">
        <f t="shared" si="11"/>
        <v>511.47232596528568</v>
      </c>
      <c r="CD32" s="62">
        <f ca="1">AVERAGE(OFFSET($CC$3,0,0,'Données projet'!$E$12+1,1))-AVERAGE(OFFSET($H$3,0,0,'Données projet'!$E$12+1,1))</f>
        <v>217.14170654868826</v>
      </c>
      <c r="CE32" s="62">
        <f t="shared" si="40"/>
        <v>202.59844364241644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14.819999999999997</v>
      </c>
      <c r="D33" s="12">
        <f t="shared" si="32"/>
        <v>4.9901492788407467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152.92045057350751</v>
      </c>
      <c r="H33" s="70">
        <f t="shared" si="1"/>
        <v>327.83600999398095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152</v>
      </c>
      <c r="L33" s="13">
        <f>VLOOKUP(A33,'Données projet'!$A$35:$I$55,9,0)</f>
        <v>10.8</v>
      </c>
      <c r="M33" s="13">
        <f t="array" ref="M33">INDEX(L:L,MIN(IF(ISNUMBER(L33:L229),ROW(L33:L229),"")))</f>
        <v>10.8</v>
      </c>
      <c r="N33" s="14">
        <f>IF('Données projet'!$A$36&gt;35,N32+M33-V32,IF(A33&lt;'Données projet'!$A$36,$K$205^A33,IF(A33='Données projet'!$A$36,'Données projet'!$B$36,N32+M33-V32)))</f>
        <v>152.00000000000003</v>
      </c>
      <c r="O33" s="14">
        <f>N33*VLOOKUP('Données projet'!$B$9,Paramètres!$A$1:$I$89,3,0)*VLOOKUP('Données projet'!$B$9,Paramètres!$A$1:$I$89,5,0)</f>
        <v>86.944000000000017</v>
      </c>
      <c r="P33" s="14">
        <f t="shared" si="33"/>
        <v>23.826716103983021</v>
      </c>
      <c r="Q33" s="22">
        <f t="shared" si="2"/>
        <v>192.92566388110376</v>
      </c>
      <c r="R33" s="62">
        <f t="shared" si="0"/>
        <v>486.25899721443704</v>
      </c>
      <c r="S33" s="62">
        <f ca="1">AVERAGE(OFFSET($R$3,0,0,'Données projet'!$E$9+1,1))-AVERAGE(OFFSET($H$3,0,0,'Données projet'!$E$9+1,1))</f>
        <v>183.98573418698061</v>
      </c>
      <c r="T33" s="62">
        <f t="shared" si="34"/>
        <v>158.42298722045609</v>
      </c>
      <c r="U33" s="16">
        <f>IF(ISNA(VLOOKUP(A33,'Données projet'!$A$35:$I$55,3,0)),0,VLOOKUP(A33,'Données projet'!$A$35:$I$55,3,0))</f>
        <v>1</v>
      </c>
      <c r="V33" s="16">
        <f>IF(ISNA(VLOOKUP(A33,'Données projet'!$A$35:$I$55,4,0)),0,VLOOKUP(A33,'Données projet'!$A$35:$I$55,4,0))</f>
        <v>35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194</v>
      </c>
      <c r="AG33" s="13">
        <f>VLOOKUP(A33,'Données projet'!$A$61:$I$81,9,0)</f>
        <v>13.4</v>
      </c>
      <c r="AH33" s="13">
        <f t="array" ref="AH33">INDEX(AG:AG,MIN(IF(ISNUMBER(AG33:AG229),ROW(AG33:AG229),"")))</f>
        <v>13.4</v>
      </c>
      <c r="AI33" s="14">
        <f>IF('Données projet'!$A$62&gt;35,AI32+AH33-AQ32,IF(A33&lt;'Données projet'!$A$62,$AF$205^A33,IF(A33='Données projet'!$A$62,'Données projet'!$B$62,AI32+AH33-AQ32)))</f>
        <v>194.00000000000006</v>
      </c>
      <c r="AJ33" s="14">
        <f>AI33*VLOOKUP('Données projet'!$B$10,Paramètres!$A$1:$I$89,3,0)*VLOOKUP('Données projet'!$B$10,Paramètres!$A$1:$I$89,5,0)</f>
        <v>116.01200000000003</v>
      </c>
      <c r="AK33" s="14">
        <f t="shared" si="35"/>
        <v>30.743042086238173</v>
      </c>
      <c r="AL33" s="22">
        <f t="shared" si="4"/>
        <v>255.59836496686489</v>
      </c>
      <c r="AM33" s="62">
        <f t="shared" si="5"/>
        <v>548.93169830019815</v>
      </c>
      <c r="AN33" s="62">
        <f ca="1">AVERAGE(OFFSET($AM$3,0,0,'Données projet'!$E$10+1,1))-AVERAGE(OFFSET($H$3,0,0,'Données projet'!$E$10+1,1))</f>
        <v>294.57089926309249</v>
      </c>
      <c r="AO33" s="62">
        <f t="shared" si="36"/>
        <v>221.0956883062172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34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105</v>
      </c>
      <c r="BB33" s="13">
        <f>VLOOKUP(A33,'Données projet'!$A$87:$I$107,9,0)</f>
        <v>7</v>
      </c>
      <c r="BC33" s="13">
        <f t="array" ref="BC33">INDEX(BB:BB,MIN(IF(ISNUMBER(BB33:BB229),ROW(BB33:BB229),"")))</f>
        <v>7</v>
      </c>
      <c r="BD33" s="13">
        <f>IF('Données projet'!$A$88&gt;35,BD32+BC33-BL32,IF(A33&lt;'Données projet'!$A$88,$BA$205^A33,IF(A33='Données projet'!$A$88,'Données projet'!$B$88,BD32+BC33-BL32)))</f>
        <v>105</v>
      </c>
      <c r="BE33" s="14">
        <f>BD33*VLOOKUP('Données projet'!$B$11,Paramètres!$A$1:$I$89,3,0)*VLOOKUP('Données projet'!$B$11,Paramètres!$A$1:$I$89,5,0)</f>
        <v>95.004000000000005</v>
      </c>
      <c r="BF33" s="14">
        <f t="shared" si="37"/>
        <v>25.768242550600785</v>
      </c>
      <c r="BG33" s="22">
        <f t="shared" si="7"/>
        <v>210.34498910896306</v>
      </c>
      <c r="BH33" s="62">
        <f t="shared" si="8"/>
        <v>503.67832244229635</v>
      </c>
      <c r="BI33" s="62">
        <f ca="1">AVERAGE(OFFSET($BH$3,0,0,'Données projet'!$E$11+1,1))-AVERAGE(OFFSET($H$3,0,0,'Données projet'!$E$11+1,1))</f>
        <v>312.29553270286209</v>
      </c>
      <c r="BJ33" s="62">
        <f t="shared" si="38"/>
        <v>175.8423124483154</v>
      </c>
      <c r="BK33" s="16">
        <f>IF(ISNA(VLOOKUP(A33,'Données projet'!$A$87:$I$107,3,0)),0,VLOOKUP(A33,'Données projet'!$A$87:$I$107,3,0))</f>
        <v>1</v>
      </c>
      <c r="BL33" s="16">
        <f>IF(ISNA(VLOOKUP(A33,'Données projet'!$A$87:$I$107,4,0)),0,VLOOKUP(A33,'Données projet'!$A$87:$I$107,4,0))</f>
        <v>29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146.5</v>
      </c>
      <c r="BW33" s="13">
        <f>VLOOKUP(A33,'Données projet'!$A$113:$I$133,9,0)</f>
        <v>12</v>
      </c>
      <c r="BX33" s="13">
        <f t="array" ref="BX33">INDEX(BW:BW,MIN(IF(ISNUMBER(BW33:BW229),ROW(BW33:BW229),"")))</f>
        <v>12</v>
      </c>
      <c r="BY33" s="13">
        <f>IF('Données projet'!$A$114&gt;35,BY32+BX33-CG32,IF(A33&lt;'Données projet'!$A$114,$BV$205^A33,IF(A33='Données projet'!$A$114,'Données projet'!$B$114,BY32+BX33-CG32)))</f>
        <v>146.5</v>
      </c>
      <c r="BZ33" s="14">
        <f>BY33*VLOOKUP('Données projet'!$B$12,Paramètres!$A$1:$I$89,3,0)*VLOOKUP('Données projet'!$B$12,Paramètres!$A$1:$I$89,5,0)</f>
        <v>107.41379999999998</v>
      </c>
      <c r="CA33" s="14">
        <f t="shared" si="39"/>
        <v>28.720814528075064</v>
      </c>
      <c r="CB33" s="22">
        <f t="shared" si="10"/>
        <v>237.10112030306402</v>
      </c>
      <c r="CC33" s="62">
        <f t="shared" si="11"/>
        <v>530.43445363639739</v>
      </c>
      <c r="CD33" s="62">
        <f ca="1">AVERAGE(OFFSET($CC$3,0,0,'Données projet'!$E$12+1,1))-AVERAGE(OFFSET($H$3,0,0,'Données projet'!$E$12+1,1))</f>
        <v>217.14170654868826</v>
      </c>
      <c r="CE33" s="62">
        <f t="shared" si="40"/>
        <v>202.59844364241644</v>
      </c>
      <c r="CF33" s="16">
        <f>IF(ISNA(VLOOKUP(A33,'Données projet'!$A$113:$I$133,3,0)),0,VLOOKUP(A33,'Données projet'!$A$113:$I$133,3,0))</f>
        <v>2</v>
      </c>
      <c r="CG33" s="16">
        <f>IF(ISNA(VLOOKUP(A33,'Données projet'!$A$113:$I$133,4,0)),0,VLOOKUP(A33,'Données projet'!$A$113:$I$133,4,0))</f>
        <v>28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15.313999999999997</v>
      </c>
      <c r="D34" s="12">
        <f t="shared" si="32"/>
        <v>5.1368441502871578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157.86616537063767</v>
      </c>
      <c r="H34" s="70">
        <f t="shared" si="1"/>
        <v>328.95188689508342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10.8</v>
      </c>
      <c r="N34" s="14">
        <f>IF('Données projet'!$A$36&gt;35,N33+M34-V33,IF(A34&lt;'Données projet'!$A$36,$K$205^A34,IF(A34='Données projet'!$A$36,'Données projet'!$B$36,N33+M34-V33)))</f>
        <v>127.80000000000004</v>
      </c>
      <c r="O34" s="14">
        <f>N34*VLOOKUP('Données projet'!$B$9,Paramètres!$A$1:$I$89,3,0)*VLOOKUP('Données projet'!$B$9,Paramètres!$A$1:$I$89,5,0)</f>
        <v>73.101600000000033</v>
      </c>
      <c r="P34" s="14">
        <f t="shared" si="33"/>
        <v>20.441739914591096</v>
      </c>
      <c r="Q34" s="22">
        <f t="shared" si="2"/>
        <v>162.92131701791286</v>
      </c>
      <c r="R34" s="62">
        <f t="shared" si="0"/>
        <v>456.25465035124614</v>
      </c>
      <c r="S34" s="62">
        <f ca="1">AVERAGE(OFFSET($R$3,0,0,'Données projet'!$E$9+1,1))-AVERAGE(OFFSET($H$3,0,0,'Données projet'!$E$9+1,1))</f>
        <v>183.98573418698061</v>
      </c>
      <c r="T34" s="62">
        <f t="shared" si="34"/>
        <v>158.42298722045609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14.6</v>
      </c>
      <c r="AI34" s="14">
        <f>IF('Données projet'!$A$62&gt;35,AI33+AH34-AQ33,IF(A34&lt;'Données projet'!$A$62,$AF$205^A34,IF(A34='Données projet'!$A$62,'Données projet'!$B$62,AI33+AH34-AQ33)))</f>
        <v>174.60000000000005</v>
      </c>
      <c r="AJ34" s="14">
        <f>AI34*VLOOKUP('Données projet'!$B$10,Paramètres!$A$1:$I$89,3,0)*VLOOKUP('Données projet'!$B$10,Paramètres!$A$1:$I$89,5,0)</f>
        <v>104.41080000000004</v>
      </c>
      <c r="AK34" s="14">
        <f t="shared" si="35"/>
        <v>28.010155571424168</v>
      </c>
      <c r="AL34" s="22">
        <f t="shared" si="4"/>
        <v>230.63316428689714</v>
      </c>
      <c r="AM34" s="62">
        <f t="shared" si="5"/>
        <v>523.96649762023048</v>
      </c>
      <c r="AN34" s="62">
        <f ca="1">AVERAGE(OFFSET($AM$3,0,0,'Données projet'!$E$10+1,1))-AVERAGE(OFFSET($H$3,0,0,'Données projet'!$E$10+1,1))</f>
        <v>294.57089926309249</v>
      </c>
      <c r="AO34" s="62">
        <f t="shared" si="36"/>
        <v>221.0956883062172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8</v>
      </c>
      <c r="BD34" s="13">
        <f>IF('Données projet'!$A$88&gt;35,BD33+BC34-BL33,IF(A34&lt;'Données projet'!$A$88,$BA$205^A34,IF(A34='Données projet'!$A$88,'Données projet'!$B$88,BD33+BC34-BL33)))</f>
        <v>84</v>
      </c>
      <c r="BE34" s="14">
        <f>BD34*VLOOKUP('Données projet'!$B$11,Paramètres!$A$1:$I$89,3,0)*VLOOKUP('Données projet'!$B$11,Paramètres!$A$1:$I$89,5,0)</f>
        <v>76.003200000000007</v>
      </c>
      <c r="BF34" s="14">
        <f t="shared" si="37"/>
        <v>21.157049992000456</v>
      </c>
      <c r="BG34" s="22">
        <f t="shared" si="7"/>
        <v>169.22076873606747</v>
      </c>
      <c r="BH34" s="62">
        <f t="shared" si="8"/>
        <v>462.55410206940076</v>
      </c>
      <c r="BI34" s="62">
        <f ca="1">AVERAGE(OFFSET($BH$3,0,0,'Données projet'!$E$11+1,1))-AVERAGE(OFFSET($H$3,0,0,'Données projet'!$E$11+1,1))</f>
        <v>312.29553270286209</v>
      </c>
      <c r="BJ34" s="62">
        <f t="shared" si="38"/>
        <v>175.8423124483154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10.780000000000001</v>
      </c>
      <c r="BY34" s="13">
        <f>IF('Données projet'!$A$114&gt;35,BY33+BX34-CG33,IF(A34&lt;'Données projet'!$A$114,$BV$205^A34,IF(A34='Données projet'!$A$114,'Données projet'!$B$114,BY33+BX34-CG33)))</f>
        <v>129.28</v>
      </c>
      <c r="BZ34" s="14">
        <f>BY34*VLOOKUP('Données projet'!$B$12,Paramètres!$A$1:$I$89,3,0)*VLOOKUP('Données projet'!$B$12,Paramètres!$A$1:$I$89,5,0)</f>
        <v>94.788095999999996</v>
      </c>
      <c r="CA34" s="14">
        <f t="shared" si="39"/>
        <v>25.716491783608316</v>
      </c>
      <c r="CB34" s="22">
        <f t="shared" si="10"/>
        <v>209.87882372311779</v>
      </c>
      <c r="CC34" s="62">
        <f t="shared" si="11"/>
        <v>503.21215705645113</v>
      </c>
      <c r="CD34" s="62">
        <f ca="1">AVERAGE(OFFSET($CC$3,0,0,'Données projet'!$E$12+1,1))-AVERAGE(OFFSET($H$3,0,0,'Données projet'!$E$12+1,1))</f>
        <v>217.14170654868826</v>
      </c>
      <c r="CE34" s="62">
        <f t="shared" si="40"/>
        <v>202.59844364241644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15.807999999999996</v>
      </c>
      <c r="D35" s="12">
        <f t="shared" si="32"/>
        <v>5.2829891382175349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162.80763545290725</v>
      </c>
      <c r="H35" s="70">
        <f t="shared" si="1"/>
        <v>330.06680608239549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10.8</v>
      </c>
      <c r="N35" s="14">
        <f>IF('Données projet'!$A$36&gt;35,N34+M35-V34,IF(A35&lt;'Données projet'!$A$36,$K$205^A35,IF(A35='Données projet'!$A$36,'Données projet'!$B$36,N34+M35-V34)))</f>
        <v>138.60000000000005</v>
      </c>
      <c r="O35" s="14">
        <f>N35*VLOOKUP('Données projet'!$B$9,Paramètres!$A$1:$I$89,3,0)*VLOOKUP('Données projet'!$B$9,Paramètres!$A$1:$I$89,5,0)</f>
        <v>79.279200000000031</v>
      </c>
      <c r="P35" s="14">
        <f t="shared" si="33"/>
        <v>21.960852053344638</v>
      </c>
      <c r="Q35" s="22">
        <f t="shared" ref="Q35:Q66" si="53">(O35+P35)*0.475*44/12</f>
        <v>176.32642399290864</v>
      </c>
      <c r="R35" s="62">
        <f t="shared" si="0"/>
        <v>469.65975732624196</v>
      </c>
      <c r="S35" s="62">
        <f ca="1">AVERAGE(OFFSET($R$3,0,0,'Données projet'!$E$9+1,1))-AVERAGE(OFFSET($H$3,0,0,'Données projet'!$E$9+1,1))</f>
        <v>183.98573418698061</v>
      </c>
      <c r="T35" s="62">
        <f t="shared" si="34"/>
        <v>158.42298722045609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14.6</v>
      </c>
      <c r="AI35" s="14">
        <f>IF('Données projet'!$A$62&gt;35,AI34+AH35-AQ34,IF(A35&lt;'Données projet'!$A$62,$AF$205^A35,IF(A35='Données projet'!$A$62,'Données projet'!$B$62,AI34+AH35-AQ34)))</f>
        <v>189.20000000000005</v>
      </c>
      <c r="AJ35" s="14">
        <f>AI35*VLOOKUP('Données projet'!$B$10,Paramètres!$A$1:$I$89,3,0)*VLOOKUP('Données projet'!$B$10,Paramètres!$A$1:$I$89,5,0)</f>
        <v>113.14160000000004</v>
      </c>
      <c r="AK35" s="14">
        <f t="shared" si="35"/>
        <v>30.069952587742019</v>
      </c>
      <c r="AL35" s="22">
        <f t="shared" si="4"/>
        <v>249.42678742365072</v>
      </c>
      <c r="AM35" s="62">
        <f t="shared" si="5"/>
        <v>542.76012075698407</v>
      </c>
      <c r="AN35" s="62">
        <f ca="1">AVERAGE(OFFSET($AM$3,0,0,'Données projet'!$E$10+1,1))-AVERAGE(OFFSET($H$3,0,0,'Données projet'!$E$10+1,1))</f>
        <v>294.57089926309249</v>
      </c>
      <c r="AO35" s="62">
        <f t="shared" si="36"/>
        <v>221.0956883062172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8</v>
      </c>
      <c r="BD35" s="13">
        <f>IF('Données projet'!$A$88&gt;35,BD34+BC35-BL34,IF(A35&lt;'Données projet'!$A$88,$BA$205^A35,IF(A35='Données projet'!$A$88,'Données projet'!$B$88,BD34+BC35-BL34)))</f>
        <v>92</v>
      </c>
      <c r="BE35" s="14">
        <f>BD35*VLOOKUP('Données projet'!$B$11,Paramètres!$A$1:$I$89,3,0)*VLOOKUP('Données projet'!$B$11,Paramètres!$A$1:$I$89,5,0)</f>
        <v>83.241600000000005</v>
      </c>
      <c r="BF35" s="14">
        <f t="shared" si="37"/>
        <v>22.927930643846508</v>
      </c>
      <c r="BG35" s="22">
        <f t="shared" si="7"/>
        <v>184.91193253803269</v>
      </c>
      <c r="BH35" s="62">
        <f t="shared" si="8"/>
        <v>478.24526587136597</v>
      </c>
      <c r="BI35" s="62">
        <f ca="1">AVERAGE(OFFSET($BH$3,0,0,'Données projet'!$E$11+1,1))-AVERAGE(OFFSET($H$3,0,0,'Données projet'!$E$11+1,1))</f>
        <v>312.29553270286209</v>
      </c>
      <c r="BJ35" s="62">
        <f t="shared" si="38"/>
        <v>175.8423124483154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10.780000000000001</v>
      </c>
      <c r="BY35" s="13">
        <f>IF('Données projet'!$A$114&gt;35,BY34+BX35-CG34,IF(A35&lt;'Données projet'!$A$114,$BV$205^A35,IF(A35='Données projet'!$A$114,'Données projet'!$B$114,BY34+BX35-CG34)))</f>
        <v>140.06</v>
      </c>
      <c r="BZ35" s="14">
        <f>BY35*VLOOKUP('Données projet'!$B$12,Paramètres!$A$1:$I$89,3,0)*VLOOKUP('Données projet'!$B$12,Paramètres!$A$1:$I$89,5,0)</f>
        <v>102.691992</v>
      </c>
      <c r="CA35" s="14">
        <f t="shared" si="39"/>
        <v>27.602332648633649</v>
      </c>
      <c r="CB35" s="22">
        <f t="shared" si="10"/>
        <v>226.92928209637023</v>
      </c>
      <c r="CC35" s="62">
        <f t="shared" si="11"/>
        <v>520.2626154297036</v>
      </c>
      <c r="CD35" s="62">
        <f ca="1">AVERAGE(OFFSET($CC$3,0,0,'Données projet'!$E$12+1,1))-AVERAGE(OFFSET($H$3,0,0,'Données projet'!$E$12+1,1))</f>
        <v>217.14170654868826</v>
      </c>
      <c r="CE35" s="62">
        <f t="shared" si="40"/>
        <v>202.59844364241644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16.301999999999996</v>
      </c>
      <c r="D36" s="12">
        <f t="shared" si="32"/>
        <v>5.4286033981705613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167.74500868763238</v>
      </c>
      <c r="H36" s="70">
        <f t="shared" si="1"/>
        <v>331.18080091848037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10.8</v>
      </c>
      <c r="N36" s="14">
        <f>IF('Données projet'!$A$36&gt;35,N35+M36-V35,IF(A36&lt;'Données projet'!$A$36,$K$205^A36,IF(A36='Données projet'!$A$36,'Données projet'!$B$36,N35+M36-V35)))</f>
        <v>149.40000000000006</v>
      </c>
      <c r="O36" s="14">
        <f>N36*VLOOKUP('Données projet'!$B$9,Paramètres!$A$1:$I$89,3,0)*VLOOKUP('Données projet'!$B$9,Paramètres!$A$1:$I$89,5,0)</f>
        <v>85.456800000000044</v>
      </c>
      <c r="P36" s="14">
        <f t="shared" si="33"/>
        <v>23.466233286749603</v>
      </c>
      <c r="Q36" s="22">
        <f t="shared" si="53"/>
        <v>189.70761630775561</v>
      </c>
      <c r="R36" s="62">
        <f t="shared" si="0"/>
        <v>483.0409496410889</v>
      </c>
      <c r="S36" s="62">
        <f ca="1">AVERAGE(OFFSET($R$3,0,0,'Données projet'!$E$9+1,1))-AVERAGE(OFFSET($H$3,0,0,'Données projet'!$E$9+1,1))</f>
        <v>183.98573418698061</v>
      </c>
      <c r="T36" s="62">
        <f t="shared" si="34"/>
        <v>158.42298722045609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14.6</v>
      </c>
      <c r="AI36" s="14">
        <f>IF('Données projet'!$A$62&gt;35,AI35+AH36-AQ35,IF(A36&lt;'Données projet'!$A$62,$AF$205^A36,IF(A36='Données projet'!$A$62,'Données projet'!$B$62,AI35+AH36-AQ35)))</f>
        <v>203.80000000000004</v>
      </c>
      <c r="AJ36" s="14">
        <f>AI36*VLOOKUP('Données projet'!$B$10,Paramètres!$A$1:$I$89,3,0)*VLOOKUP('Données projet'!$B$10,Paramètres!$A$1:$I$89,5,0)</f>
        <v>121.87240000000003</v>
      </c>
      <c r="AK36" s="14">
        <f t="shared" si="35"/>
        <v>32.111311550408985</v>
      </c>
      <c r="AL36" s="22">
        <f t="shared" si="4"/>
        <v>268.1882976169623</v>
      </c>
      <c r="AM36" s="62">
        <f t="shared" si="5"/>
        <v>561.52163095029562</v>
      </c>
      <c r="AN36" s="62">
        <f ca="1">AVERAGE(OFFSET($AM$3,0,0,'Données projet'!$E$10+1,1))-AVERAGE(OFFSET($H$3,0,0,'Données projet'!$E$10+1,1))</f>
        <v>294.57089926309249</v>
      </c>
      <c r="AO36" s="62">
        <f t="shared" si="36"/>
        <v>221.0956883062172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8</v>
      </c>
      <c r="BD36" s="13">
        <f>IF('Données projet'!$A$88&gt;35,BD35+BC36-BL35,IF(A36&lt;'Données projet'!$A$88,$BA$205^A36,IF(A36='Données projet'!$A$88,'Données projet'!$B$88,BD35+BC36-BL35)))</f>
        <v>100</v>
      </c>
      <c r="BE36" s="14">
        <f>BD36*VLOOKUP('Données projet'!$B$11,Paramètres!$A$1:$I$89,3,0)*VLOOKUP('Données projet'!$B$11,Paramètres!$A$1:$I$89,5,0)</f>
        <v>90.47999999999999</v>
      </c>
      <c r="BF36" s="14">
        <f t="shared" si="37"/>
        <v>24.680953573367994</v>
      </c>
      <c r="BG36" s="22">
        <f t="shared" si="7"/>
        <v>200.57199414028256</v>
      </c>
      <c r="BH36" s="62">
        <f t="shared" si="8"/>
        <v>493.9053274736159</v>
      </c>
      <c r="BI36" s="62">
        <f ca="1">AVERAGE(OFFSET($BH$3,0,0,'Données projet'!$E$11+1,1))-AVERAGE(OFFSET($H$3,0,0,'Données projet'!$E$11+1,1))</f>
        <v>312.29553270286209</v>
      </c>
      <c r="BJ36" s="62">
        <f t="shared" si="38"/>
        <v>175.8423124483154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10.780000000000001</v>
      </c>
      <c r="BY36" s="13">
        <f>IF('Données projet'!$A$114&gt;35,BY35+BX36-CG35,IF(A36&lt;'Données projet'!$A$114,$BV$205^A36,IF(A36='Données projet'!$A$114,'Données projet'!$B$114,BY35+BX36-CG35)))</f>
        <v>150.84</v>
      </c>
      <c r="BZ36" s="14">
        <f>BY36*VLOOKUP('Données projet'!$B$12,Paramètres!$A$1:$I$89,3,0)*VLOOKUP('Données projet'!$B$12,Paramètres!$A$1:$I$89,5,0)</f>
        <v>110.59588800000002</v>
      </c>
      <c r="CA36" s="14">
        <f t="shared" si="39"/>
        <v>29.471336258234906</v>
      </c>
      <c r="CB36" s="22">
        <f t="shared" si="10"/>
        <v>243.95041558309245</v>
      </c>
      <c r="CC36" s="62">
        <f t="shared" si="11"/>
        <v>537.28374891642579</v>
      </c>
      <c r="CD36" s="62">
        <f ca="1">AVERAGE(OFFSET($CC$3,0,0,'Données projet'!$E$12+1,1))-AVERAGE(OFFSET($H$3,0,0,'Données projet'!$E$12+1,1))</f>
        <v>217.14170654868826</v>
      </c>
      <c r="CE36" s="62">
        <f t="shared" si="40"/>
        <v>202.59844364241644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16.795999999999996</v>
      </c>
      <c r="D37" s="12">
        <f t="shared" si="32"/>
        <v>5.5737048587712827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172.67842347121689</v>
      </c>
      <c r="H37" s="70">
        <f t="shared" si="1"/>
        <v>332.2939026290266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10.8</v>
      </c>
      <c r="N37" s="14">
        <f>IF('Données projet'!$A$36&gt;35,N36+M37-V36,IF(A37&lt;'Données projet'!$A$36,$K$205^A37,IF(A37='Données projet'!$A$36,'Données projet'!$B$36,N36+M37-V36)))</f>
        <v>160.20000000000007</v>
      </c>
      <c r="O37" s="14">
        <f>N37*VLOOKUP('Données projet'!$B$9,Paramètres!$A$1:$I$89,3,0)*VLOOKUP('Données projet'!$B$9,Paramètres!$A$1:$I$89,5,0)</f>
        <v>91.634400000000042</v>
      </c>
      <c r="P37" s="14">
        <f t="shared" si="33"/>
        <v>24.958989094949281</v>
      </c>
      <c r="Q37" s="22">
        <f t="shared" si="53"/>
        <v>203.06681934037002</v>
      </c>
      <c r="R37" s="62">
        <f t="shared" si="0"/>
        <v>496.40015267370336</v>
      </c>
      <c r="S37" s="62">
        <f ca="1">AVERAGE(OFFSET($R$3,0,0,'Données projet'!$E$9+1,1))-AVERAGE(OFFSET($H$3,0,0,'Données projet'!$E$9+1,1))</f>
        <v>183.98573418698061</v>
      </c>
      <c r="T37" s="62">
        <f t="shared" si="34"/>
        <v>158.42298722045609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14.6</v>
      </c>
      <c r="AI37" s="14">
        <f>IF('Données projet'!$A$62&gt;35,AI36+AH37-AQ36,IF(A37&lt;'Données projet'!$A$62,$AF$205^A37,IF(A37='Données projet'!$A$62,'Données projet'!$B$62,AI36+AH37-AQ36)))</f>
        <v>218.40000000000003</v>
      </c>
      <c r="AJ37" s="14">
        <f>AI37*VLOOKUP('Données projet'!$B$10,Paramètres!$A$1:$I$89,3,0)*VLOOKUP('Données projet'!$B$10,Paramètres!$A$1:$I$89,5,0)</f>
        <v>130.60320000000004</v>
      </c>
      <c r="AK37" s="14">
        <f t="shared" si="35"/>
        <v>34.135703567016428</v>
      </c>
      <c r="AL37" s="22">
        <f t="shared" si="4"/>
        <v>286.92025704588701</v>
      </c>
      <c r="AM37" s="62">
        <f t="shared" si="5"/>
        <v>580.25359037922033</v>
      </c>
      <c r="AN37" s="62">
        <f ca="1">AVERAGE(OFFSET($AM$3,0,0,'Données projet'!$E$10+1,1))-AVERAGE(OFFSET($H$3,0,0,'Données projet'!$E$10+1,1))</f>
        <v>294.57089926309249</v>
      </c>
      <c r="AO37" s="62">
        <f t="shared" si="36"/>
        <v>221.0956883062172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8</v>
      </c>
      <c r="BD37" s="13">
        <f>IF('Données projet'!$A$88&gt;35,BD36+BC37-BL36,IF(A37&lt;'Données projet'!$A$88,$BA$205^A37,IF(A37='Données projet'!$A$88,'Données projet'!$B$88,BD36+BC37-BL36)))</f>
        <v>108</v>
      </c>
      <c r="BE37" s="14">
        <f>BD37*VLOOKUP('Données projet'!$B$11,Paramètres!$A$1:$I$89,3,0)*VLOOKUP('Données projet'!$B$11,Paramètres!$A$1:$I$89,5,0)</f>
        <v>97.718399999999988</v>
      </c>
      <c r="BF37" s="14">
        <f t="shared" si="37"/>
        <v>26.417709819192194</v>
      </c>
      <c r="BG37" s="22">
        <f t="shared" si="7"/>
        <v>216.20372460175972</v>
      </c>
      <c r="BH37" s="62">
        <f t="shared" si="8"/>
        <v>509.537057935093</v>
      </c>
      <c r="BI37" s="62">
        <f ca="1">AVERAGE(OFFSET($BH$3,0,0,'Données projet'!$E$11+1,1))-AVERAGE(OFFSET($H$3,0,0,'Données projet'!$E$11+1,1))</f>
        <v>312.29553270286209</v>
      </c>
      <c r="BJ37" s="62">
        <f t="shared" si="38"/>
        <v>175.8423124483154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10.780000000000001</v>
      </c>
      <c r="BY37" s="13">
        <f>IF('Données projet'!$A$114&gt;35,BY36+BX37-CG36,IF(A37&lt;'Données projet'!$A$114,$BV$205^A37,IF(A37='Données projet'!$A$114,'Données projet'!$B$114,BY36+BX37-CG36)))</f>
        <v>161.62</v>
      </c>
      <c r="BZ37" s="14">
        <f>BY37*VLOOKUP('Données projet'!$B$12,Paramètres!$A$1:$I$89,3,0)*VLOOKUP('Données projet'!$B$12,Paramètres!$A$1:$I$89,5,0)</f>
        <v>118.49978400000001</v>
      </c>
      <c r="CA37" s="14">
        <f t="shared" si="39"/>
        <v>31.324842766686455</v>
      </c>
      <c r="CB37" s="22">
        <f t="shared" si="10"/>
        <v>260.94455828531221</v>
      </c>
      <c r="CC37" s="62">
        <f t="shared" si="11"/>
        <v>554.27789161864553</v>
      </c>
      <c r="CD37" s="62">
        <f ca="1">AVERAGE(OFFSET($CC$3,0,0,'Données projet'!$E$12+1,1))-AVERAGE(OFFSET($H$3,0,0,'Données projet'!$E$12+1,1))</f>
        <v>217.14170654868826</v>
      </c>
      <c r="CE37" s="62">
        <f t="shared" si="40"/>
        <v>202.59844364241644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17.289999999999996</v>
      </c>
      <c r="D38" s="12">
        <f t="shared" si="32"/>
        <v>5.7183103340620756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177.60800959626863</v>
      </c>
      <c r="H38" s="70">
        <f t="shared" si="1"/>
        <v>333.40614049849142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171</v>
      </c>
      <c r="L38" s="13">
        <f>VLOOKUP(A38,'Données projet'!$A$35:$I$55,9,0)</f>
        <v>10.8</v>
      </c>
      <c r="M38" s="13">
        <f t="array" ref="M38">INDEX(L:L,MIN(IF(ISNUMBER(L38:L234),ROW(L38:L234),"")))</f>
        <v>10.8</v>
      </c>
      <c r="N38" s="14">
        <f>IF('Données projet'!$A$36&gt;35,N37+M38-V37,IF(A38&lt;'Données projet'!$A$36,$K$205^A38,IF(A38='Données projet'!$A$36,'Données projet'!$B$36,N37+M38-V37)))</f>
        <v>171.00000000000009</v>
      </c>
      <c r="O38" s="14">
        <f>N38*VLOOKUP('Données projet'!$B$9,Paramètres!$A$1:$I$89,3,0)*VLOOKUP('Données projet'!$B$9,Paramètres!$A$1:$I$89,5,0)</f>
        <v>97.812000000000054</v>
      </c>
      <c r="P38" s="14">
        <f t="shared" si="33"/>
        <v>26.440067470123285</v>
      </c>
      <c r="Q38" s="22">
        <f t="shared" si="53"/>
        <v>216.40568417713146</v>
      </c>
      <c r="R38" s="62">
        <f t="shared" si="0"/>
        <v>509.73901751046481</v>
      </c>
      <c r="S38" s="62">
        <f ca="1">AVERAGE(OFFSET($R$3,0,0,'Données projet'!$E$9+1,1))-AVERAGE(OFFSET($H$3,0,0,'Données projet'!$E$9+1,1))</f>
        <v>183.98573418698061</v>
      </c>
      <c r="T38" s="62">
        <f t="shared" si="34"/>
        <v>158.42298722045609</v>
      </c>
      <c r="U38" s="16">
        <f>IF(ISNA(VLOOKUP(A38,'Données projet'!$A$35:$I$55,3,0)),0,VLOOKUP(A38,'Données projet'!$A$35:$I$55,3,0))</f>
        <v>2</v>
      </c>
      <c r="V38" s="16">
        <f>IF(ISNA(VLOOKUP(A38,'Données projet'!$A$35:$I$55,4,0)),0,VLOOKUP(A38,'Données projet'!$A$35:$I$55,4,0))</f>
        <v>28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233</v>
      </c>
      <c r="AG38" s="13">
        <f>VLOOKUP(A38,'Données projet'!$A$61:$I$81,9,0)</f>
        <v>14.6</v>
      </c>
      <c r="AH38" s="13">
        <f t="array" ref="AH38">INDEX(AG:AG,MIN(IF(ISNUMBER(AG38:AG234),ROW(AG38:AG234),"")))</f>
        <v>14.6</v>
      </c>
      <c r="AI38" s="14">
        <f>IF('Données projet'!$A$62&gt;35,AI37+AH38-AQ37,IF(A38&lt;'Données projet'!$A$62,$AF$205^A38,IF(A38='Données projet'!$A$62,'Données projet'!$B$62,AI37+AH38-AQ37)))</f>
        <v>233.00000000000003</v>
      </c>
      <c r="AJ38" s="14">
        <f>AI38*VLOOKUP('Données projet'!$B$10,Paramètres!$A$1:$I$89,3,0)*VLOOKUP('Données projet'!$B$10,Paramètres!$A$1:$I$89,5,0)</f>
        <v>139.33400000000003</v>
      </c>
      <c r="AK38" s="14">
        <f t="shared" si="35"/>
        <v>36.144391930570897</v>
      </c>
      <c r="AL38" s="22">
        <f t="shared" si="4"/>
        <v>305.62486594574438</v>
      </c>
      <c r="AM38" s="62">
        <f t="shared" si="5"/>
        <v>598.95819927907769</v>
      </c>
      <c r="AN38" s="62">
        <f ca="1">AVERAGE(OFFSET($AM$3,0,0,'Données projet'!$E$10+1,1))-AVERAGE(OFFSET($H$3,0,0,'Données projet'!$E$10+1,1))</f>
        <v>294.57089926309249</v>
      </c>
      <c r="AO38" s="62">
        <f t="shared" si="36"/>
        <v>221.0956883062172</v>
      </c>
      <c r="AP38" s="16">
        <f>IF(ISNA(VLOOKUP(A38,'Données projet'!$A$61:$I$81,3,0)),0,VLOOKUP(A38,'Données projet'!$A$61:$I$81,3,0))</f>
        <v>3</v>
      </c>
      <c r="AQ38" s="16">
        <f>IF(ISNA(VLOOKUP(A38,'Données projet'!$A$61:$I$81,4,0)),0,VLOOKUP(A38,'Données projet'!$A$61:$I$81,4,0))</f>
        <v>41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116</v>
      </c>
      <c r="BB38" s="13">
        <f>VLOOKUP(A38,'Données projet'!$A$87:$I$107,9,0)</f>
        <v>8</v>
      </c>
      <c r="BC38" s="13">
        <f t="array" ref="BC38">INDEX(BB:BB,MIN(IF(ISNUMBER(BB38:BB234),ROW(BB38:BB234),"")))</f>
        <v>8</v>
      </c>
      <c r="BD38" s="13">
        <f>IF('Données projet'!$A$88&gt;35,BD37+BC38-BL37,IF(A38&lt;'Données projet'!$A$88,$BA$205^A38,IF(A38='Données projet'!$A$88,'Données projet'!$B$88,BD37+BC38-BL37)))</f>
        <v>116</v>
      </c>
      <c r="BE38" s="14">
        <f>BD38*VLOOKUP('Données projet'!$B$11,Paramètres!$A$1:$I$89,3,0)*VLOOKUP('Données projet'!$B$11,Paramètres!$A$1:$I$89,5,0)</f>
        <v>104.9568</v>
      </c>
      <c r="BF38" s="14">
        <f t="shared" si="37"/>
        <v>28.139541339232373</v>
      </c>
      <c r="BG38" s="22">
        <f t="shared" si="7"/>
        <v>231.8094611658297</v>
      </c>
      <c r="BH38" s="62">
        <f t="shared" si="8"/>
        <v>525.14279449916307</v>
      </c>
      <c r="BI38" s="62">
        <f ca="1">AVERAGE(OFFSET($BH$3,0,0,'Données projet'!$E$11+1,1))-AVERAGE(OFFSET($H$3,0,0,'Données projet'!$E$11+1,1))</f>
        <v>312.29553270286209</v>
      </c>
      <c r="BJ38" s="62">
        <f t="shared" si="38"/>
        <v>175.8423124483154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172.4</v>
      </c>
      <c r="BW38" s="13">
        <f>VLOOKUP(A38,'Données projet'!$A$113:$I$133,9,0)</f>
        <v>10.780000000000001</v>
      </c>
      <c r="BX38" s="13">
        <f t="array" ref="BX38">INDEX(BW:BW,MIN(IF(ISNUMBER(BW38:BW234),ROW(BW38:BW234),"")))</f>
        <v>10.780000000000001</v>
      </c>
      <c r="BY38" s="13">
        <f>IF('Données projet'!$A$114&gt;35,BY37+BX38-CG37,IF(A38&lt;'Données projet'!$A$114,$BV$205^A38,IF(A38='Données projet'!$A$114,'Données projet'!$B$114,BY37+BX38-CG37)))</f>
        <v>172.4</v>
      </c>
      <c r="BZ38" s="14">
        <f>BY38*VLOOKUP('Données projet'!$B$12,Paramètres!$A$1:$I$89,3,0)*VLOOKUP('Données projet'!$B$12,Paramètres!$A$1:$I$89,5,0)</f>
        <v>126.40367999999999</v>
      </c>
      <c r="CA38" s="14">
        <f t="shared" si="39"/>
        <v>33.164003438318993</v>
      </c>
      <c r="CB38" s="22">
        <f t="shared" si="10"/>
        <v>277.91371532173889</v>
      </c>
      <c r="CC38" s="62">
        <f t="shared" si="11"/>
        <v>571.24704865507215</v>
      </c>
      <c r="CD38" s="62">
        <f ca="1">AVERAGE(OFFSET($CC$3,0,0,'Données projet'!$E$12+1,1))-AVERAGE(OFFSET($H$3,0,0,'Données projet'!$E$12+1,1))</f>
        <v>217.14170654868826</v>
      </c>
      <c r="CE38" s="62">
        <f t="shared" si="40"/>
        <v>202.59844364241644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17.783999999999995</v>
      </c>
      <c r="D39" s="12">
        <f t="shared" si="32"/>
        <v>5.8624356226349592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182.53388901683124</v>
      </c>
      <c r="H39" s="70">
        <f t="shared" si="1"/>
        <v>334.51754204275585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12.8</v>
      </c>
      <c r="N39" s="14">
        <f>IF('Données projet'!$A$36&gt;35,N38+M39-V38,IF(A39&lt;'Données projet'!$A$36,$K$205^A39,IF(A39='Données projet'!$A$36,'Données projet'!$B$36,N38+M39-V38)))</f>
        <v>155.8000000000001</v>
      </c>
      <c r="O39" s="14">
        <f>N39*VLOOKUP('Données projet'!$B$9,Paramètres!$A$1:$I$89,3,0)*VLOOKUP('Données projet'!$B$9,Paramètres!$A$1:$I$89,5,0)</f>
        <v>89.117600000000067</v>
      </c>
      <c r="P39" s="14">
        <f t="shared" si="33"/>
        <v>24.352289481248235</v>
      </c>
      <c r="Q39" s="22">
        <f t="shared" si="53"/>
        <v>197.62672417984081</v>
      </c>
      <c r="R39" s="62">
        <f t="shared" si="0"/>
        <v>490.96005751317409</v>
      </c>
      <c r="S39" s="62">
        <f ca="1">AVERAGE(OFFSET($R$3,0,0,'Données projet'!$E$9+1,1))-AVERAGE(OFFSET($H$3,0,0,'Données projet'!$E$9+1,1))</f>
        <v>183.98573418698061</v>
      </c>
      <c r="T39" s="62">
        <f t="shared" si="34"/>
        <v>158.42298722045609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14.4</v>
      </c>
      <c r="AI39" s="14">
        <f>IF('Données projet'!$A$62&gt;35,AI38+AH39-AQ38,IF(A39&lt;'Données projet'!$A$62,$AF$205^A39,IF(A39='Données projet'!$A$62,'Données projet'!$B$62,AI38+AH39-AQ38)))</f>
        <v>206.40000000000003</v>
      </c>
      <c r="AJ39" s="14">
        <f>AI39*VLOOKUP('Données projet'!$B$10,Paramètres!$A$1:$I$89,3,0)*VLOOKUP('Données projet'!$B$10,Paramètres!$A$1:$I$89,5,0)</f>
        <v>123.42720000000003</v>
      </c>
      <c r="AK39" s="14">
        <f t="shared" si="35"/>
        <v>32.473022671122074</v>
      </c>
      <c r="AL39" s="22">
        <f t="shared" si="4"/>
        <v>271.5262211522043</v>
      </c>
      <c r="AM39" s="62">
        <f t="shared" si="5"/>
        <v>564.85955448553761</v>
      </c>
      <c r="AN39" s="62">
        <f ca="1">AVERAGE(OFFSET($AM$3,0,0,'Données projet'!$E$10+1,1))-AVERAGE(OFFSET($H$3,0,0,'Données projet'!$E$10+1,1))</f>
        <v>294.57089926309249</v>
      </c>
      <c r="AO39" s="62">
        <f t="shared" si="36"/>
        <v>221.0956883062172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8.4</v>
      </c>
      <c r="BD39" s="13">
        <f>IF('Données projet'!$A$88&gt;35,BD38+BC39-BL38,IF(A39&lt;'Données projet'!$A$88,$BA$205^A39,IF(A39='Données projet'!$A$88,'Données projet'!$B$88,BD38+BC39-BL38)))</f>
        <v>124.4</v>
      </c>
      <c r="BE39" s="14">
        <f>BD39*VLOOKUP('Données projet'!$B$11,Paramètres!$A$1:$I$89,3,0)*VLOOKUP('Données projet'!$B$11,Paramètres!$A$1:$I$89,5,0)</f>
        <v>112.55712000000001</v>
      </c>
      <c r="BF39" s="14">
        <f t="shared" si="37"/>
        <v>29.932653834140599</v>
      </c>
      <c r="BG39" s="22">
        <f t="shared" si="7"/>
        <v>248.16968942779488</v>
      </c>
      <c r="BH39" s="62">
        <f t="shared" si="8"/>
        <v>541.50302276112825</v>
      </c>
      <c r="BI39" s="62">
        <f ca="1">AVERAGE(OFFSET($BH$3,0,0,'Données projet'!$E$11+1,1))-AVERAGE(OFFSET($H$3,0,0,'Données projet'!$E$11+1,1))</f>
        <v>312.29553270286209</v>
      </c>
      <c r="BJ39" s="62">
        <f t="shared" si="38"/>
        <v>175.8423124483154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9.4399999999999977</v>
      </c>
      <c r="BY39" s="13">
        <f>IF('Données projet'!$A$114&gt;35,BY38+BX39-CG38,IF(A39&lt;'Données projet'!$A$114,$BV$205^A39,IF(A39='Données projet'!$A$114,'Données projet'!$B$114,BY38+BX39-CG38)))</f>
        <v>181.84</v>
      </c>
      <c r="BZ39" s="14">
        <f>BY39*VLOOKUP('Données projet'!$B$12,Paramètres!$A$1:$I$89,3,0)*VLOOKUP('Données projet'!$B$12,Paramètres!$A$1:$I$89,5,0)</f>
        <v>133.32508799999999</v>
      </c>
      <c r="CA39" s="14">
        <f t="shared" si="39"/>
        <v>34.763556534773144</v>
      </c>
      <c r="CB39" s="22">
        <f t="shared" si="10"/>
        <v>292.75438923139654</v>
      </c>
      <c r="CC39" s="62">
        <f t="shared" si="11"/>
        <v>586.0877225647298</v>
      </c>
      <c r="CD39" s="62">
        <f ca="1">AVERAGE(OFFSET($CC$3,0,0,'Données projet'!$E$12+1,1))-AVERAGE(OFFSET($H$3,0,0,'Données projet'!$E$12+1,1))</f>
        <v>217.14170654868826</v>
      </c>
      <c r="CE39" s="62">
        <f t="shared" si="40"/>
        <v>202.59844364241644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18.277999999999995</v>
      </c>
      <c r="D40" s="12">
        <f t="shared" si="32"/>
        <v>6.0060955954395308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187.45617652619987</v>
      </c>
      <c r="H40" s="70">
        <f t="shared" si="1"/>
        <v>335.62813316205717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12.8</v>
      </c>
      <c r="N40" s="14">
        <f>IF('Données projet'!$A$36&gt;35,N39+M40-V39,IF(A40&lt;'Données projet'!$A$36,$K$205^A40,IF(A40='Données projet'!$A$36,'Données projet'!$B$36,N39+M40-V39)))</f>
        <v>168.60000000000011</v>
      </c>
      <c r="O40" s="14">
        <f>N40*VLOOKUP('Données projet'!$B$9,Paramètres!$A$1:$I$89,3,0)*VLOOKUP('Données projet'!$B$9,Paramètres!$A$1:$I$89,5,0)</f>
        <v>96.439200000000071</v>
      </c>
      <c r="P40" s="14">
        <f t="shared" si="33"/>
        <v>26.111904277671179</v>
      </c>
      <c r="Q40" s="22">
        <f t="shared" si="53"/>
        <v>213.44317328361072</v>
      </c>
      <c r="R40" s="62">
        <f t="shared" si="0"/>
        <v>506.77650661694406</v>
      </c>
      <c r="S40" s="62">
        <f ca="1">AVERAGE(OFFSET($R$3,0,0,'Données projet'!$E$9+1,1))-AVERAGE(OFFSET($H$3,0,0,'Données projet'!$E$9+1,1))</f>
        <v>183.98573418698061</v>
      </c>
      <c r="T40" s="62">
        <f t="shared" si="34"/>
        <v>158.42298722045609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14.4</v>
      </c>
      <c r="AI40" s="14">
        <f>IF('Données projet'!$A$62&gt;35,AI39+AH40-AQ39,IF(A40&lt;'Données projet'!$A$62,$AF$205^A40,IF(A40='Données projet'!$A$62,'Données projet'!$B$62,AI39+AH40-AQ39)))</f>
        <v>220.80000000000004</v>
      </c>
      <c r="AJ40" s="14">
        <f>AI40*VLOOKUP('Données projet'!$B$10,Paramètres!$A$1:$I$89,3,0)*VLOOKUP('Données projet'!$B$10,Paramètres!$A$1:$I$89,5,0)</f>
        <v>132.03840000000005</v>
      </c>
      <c r="AK40" s="14">
        <f t="shared" si="35"/>
        <v>34.466946374534373</v>
      </c>
      <c r="AL40" s="22">
        <f t="shared" si="4"/>
        <v>289.99681160231415</v>
      </c>
      <c r="AM40" s="62">
        <f t="shared" si="5"/>
        <v>583.33014493564747</v>
      </c>
      <c r="AN40" s="62">
        <f ca="1">AVERAGE(OFFSET($AM$3,0,0,'Données projet'!$E$10+1,1))-AVERAGE(OFFSET($H$3,0,0,'Données projet'!$E$10+1,1))</f>
        <v>294.57089926309249</v>
      </c>
      <c r="AO40" s="62">
        <f t="shared" si="36"/>
        <v>221.0956883062172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8.4</v>
      </c>
      <c r="BD40" s="13">
        <f>IF('Données projet'!$A$88&gt;35,BD39+BC40-BL39,IF(A40&lt;'Données projet'!$A$88,$BA$205^A40,IF(A40='Données projet'!$A$88,'Données projet'!$B$88,BD39+BC40-BL39)))</f>
        <v>132.80000000000001</v>
      </c>
      <c r="BE40" s="14">
        <f>BD40*VLOOKUP('Données projet'!$B$11,Paramètres!$A$1:$I$89,3,0)*VLOOKUP('Données projet'!$B$11,Paramètres!$A$1:$I$89,5,0)</f>
        <v>120.15744000000001</v>
      </c>
      <c r="BF40" s="14">
        <f t="shared" si="37"/>
        <v>31.711716786129845</v>
      </c>
      <c r="BG40" s="22">
        <f t="shared" si="7"/>
        <v>264.50544806917611</v>
      </c>
      <c r="BH40" s="62">
        <f t="shared" si="8"/>
        <v>557.83878140250943</v>
      </c>
      <c r="BI40" s="62">
        <f ca="1">AVERAGE(OFFSET($BH$3,0,0,'Données projet'!$E$11+1,1))-AVERAGE(OFFSET($H$3,0,0,'Données projet'!$E$11+1,1))</f>
        <v>312.29553270286209</v>
      </c>
      <c r="BJ40" s="62">
        <f t="shared" si="38"/>
        <v>175.8423124483154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9.4399999999999977</v>
      </c>
      <c r="BY40" s="13">
        <f>IF('Données projet'!$A$114&gt;35,BY39+BX40-CG39,IF(A40&lt;'Données projet'!$A$114,$BV$205^A40,IF(A40='Données projet'!$A$114,'Données projet'!$B$114,BY39+BX40-CG39)))</f>
        <v>191.28</v>
      </c>
      <c r="BZ40" s="14">
        <f>BY40*VLOOKUP('Données projet'!$B$12,Paramètres!$A$1:$I$89,3,0)*VLOOKUP('Données projet'!$B$12,Paramètres!$A$1:$I$89,5,0)</f>
        <v>140.24649600000001</v>
      </c>
      <c r="CA40" s="14">
        <f t="shared" si="39"/>
        <v>36.353468484522381</v>
      </c>
      <c r="CB40" s="22">
        <f t="shared" si="10"/>
        <v>307.5782714772098</v>
      </c>
      <c r="CC40" s="62">
        <f t="shared" si="11"/>
        <v>600.91160481054317</v>
      </c>
      <c r="CD40" s="62">
        <f ca="1">AVERAGE(OFFSET($CC$3,0,0,'Données projet'!$E$12+1,1))-AVERAGE(OFFSET($H$3,0,0,'Données projet'!$E$12+1,1))</f>
        <v>217.14170654868826</v>
      </c>
      <c r="CE40" s="62">
        <f t="shared" si="40"/>
        <v>202.59844364241644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18.771999999999995</v>
      </c>
      <c r="D41" s="12">
        <f t="shared" si="32"/>
        <v>6.1493042738312038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192.37498035939871</v>
      </c>
      <c r="H41" s="70">
        <f t="shared" si="1"/>
        <v>336.73793827692265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12.8</v>
      </c>
      <c r="N41" s="14">
        <f>IF('Données projet'!$A$36&gt;35,N40+M41-V40,IF(A41&lt;'Données projet'!$A$36,$K$205^A41,IF(A41='Données projet'!$A$36,'Données projet'!$B$36,N40+M41-V40)))</f>
        <v>181.40000000000012</v>
      </c>
      <c r="O41" s="14">
        <f>N41*VLOOKUP('Données projet'!$B$9,Paramètres!$A$1:$I$89,3,0)*VLOOKUP('Données projet'!$B$9,Paramètres!$A$1:$I$89,5,0)</f>
        <v>103.76080000000007</v>
      </c>
      <c r="P41" s="14">
        <f t="shared" si="33"/>
        <v>27.856022138389424</v>
      </c>
      <c r="Q41" s="22">
        <f t="shared" si="53"/>
        <v>229.23263189102838</v>
      </c>
      <c r="R41" s="62">
        <f t="shared" si="0"/>
        <v>522.56596522436166</v>
      </c>
      <c r="S41" s="62">
        <f ca="1">AVERAGE(OFFSET($R$3,0,0,'Données projet'!$E$9+1,1))-AVERAGE(OFFSET($H$3,0,0,'Données projet'!$E$9+1,1))</f>
        <v>183.98573418698061</v>
      </c>
      <c r="T41" s="62">
        <f t="shared" si="34"/>
        <v>158.42298722045609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14.4</v>
      </c>
      <c r="AI41" s="14">
        <f>IF('Données projet'!$A$62&gt;35,AI40+AH41-AQ40,IF(A41&lt;'Données projet'!$A$62,$AF$205^A41,IF(A41='Données projet'!$A$62,'Données projet'!$B$62,AI40+AH41-AQ40)))</f>
        <v>235.20000000000005</v>
      </c>
      <c r="AJ41" s="14">
        <f>AI41*VLOOKUP('Données projet'!$B$10,Paramètres!$A$1:$I$89,3,0)*VLOOKUP('Données projet'!$B$10,Paramètres!$A$1:$I$89,5,0)</f>
        <v>140.64960000000002</v>
      </c>
      <c r="AK41" s="14">
        <f t="shared" si="35"/>
        <v>36.445779615258601</v>
      </c>
      <c r="AL41" s="22">
        <f t="shared" si="4"/>
        <v>308.44111949657542</v>
      </c>
      <c r="AM41" s="62">
        <f t="shared" si="5"/>
        <v>601.7744528299088</v>
      </c>
      <c r="AN41" s="62">
        <f ca="1">AVERAGE(OFFSET($AM$3,0,0,'Données projet'!$E$10+1,1))-AVERAGE(OFFSET($H$3,0,0,'Données projet'!$E$10+1,1))</f>
        <v>294.57089926309249</v>
      </c>
      <c r="AO41" s="62">
        <f t="shared" si="36"/>
        <v>221.0956883062172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8.4</v>
      </c>
      <c r="BD41" s="13">
        <f>IF('Données projet'!$A$88&gt;35,BD40+BC41-BL40,IF(A41&lt;'Données projet'!$A$88,$BA$205^A41,IF(A41='Données projet'!$A$88,'Données projet'!$B$88,BD40+BC41-BL40)))</f>
        <v>141.20000000000002</v>
      </c>
      <c r="BE41" s="14">
        <f>BD41*VLOOKUP('Données projet'!$B$11,Paramètres!$A$1:$I$89,3,0)*VLOOKUP('Données projet'!$B$11,Paramètres!$A$1:$I$89,5,0)</f>
        <v>127.75776</v>
      </c>
      <c r="BF41" s="14">
        <f t="shared" si="37"/>
        <v>33.477720030956604</v>
      </c>
      <c r="BG41" s="22">
        <f t="shared" si="7"/>
        <v>280.81846105391611</v>
      </c>
      <c r="BH41" s="62">
        <f t="shared" si="8"/>
        <v>574.15179438724942</v>
      </c>
      <c r="BI41" s="62">
        <f ca="1">AVERAGE(OFFSET($BH$3,0,0,'Données projet'!$E$11+1,1))-AVERAGE(OFFSET($H$3,0,0,'Données projet'!$E$11+1,1))</f>
        <v>312.29553270286209</v>
      </c>
      <c r="BJ41" s="62">
        <f t="shared" si="38"/>
        <v>175.8423124483154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9.4399999999999977</v>
      </c>
      <c r="BY41" s="13">
        <f>IF('Données projet'!$A$114&gt;35,BY40+BX41-CG40,IF(A41&lt;'Données projet'!$A$114,$BV$205^A41,IF(A41='Données projet'!$A$114,'Données projet'!$B$114,BY40+BX41-CG40)))</f>
        <v>200.72</v>
      </c>
      <c r="BZ41" s="14">
        <f>BY41*VLOOKUP('Données projet'!$B$12,Paramètres!$A$1:$I$89,3,0)*VLOOKUP('Données projet'!$B$12,Paramètres!$A$1:$I$89,5,0)</f>
        <v>147.16790399999999</v>
      </c>
      <c r="CA41" s="14">
        <f t="shared" si="39"/>
        <v>37.934269396655068</v>
      </c>
      <c r="CB41" s="22">
        <f t="shared" si="10"/>
        <v>322.38628533250755</v>
      </c>
      <c r="CC41" s="62">
        <f t="shared" si="11"/>
        <v>615.71961866584093</v>
      </c>
      <c r="CD41" s="62">
        <f ca="1">AVERAGE(OFFSET($CC$3,0,0,'Données projet'!$E$12+1,1))-AVERAGE(OFFSET($H$3,0,0,'Données projet'!$E$12+1,1))</f>
        <v>217.14170654868826</v>
      </c>
      <c r="CE41" s="62">
        <f t="shared" si="40"/>
        <v>202.59844364241644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19.265999999999995</v>
      </c>
      <c r="D42" s="12">
        <f t="shared" si="32"/>
        <v>6.2920748991727322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197.29040273045618</v>
      </c>
      <c r="H42" s="70">
        <f t="shared" si="1"/>
        <v>337.8469804493925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12.8</v>
      </c>
      <c r="N42" s="14">
        <f>IF('Données projet'!$A$36&gt;35,N41+M42-V41,IF(A42&lt;'Données projet'!$A$36,$K$205^A42,IF(A42='Données projet'!$A$36,'Données projet'!$B$36,N41+M42-V41)))</f>
        <v>194.20000000000013</v>
      </c>
      <c r="O42" s="14">
        <f>N42*VLOOKUP('Données projet'!$B$9,Paramètres!$A$1:$I$89,3,0)*VLOOKUP('Données projet'!$B$9,Paramètres!$A$1:$I$89,5,0)</f>
        <v>111.08240000000009</v>
      </c>
      <c r="P42" s="14">
        <f t="shared" si="33"/>
        <v>29.585860939025387</v>
      </c>
      <c r="Q42" s="22">
        <f t="shared" si="53"/>
        <v>244.9972211354694</v>
      </c>
      <c r="R42" s="62">
        <f t="shared" si="0"/>
        <v>538.33055446880269</v>
      </c>
      <c r="S42" s="62">
        <f ca="1">AVERAGE(OFFSET($R$3,0,0,'Données projet'!$E$9+1,1))-AVERAGE(OFFSET($H$3,0,0,'Données projet'!$E$9+1,1))</f>
        <v>183.98573418698061</v>
      </c>
      <c r="T42" s="62">
        <f t="shared" si="34"/>
        <v>158.42298722045609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14.4</v>
      </c>
      <c r="AI42" s="14">
        <f>IF('Données projet'!$A$62&gt;35,AI41+AH42-AQ41,IF(A42&lt;'Données projet'!$A$62,$AF$205^A42,IF(A42='Données projet'!$A$62,'Données projet'!$B$62,AI41+AH42-AQ41)))</f>
        <v>249.60000000000005</v>
      </c>
      <c r="AJ42" s="14">
        <f>AI42*VLOOKUP('Données projet'!$B$10,Paramètres!$A$1:$I$89,3,0)*VLOOKUP('Données projet'!$B$10,Paramètres!$A$1:$I$89,5,0)</f>
        <v>149.26080000000005</v>
      </c>
      <c r="AK42" s="14">
        <f t="shared" si="35"/>
        <v>38.410551499792909</v>
      </c>
      <c r="AL42" s="22">
        <f t="shared" si="4"/>
        <v>326.86093719547273</v>
      </c>
      <c r="AM42" s="62">
        <f t="shared" si="5"/>
        <v>620.1942705288061</v>
      </c>
      <c r="AN42" s="62">
        <f ca="1">AVERAGE(OFFSET($AM$3,0,0,'Données projet'!$E$10+1,1))-AVERAGE(OFFSET($H$3,0,0,'Données projet'!$E$10+1,1))</f>
        <v>294.57089926309249</v>
      </c>
      <c r="AO42" s="62">
        <f t="shared" si="36"/>
        <v>221.0956883062172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8.4</v>
      </c>
      <c r="BD42" s="13">
        <f>IF('Données projet'!$A$88&gt;35,BD41+BC42-BL41,IF(A42&lt;'Données projet'!$A$88,$BA$205^A42,IF(A42='Données projet'!$A$88,'Données projet'!$B$88,BD41+BC42-BL41)))</f>
        <v>149.60000000000002</v>
      </c>
      <c r="BE42" s="14">
        <f>BD42*VLOOKUP('Données projet'!$B$11,Paramètres!$A$1:$I$89,3,0)*VLOOKUP('Données projet'!$B$11,Paramètres!$A$1:$I$89,5,0)</f>
        <v>135.35808</v>
      </c>
      <c r="BF42" s="14">
        <f t="shared" si="37"/>
        <v>35.231528980112834</v>
      </c>
      <c r="BG42" s="22">
        <f t="shared" si="7"/>
        <v>297.11023564036316</v>
      </c>
      <c r="BH42" s="62">
        <f t="shared" si="8"/>
        <v>590.44356897369653</v>
      </c>
      <c r="BI42" s="62">
        <f ca="1">AVERAGE(OFFSET($BH$3,0,0,'Données projet'!$E$11+1,1))-AVERAGE(OFFSET($H$3,0,0,'Données projet'!$E$11+1,1))</f>
        <v>312.29553270286209</v>
      </c>
      <c r="BJ42" s="62">
        <f t="shared" si="38"/>
        <v>175.8423124483154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9.4399999999999977</v>
      </c>
      <c r="BY42" s="13">
        <f>IF('Données projet'!$A$114&gt;35,BY41+BX42-CG41,IF(A42&lt;'Données projet'!$A$114,$BV$205^A42,IF(A42='Données projet'!$A$114,'Données projet'!$B$114,BY41+BX42-CG41)))</f>
        <v>210.16</v>
      </c>
      <c r="BZ42" s="14">
        <f>BY42*VLOOKUP('Données projet'!$B$12,Paramètres!$A$1:$I$89,3,0)*VLOOKUP('Données projet'!$B$12,Paramètres!$A$1:$I$89,5,0)</f>
        <v>154.08931200000001</v>
      </c>
      <c r="CA42" s="14">
        <f t="shared" si="39"/>
        <v>39.506436699687413</v>
      </c>
      <c r="CB42" s="22">
        <f t="shared" si="10"/>
        <v>337.17926231862225</v>
      </c>
      <c r="CC42" s="62">
        <f t="shared" si="11"/>
        <v>630.51259565195551</v>
      </c>
      <c r="CD42" s="62">
        <f ca="1">AVERAGE(OFFSET($CC$3,0,0,'Données projet'!$E$12+1,1))-AVERAGE(OFFSET($H$3,0,0,'Données projet'!$E$12+1,1))</f>
        <v>217.14170654868826</v>
      </c>
      <c r="CE42" s="62">
        <f t="shared" si="40"/>
        <v>202.59844364241644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19.759999999999994</v>
      </c>
      <c r="D43" s="12">
        <f t="shared" si="32"/>
        <v>6.4344199950962579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202.20254031302375</v>
      </c>
      <c r="H43" s="70">
        <f t="shared" si="1"/>
        <v>338.95528149145929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207</v>
      </c>
      <c r="L43" s="13">
        <f>VLOOKUP(A43,'Données projet'!$A$35:$I$55,9,0)</f>
        <v>12.8</v>
      </c>
      <c r="M43" s="13">
        <f t="array" ref="M43">INDEX(L:L,MIN(IF(ISNUMBER(L43:L239),ROW(L43:L239),"")))</f>
        <v>12.8</v>
      </c>
      <c r="N43" s="14">
        <f>IF('Données projet'!$A$36&gt;35,N42+M43-V42,IF(A43&lt;'Données projet'!$A$36,$K$205^A43,IF(A43='Données projet'!$A$36,'Données projet'!$B$36,N42+M43-V42)))</f>
        <v>207.00000000000014</v>
      </c>
      <c r="O43" s="14">
        <f>N43*VLOOKUP('Données projet'!$B$9,Paramètres!$A$1:$I$89,3,0)*VLOOKUP('Données projet'!$B$9,Paramètres!$A$1:$I$89,5,0)</f>
        <v>118.4040000000001</v>
      </c>
      <c r="P43" s="14">
        <f t="shared" si="33"/>
        <v>31.302468930496421</v>
      </c>
      <c r="Q43" s="22">
        <f t="shared" si="53"/>
        <v>260.73876672061476</v>
      </c>
      <c r="R43" s="62">
        <f t="shared" si="0"/>
        <v>554.07210005394813</v>
      </c>
      <c r="S43" s="62">
        <f ca="1">AVERAGE(OFFSET($R$3,0,0,'Données projet'!$E$9+1,1))-AVERAGE(OFFSET($H$3,0,0,'Données projet'!$E$9+1,1))</f>
        <v>183.98573418698061</v>
      </c>
      <c r="T43" s="62">
        <f t="shared" si="34"/>
        <v>158.42298722045609</v>
      </c>
      <c r="U43" s="16">
        <f>IF(ISNA(VLOOKUP(A43,'Données projet'!$A$35:$I$55,3,0)),0,VLOOKUP(A43,'Données projet'!$A$35:$I$55,3,0))</f>
        <v>3</v>
      </c>
      <c r="V43" s="16">
        <f>IF(ISNA(VLOOKUP(A43,'Données projet'!$A$35:$I$55,4,0)),0,VLOOKUP(A43,'Données projet'!$A$35:$I$55,4,0))</f>
        <v>37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264</v>
      </c>
      <c r="AG43" s="13">
        <f>VLOOKUP(A43,'Données projet'!$A$61:$I$81,9,0)</f>
        <v>14.4</v>
      </c>
      <c r="AH43" s="13">
        <f t="array" ref="AH43">INDEX(AG:AG,MIN(IF(ISNUMBER(AG43:AG239),ROW(AG43:AG239),"")))</f>
        <v>14.4</v>
      </c>
      <c r="AI43" s="14">
        <f>IF('Données projet'!$A$62&gt;35,AI42+AH43-AQ42,IF(A43&lt;'Données projet'!$A$62,$AF$205^A43,IF(A43='Données projet'!$A$62,'Données projet'!$B$62,AI42+AH43-AQ42)))</f>
        <v>264.00000000000006</v>
      </c>
      <c r="AJ43" s="14">
        <f>AI43*VLOOKUP('Données projet'!$B$10,Paramètres!$A$1:$I$89,3,0)*VLOOKUP('Données projet'!$B$10,Paramètres!$A$1:$I$89,5,0)</f>
        <v>157.87200000000004</v>
      </c>
      <c r="AK43" s="14">
        <f t="shared" si="35"/>
        <v>40.362165684361159</v>
      </c>
      <c r="AL43" s="22">
        <f t="shared" si="4"/>
        <v>345.25783856692902</v>
      </c>
      <c r="AM43" s="62">
        <f t="shared" si="5"/>
        <v>638.59117190026234</v>
      </c>
      <c r="AN43" s="62">
        <f ca="1">AVERAGE(OFFSET($AM$3,0,0,'Données projet'!$E$10+1,1))-AVERAGE(OFFSET($H$3,0,0,'Données projet'!$E$10+1,1))</f>
        <v>294.57089926309249</v>
      </c>
      <c r="AO43" s="62">
        <f t="shared" si="36"/>
        <v>221.0956883062172</v>
      </c>
      <c r="AP43" s="16">
        <f>IF(ISNA(VLOOKUP(A43,'Données projet'!$A$61:$I$81,3,0)),0,VLOOKUP(A43,'Données projet'!$A$61:$I$81,3,0))</f>
        <v>4</v>
      </c>
      <c r="AQ43" s="16">
        <f>IF(ISNA(VLOOKUP(A43,'Données projet'!$A$61:$I$81,4,0)),0,VLOOKUP(A43,'Données projet'!$A$61:$I$81,4,0))</f>
        <v>41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158</v>
      </c>
      <c r="BB43" s="13">
        <f>VLOOKUP(A43,'Données projet'!$A$87:$I$107,9,0)</f>
        <v>8.4</v>
      </c>
      <c r="BC43" s="13">
        <f t="array" ref="BC43">INDEX(BB:BB,MIN(IF(ISNUMBER(BB43:BB239),ROW(BB43:BB239),"")))</f>
        <v>8.4</v>
      </c>
      <c r="BD43" s="13">
        <f>IF('Données projet'!$A$88&gt;35,BD42+BC43-BL42,IF(A43&lt;'Données projet'!$A$88,$BA$205^A43,IF(A43='Données projet'!$A$88,'Données projet'!$B$88,BD42+BC43-BL42)))</f>
        <v>158.00000000000003</v>
      </c>
      <c r="BE43" s="14">
        <f>BD43*VLOOKUP('Données projet'!$B$11,Paramètres!$A$1:$I$89,3,0)*VLOOKUP('Données projet'!$B$11,Paramètres!$A$1:$I$89,5,0)</f>
        <v>142.95840000000004</v>
      </c>
      <c r="BF43" s="14">
        <f t="shared" si="37"/>
        <v>36.973906370811264</v>
      </c>
      <c r="BG43" s="22">
        <f t="shared" si="7"/>
        <v>313.38210026249641</v>
      </c>
      <c r="BH43" s="62">
        <f t="shared" si="8"/>
        <v>606.71543359582972</v>
      </c>
      <c r="BI43" s="62">
        <f ca="1">AVERAGE(OFFSET($BH$3,0,0,'Données projet'!$E$11+1,1))-AVERAGE(OFFSET($H$3,0,0,'Données projet'!$E$11+1,1))</f>
        <v>312.29553270286209</v>
      </c>
      <c r="BJ43" s="62">
        <f t="shared" si="38"/>
        <v>175.8423124483154</v>
      </c>
      <c r="BK43" s="16">
        <f>IF(ISNA(VLOOKUP(A43,'Données projet'!$A$87:$I$107,3,0)),0,VLOOKUP(A43,'Données projet'!$A$87:$I$107,3,0))</f>
        <v>2</v>
      </c>
      <c r="BL43" s="16">
        <f>IF(ISNA(VLOOKUP(A43,'Données projet'!$A$87:$I$107,4,0)),0,VLOOKUP(A43,'Données projet'!$A$87:$I$107,4,0))</f>
        <v>42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219.6</v>
      </c>
      <c r="BW43" s="13">
        <f>VLOOKUP(A43,'Données projet'!$A$113:$I$133,9,0)</f>
        <v>9.4399999999999977</v>
      </c>
      <c r="BX43" s="13">
        <f t="array" ref="BX43">INDEX(BW:BW,MIN(IF(ISNUMBER(BW43:BW239),ROW(BW43:BW239),"")))</f>
        <v>9.4399999999999977</v>
      </c>
      <c r="BY43" s="13">
        <f>IF('Données projet'!$A$114&gt;35,BY42+BX43-CG42,IF(A43&lt;'Données projet'!$A$114,$BV$205^A43,IF(A43='Données projet'!$A$114,'Données projet'!$B$114,BY42+BX43-CG42)))</f>
        <v>219.6</v>
      </c>
      <c r="BZ43" s="14">
        <f>BY43*VLOOKUP('Données projet'!$B$12,Paramètres!$A$1:$I$89,3,0)*VLOOKUP('Données projet'!$B$12,Paramètres!$A$1:$I$89,5,0)</f>
        <v>161.01071999999999</v>
      </c>
      <c r="CA43" s="14">
        <f t="shared" si="39"/>
        <v>41.070402507024518</v>
      </c>
      <c r="CB43" s="22">
        <f t="shared" si="10"/>
        <v>351.95795503306766</v>
      </c>
      <c r="CC43" s="62">
        <f t="shared" si="11"/>
        <v>645.29128836640098</v>
      </c>
      <c r="CD43" s="62">
        <f ca="1">AVERAGE(OFFSET($CC$3,0,0,'Données projet'!$E$12+1,1))-AVERAGE(OFFSET($H$3,0,0,'Données projet'!$E$12+1,1))</f>
        <v>217.14170654868826</v>
      </c>
      <c r="CE43" s="62">
        <f t="shared" si="40"/>
        <v>202.59844364241644</v>
      </c>
      <c r="CF43" s="16">
        <f>IF(ISNA(VLOOKUP(A43,'Données projet'!$A$113:$I$133,3,0)),0,VLOOKUP(A43,'Données projet'!$A$113:$I$133,3,0))</f>
        <v>3</v>
      </c>
      <c r="CG43" s="16">
        <f>IF(ISNA(VLOOKUP(A43,'Données projet'!$A$113:$I$133,4,0)),0,VLOOKUP(A43,'Données projet'!$A$113:$I$133,4,0))</f>
        <v>56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20.253999999999994</v>
      </c>
      <c r="D44" s="12">
        <f t="shared" si="32"/>
        <v>6.5763514233638816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207.1114846715808</v>
      </c>
      <c r="H44" s="70">
        <f t="shared" si="1"/>
        <v>340.0628620623587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11.6</v>
      </c>
      <c r="N44" s="14">
        <f>IF('Données projet'!$A$36&gt;35,N43+M44-V43,IF(A44&lt;'Données projet'!$A$36,$K$205^A44,IF(A44='Données projet'!$A$36,'Données projet'!$B$36,N43+M44-V43)))</f>
        <v>181.60000000000014</v>
      </c>
      <c r="O44" s="14">
        <f>N44*VLOOKUP('Données projet'!$B$9,Paramètres!$A$1:$I$89,3,0)*VLOOKUP('Données projet'!$B$9,Paramètres!$A$1:$I$89,5,0)</f>
        <v>103.87520000000009</v>
      </c>
      <c r="P44" s="14">
        <f t="shared" si="33"/>
        <v>27.883157752959495</v>
      </c>
      <c r="Q44" s="22">
        <f t="shared" si="53"/>
        <v>229.47913975307128</v>
      </c>
      <c r="R44" s="62">
        <f t="shared" si="0"/>
        <v>522.81247308640457</v>
      </c>
      <c r="S44" s="62">
        <f ca="1">AVERAGE(OFFSET($R$3,0,0,'Données projet'!$E$9+1,1))-AVERAGE(OFFSET($H$3,0,0,'Données projet'!$E$9+1,1))</f>
        <v>183.98573418698061</v>
      </c>
      <c r="T44" s="62">
        <f t="shared" si="34"/>
        <v>158.42298722045609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19</v>
      </c>
      <c r="AI44" s="14">
        <f>IF('Données projet'!$A$62&gt;35,AI43+AH44-AQ43,IF(A44&lt;'Données projet'!$A$62,$AF$205^A44,IF(A44='Données projet'!$A$62,'Données projet'!$B$62,AI43+AH44-AQ43)))</f>
        <v>242.00000000000006</v>
      </c>
      <c r="AJ44" s="14">
        <f>AI44*VLOOKUP('Données projet'!$B$10,Paramètres!$A$1:$I$89,3,0)*VLOOKUP('Données projet'!$B$10,Paramètres!$A$1:$I$89,5,0)</f>
        <v>144.71600000000007</v>
      </c>
      <c r="AK44" s="14">
        <f t="shared" si="35"/>
        <v>37.375282885096105</v>
      </c>
      <c r="AL44" s="22">
        <f t="shared" si="4"/>
        <v>317.14231769154247</v>
      </c>
      <c r="AM44" s="62">
        <f t="shared" si="5"/>
        <v>610.47565102487579</v>
      </c>
      <c r="AN44" s="62">
        <f ca="1">AVERAGE(OFFSET($AM$3,0,0,'Données projet'!$E$10+1,1))-AVERAGE(OFFSET($H$3,0,0,'Données projet'!$E$10+1,1))</f>
        <v>294.57089926309249</v>
      </c>
      <c r="AO44" s="62">
        <f t="shared" si="36"/>
        <v>221.0956883062172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8.4</v>
      </c>
      <c r="BD44" s="13">
        <f>IF('Données projet'!$A$88&gt;35,BD43+BC44-BL43,IF(A44&lt;'Données projet'!$A$88,$BA$205^A44,IF(A44='Données projet'!$A$88,'Données projet'!$B$88,BD43+BC44-BL43)))</f>
        <v>124.40000000000003</v>
      </c>
      <c r="BE44" s="14">
        <f>BD44*VLOOKUP('Données projet'!$B$11,Paramètres!$A$1:$I$89,3,0)*VLOOKUP('Données projet'!$B$11,Paramètres!$A$1:$I$89,5,0)</f>
        <v>112.55712000000003</v>
      </c>
      <c r="BF44" s="14">
        <f t="shared" si="37"/>
        <v>29.932653834140599</v>
      </c>
      <c r="BG44" s="22">
        <f t="shared" si="7"/>
        <v>248.16968942779496</v>
      </c>
      <c r="BH44" s="62">
        <f t="shared" si="8"/>
        <v>541.50302276112825</v>
      </c>
      <c r="BI44" s="62">
        <f ca="1">AVERAGE(OFFSET($BH$3,0,0,'Données projet'!$E$11+1,1))-AVERAGE(OFFSET($H$3,0,0,'Données projet'!$E$11+1,1))</f>
        <v>312.29553270286209</v>
      </c>
      <c r="BJ44" s="62">
        <f t="shared" si="38"/>
        <v>175.8423124483154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8.2000000000000064</v>
      </c>
      <c r="BY44" s="13">
        <f>IF('Données projet'!$A$114&gt;35,BY43+BX44-CG43,IF(A44&lt;'Données projet'!$A$114,$BV$205^A44,IF(A44='Données projet'!$A$114,'Données projet'!$B$114,BY43+BX44-CG43)))</f>
        <v>171.8</v>
      </c>
      <c r="BZ44" s="14">
        <f>BY44*VLOOKUP('Données projet'!$B$12,Paramètres!$A$1:$I$89,3,0)*VLOOKUP('Données projet'!$B$12,Paramètres!$A$1:$I$89,5,0)</f>
        <v>125.96375999999999</v>
      </c>
      <c r="CA44" s="14">
        <f t="shared" si="39"/>
        <v>33.061997672641603</v>
      </c>
      <c r="CB44" s="22">
        <f t="shared" si="10"/>
        <v>276.96986127985076</v>
      </c>
      <c r="CC44" s="62">
        <f t="shared" si="11"/>
        <v>570.30319461318413</v>
      </c>
      <c r="CD44" s="62">
        <f ca="1">AVERAGE(OFFSET($CC$3,0,0,'Données projet'!$E$12+1,1))-AVERAGE(OFFSET($H$3,0,0,'Données projet'!$E$12+1,1))</f>
        <v>217.14170654868826</v>
      </c>
      <c r="CE44" s="62">
        <f t="shared" si="40"/>
        <v>202.59844364241644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20.747999999999994</v>
      </c>
      <c r="D45" s="12">
        <f t="shared" si="32"/>
        <v>6.7178804341249787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212.01732264938576</v>
      </c>
      <c r="H45" s="70">
        <f t="shared" si="1"/>
        <v>341.16974175610096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11.6</v>
      </c>
      <c r="N45" s="14">
        <f>IF('Données projet'!$A$36&gt;35,N44+M45-V44,IF(A45&lt;'Données projet'!$A$36,$K$205^A45,IF(A45='Données projet'!$A$36,'Données projet'!$B$36,N44+M45-V44)))</f>
        <v>193.20000000000013</v>
      </c>
      <c r="O45" s="14">
        <f>N45*VLOOKUP('Données projet'!$B$9,Paramètres!$A$1:$I$89,3,0)*VLOOKUP('Données projet'!$B$9,Paramètres!$A$1:$I$89,5,0)</f>
        <v>110.51040000000008</v>
      </c>
      <c r="P45" s="14">
        <f t="shared" si="33"/>
        <v>29.451206375056412</v>
      </c>
      <c r="Q45" s="22">
        <f t="shared" si="53"/>
        <v>243.76646443655667</v>
      </c>
      <c r="R45" s="62">
        <f t="shared" si="0"/>
        <v>537.09979776988996</v>
      </c>
      <c r="S45" s="62">
        <f ca="1">AVERAGE(OFFSET($R$3,0,0,'Données projet'!$E$9+1,1))-AVERAGE(OFFSET($H$3,0,0,'Données projet'!$E$9+1,1))</f>
        <v>183.98573418698061</v>
      </c>
      <c r="T45" s="62">
        <f t="shared" si="34"/>
        <v>158.42298722045609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19</v>
      </c>
      <c r="AI45" s="14">
        <f>IF('Données projet'!$A$62&gt;35,AI44+AH45-AQ44,IF(A45&lt;'Données projet'!$A$62,$AF$205^A45,IF(A45='Données projet'!$A$62,'Données projet'!$B$62,AI44+AH45-AQ44)))</f>
        <v>261.00000000000006</v>
      </c>
      <c r="AJ45" s="14">
        <f>AI45*VLOOKUP('Données projet'!$B$10,Paramètres!$A$1:$I$89,3,0)*VLOOKUP('Données projet'!$B$10,Paramètres!$A$1:$I$89,5,0)</f>
        <v>156.07800000000003</v>
      </c>
      <c r="AK45" s="14">
        <f t="shared" si="35"/>
        <v>39.956623674978466</v>
      </c>
      <c r="AL45" s="22">
        <f t="shared" si="4"/>
        <v>341.42696956725422</v>
      </c>
      <c r="AM45" s="62">
        <f t="shared" si="5"/>
        <v>634.76030290058748</v>
      </c>
      <c r="AN45" s="62">
        <f ca="1">AVERAGE(OFFSET($AM$3,0,0,'Données projet'!$E$10+1,1))-AVERAGE(OFFSET($H$3,0,0,'Données projet'!$E$10+1,1))</f>
        <v>294.57089926309249</v>
      </c>
      <c r="AO45" s="62">
        <f t="shared" si="36"/>
        <v>221.0956883062172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8.4</v>
      </c>
      <c r="BD45" s="13">
        <f>IF('Données projet'!$A$88&gt;35,BD44+BC45-BL44,IF(A45&lt;'Données projet'!$A$88,$BA$205^A45,IF(A45='Données projet'!$A$88,'Données projet'!$B$88,BD44+BC45-BL44)))</f>
        <v>132.80000000000004</v>
      </c>
      <c r="BE45" s="14">
        <f>BD45*VLOOKUP('Données projet'!$B$11,Paramètres!$A$1:$I$89,3,0)*VLOOKUP('Données projet'!$B$11,Paramètres!$A$1:$I$89,5,0)</f>
        <v>120.15744000000002</v>
      </c>
      <c r="BF45" s="14">
        <f t="shared" si="37"/>
        <v>31.711716786129845</v>
      </c>
      <c r="BG45" s="22">
        <f t="shared" si="7"/>
        <v>264.50544806917623</v>
      </c>
      <c r="BH45" s="62">
        <f t="shared" si="8"/>
        <v>557.83878140250954</v>
      </c>
      <c r="BI45" s="62">
        <f ca="1">AVERAGE(OFFSET($BH$3,0,0,'Données projet'!$E$11+1,1))-AVERAGE(OFFSET($H$3,0,0,'Données projet'!$E$11+1,1))</f>
        <v>312.29553270286209</v>
      </c>
      <c r="BJ45" s="62">
        <f t="shared" si="38"/>
        <v>175.8423124483154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8.2000000000000064</v>
      </c>
      <c r="BY45" s="13">
        <f>IF('Données projet'!$A$114&gt;35,BY44+BX45-CG44,IF(A45&lt;'Données projet'!$A$114,$BV$205^A45,IF(A45='Données projet'!$A$114,'Données projet'!$B$114,BY44+BX45-CG44)))</f>
        <v>180.00000000000003</v>
      </c>
      <c r="BZ45" s="14">
        <f>BY45*VLOOKUP('Données projet'!$B$12,Paramètres!$A$1:$I$89,3,0)*VLOOKUP('Données projet'!$B$12,Paramètres!$A$1:$I$89,5,0)</f>
        <v>131.97600000000003</v>
      </c>
      <c r="CA45" s="14">
        <f t="shared" si="39"/>
        <v>34.452553259401945</v>
      </c>
      <c r="CB45" s="22">
        <f t="shared" si="10"/>
        <v>289.86306359345843</v>
      </c>
      <c r="CC45" s="62">
        <f t="shared" si="11"/>
        <v>583.19639692679175</v>
      </c>
      <c r="CD45" s="62">
        <f ca="1">AVERAGE(OFFSET($CC$3,0,0,'Données projet'!$E$12+1,1))-AVERAGE(OFFSET($H$3,0,0,'Données projet'!$E$12+1,1))</f>
        <v>217.14170654868826</v>
      </c>
      <c r="CE45" s="62">
        <f t="shared" si="40"/>
        <v>202.59844364241644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21.241999999999994</v>
      </c>
      <c r="D46" s="12">
        <f t="shared" si="32"/>
        <v>6.8590177112522763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216.92013671843858</v>
      </c>
      <c r="H46" s="70">
        <f t="shared" si="1"/>
        <v>342.27593918043101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11.6</v>
      </c>
      <c r="N46" s="14">
        <f>IF('Données projet'!$A$36&gt;35,N45+M46-V45,IF(A46&lt;'Données projet'!$A$36,$K$205^A46,IF(A46='Données projet'!$A$36,'Données projet'!$B$36,N45+M46-V45)))</f>
        <v>204.80000000000013</v>
      </c>
      <c r="O46" s="14">
        <f>N46*VLOOKUP('Données projet'!$B$9,Paramètres!$A$1:$I$89,3,0)*VLOOKUP('Données projet'!$B$9,Paramètres!$A$1:$I$89,5,0)</f>
        <v>117.14560000000007</v>
      </c>
      <c r="P46" s="14">
        <f t="shared" si="33"/>
        <v>31.008327463794476</v>
      </c>
      <c r="Q46" s="22">
        <f t="shared" si="53"/>
        <v>258.03475699944221</v>
      </c>
      <c r="R46" s="62">
        <f t="shared" si="0"/>
        <v>551.36809033277552</v>
      </c>
      <c r="S46" s="62">
        <f ca="1">AVERAGE(OFFSET($R$3,0,0,'Données projet'!$E$9+1,1))-AVERAGE(OFFSET($H$3,0,0,'Données projet'!$E$9+1,1))</f>
        <v>183.98573418698061</v>
      </c>
      <c r="T46" s="62">
        <f t="shared" si="34"/>
        <v>158.42298722045609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19</v>
      </c>
      <c r="AI46" s="14">
        <f>IF('Données projet'!$A$62&gt;35,AI45+AH46-AQ45,IF(A46&lt;'Données projet'!$A$62,$AF$205^A46,IF(A46='Données projet'!$A$62,'Données projet'!$B$62,AI45+AH46-AQ45)))</f>
        <v>280.00000000000006</v>
      </c>
      <c r="AJ46" s="14">
        <f>AI46*VLOOKUP('Données projet'!$B$10,Paramètres!$A$1:$I$89,3,0)*VLOOKUP('Données projet'!$B$10,Paramètres!$A$1:$I$89,5,0)</f>
        <v>167.44000000000005</v>
      </c>
      <c r="AK46" s="14">
        <f t="shared" si="35"/>
        <v>42.516163405082935</v>
      </c>
      <c r="AL46" s="22">
        <f t="shared" si="4"/>
        <v>365.67365126385283</v>
      </c>
      <c r="AM46" s="62">
        <f t="shared" si="5"/>
        <v>659.00698459718615</v>
      </c>
      <c r="AN46" s="62">
        <f ca="1">AVERAGE(OFFSET($AM$3,0,0,'Données projet'!$E$10+1,1))-AVERAGE(OFFSET($H$3,0,0,'Données projet'!$E$10+1,1))</f>
        <v>294.57089926309249</v>
      </c>
      <c r="AO46" s="62">
        <f t="shared" si="36"/>
        <v>221.0956883062172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8.4</v>
      </c>
      <c r="BD46" s="13">
        <f>IF('Données projet'!$A$88&gt;35,BD45+BC46-BL45,IF(A46&lt;'Données projet'!$A$88,$BA$205^A46,IF(A46='Données projet'!$A$88,'Données projet'!$B$88,BD45+BC46-BL45)))</f>
        <v>141.20000000000005</v>
      </c>
      <c r="BE46" s="14">
        <f>BD46*VLOOKUP('Données projet'!$B$11,Paramètres!$A$1:$I$89,3,0)*VLOOKUP('Données projet'!$B$11,Paramètres!$A$1:$I$89,5,0)</f>
        <v>127.75776000000003</v>
      </c>
      <c r="BF46" s="14">
        <f t="shared" si="37"/>
        <v>33.477720030956604</v>
      </c>
      <c r="BG46" s="22">
        <f t="shared" si="7"/>
        <v>280.81846105391611</v>
      </c>
      <c r="BH46" s="62">
        <f t="shared" si="8"/>
        <v>574.15179438724942</v>
      </c>
      <c r="BI46" s="62">
        <f ca="1">AVERAGE(OFFSET($BH$3,0,0,'Données projet'!$E$11+1,1))-AVERAGE(OFFSET($H$3,0,0,'Données projet'!$E$11+1,1))</f>
        <v>312.29553270286209</v>
      </c>
      <c r="BJ46" s="62">
        <f t="shared" si="38"/>
        <v>175.8423124483154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8.2000000000000064</v>
      </c>
      <c r="BY46" s="13">
        <f>IF('Données projet'!$A$114&gt;35,BY45+BX46-CG45,IF(A46&lt;'Données projet'!$A$114,$BV$205^A46,IF(A46='Données projet'!$A$114,'Données projet'!$B$114,BY45+BX46-CG45)))</f>
        <v>188.20000000000005</v>
      </c>
      <c r="BZ46" s="14">
        <f>BY46*VLOOKUP('Données projet'!$B$12,Paramètres!$A$1:$I$89,3,0)*VLOOKUP('Données projet'!$B$12,Paramètres!$A$1:$I$89,5,0)</f>
        <v>137.98824000000005</v>
      </c>
      <c r="CA46" s="14">
        <f t="shared" si="39"/>
        <v>35.83575202197639</v>
      </c>
      <c r="CB46" s="22">
        <f t="shared" si="10"/>
        <v>302.74345277160899</v>
      </c>
      <c r="CC46" s="62">
        <f t="shared" si="11"/>
        <v>596.07678610494236</v>
      </c>
      <c r="CD46" s="62">
        <f ca="1">AVERAGE(OFFSET($CC$3,0,0,'Données projet'!$E$12+1,1))-AVERAGE(OFFSET($H$3,0,0,'Données projet'!$E$12+1,1))</f>
        <v>217.14170654868826</v>
      </c>
      <c r="CE46" s="62">
        <f t="shared" si="40"/>
        <v>202.59844364241644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21.735999999999994</v>
      </c>
      <c r="D47" s="12">
        <f t="shared" si="32"/>
        <v>6.9997734133417886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221.82000529597167</v>
      </c>
      <c r="H47" s="70">
        <f t="shared" si="1"/>
        <v>343.38147202823689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11.6</v>
      </c>
      <c r="N47" s="14">
        <f>IF('Données projet'!$A$36&gt;35,N46+M47-V46,IF(A47&lt;'Données projet'!$A$36,$K$205^A47,IF(A47='Données projet'!$A$36,'Données projet'!$B$36,N46+M47-V46)))</f>
        <v>216.40000000000012</v>
      </c>
      <c r="O47" s="14">
        <f>N47*VLOOKUP('Données projet'!$B$9,Paramètres!$A$1:$I$89,3,0)*VLOOKUP('Données projet'!$B$9,Paramètres!$A$1:$I$89,5,0)</f>
        <v>123.78080000000007</v>
      </c>
      <c r="P47" s="14">
        <f t="shared" si="33"/>
        <v>32.555210491234583</v>
      </c>
      <c r="Q47" s="22">
        <f t="shared" si="53"/>
        <v>272.28521827223369</v>
      </c>
      <c r="R47" s="62">
        <f t="shared" si="0"/>
        <v>565.61855160556706</v>
      </c>
      <c r="S47" s="62">
        <f ca="1">AVERAGE(OFFSET($R$3,0,0,'Données projet'!$E$9+1,1))-AVERAGE(OFFSET($H$3,0,0,'Données projet'!$E$9+1,1))</f>
        <v>183.98573418698061</v>
      </c>
      <c r="T47" s="62">
        <f t="shared" si="34"/>
        <v>158.42298722045609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19</v>
      </c>
      <c r="AI47" s="14">
        <f>IF('Données projet'!$A$62&gt;35,AI46+AH47-AQ46,IF(A47&lt;'Données projet'!$A$62,$AF$205^A47,IF(A47='Données projet'!$A$62,'Données projet'!$B$62,AI46+AH47-AQ46)))</f>
        <v>299.00000000000006</v>
      </c>
      <c r="AJ47" s="14">
        <f>AI47*VLOOKUP('Données projet'!$B$10,Paramètres!$A$1:$I$89,3,0)*VLOOKUP('Données projet'!$B$10,Paramètres!$A$1:$I$89,5,0)</f>
        <v>178.80200000000002</v>
      </c>
      <c r="AK47" s="14">
        <f t="shared" si="35"/>
        <v>45.055549739375941</v>
      </c>
      <c r="AL47" s="22">
        <f t="shared" si="4"/>
        <v>389.88523246274644</v>
      </c>
      <c r="AM47" s="62">
        <f t="shared" si="5"/>
        <v>683.2185657960797</v>
      </c>
      <c r="AN47" s="62">
        <f ca="1">AVERAGE(OFFSET($AM$3,0,0,'Données projet'!$E$10+1,1))-AVERAGE(OFFSET($H$3,0,0,'Données projet'!$E$10+1,1))</f>
        <v>294.57089926309249</v>
      </c>
      <c r="AO47" s="62">
        <f t="shared" si="36"/>
        <v>221.0956883062172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8.4</v>
      </c>
      <c r="BD47" s="13">
        <f>IF('Données projet'!$A$88&gt;35,BD46+BC47-BL46,IF(A47&lt;'Données projet'!$A$88,$BA$205^A47,IF(A47='Données projet'!$A$88,'Données projet'!$B$88,BD46+BC47-BL46)))</f>
        <v>149.60000000000005</v>
      </c>
      <c r="BE47" s="14">
        <f>BD47*VLOOKUP('Données projet'!$B$11,Paramètres!$A$1:$I$89,3,0)*VLOOKUP('Données projet'!$B$11,Paramètres!$A$1:$I$89,5,0)</f>
        <v>135.35808000000006</v>
      </c>
      <c r="BF47" s="14">
        <f t="shared" si="37"/>
        <v>35.231528980112834</v>
      </c>
      <c r="BG47" s="22">
        <f t="shared" si="7"/>
        <v>297.11023564036327</v>
      </c>
      <c r="BH47" s="62">
        <f t="shared" si="8"/>
        <v>590.44356897369653</v>
      </c>
      <c r="BI47" s="62">
        <f ca="1">AVERAGE(OFFSET($BH$3,0,0,'Données projet'!$E$11+1,1))-AVERAGE(OFFSET($H$3,0,0,'Données projet'!$E$11+1,1))</f>
        <v>312.29553270286209</v>
      </c>
      <c r="BJ47" s="62">
        <f t="shared" si="38"/>
        <v>175.8423124483154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8.2000000000000064</v>
      </c>
      <c r="BY47" s="13">
        <f>IF('Données projet'!$A$114&gt;35,BY46+BX47-CG46,IF(A47&lt;'Données projet'!$A$114,$BV$205^A47,IF(A47='Données projet'!$A$114,'Données projet'!$B$114,BY46+BX47-CG46)))</f>
        <v>196.40000000000006</v>
      </c>
      <c r="BZ47" s="14">
        <f>BY47*VLOOKUP('Données projet'!$B$12,Paramètres!$A$1:$I$89,3,0)*VLOOKUP('Données projet'!$B$12,Paramètres!$A$1:$I$89,5,0)</f>
        <v>144.00048000000004</v>
      </c>
      <c r="CA47" s="14">
        <f t="shared" si="39"/>
        <v>37.211951137976968</v>
      </c>
      <c r="CB47" s="22">
        <f t="shared" si="10"/>
        <v>315.61165089864329</v>
      </c>
      <c r="CC47" s="62">
        <f t="shared" si="11"/>
        <v>608.9449842319766</v>
      </c>
      <c r="CD47" s="62">
        <f ca="1">AVERAGE(OFFSET($CC$3,0,0,'Données projet'!$E$12+1,1))-AVERAGE(OFFSET($H$3,0,0,'Données projet'!$E$12+1,1))</f>
        <v>217.14170654868826</v>
      </c>
      <c r="CE47" s="62">
        <f t="shared" si="40"/>
        <v>202.59844364241644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22.229999999999993</v>
      </c>
      <c r="D48" s="12">
        <f t="shared" si="32"/>
        <v>7.140157210880437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226.71700303135768</v>
      </c>
      <c r="H48" s="70">
        <f t="shared" si="1"/>
        <v>344.4863571422834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11.6</v>
      </c>
      <c r="N48" s="14">
        <f>IF('Données projet'!$A$36&gt;35,N47+M48-V47,IF(A48&lt;'Données projet'!$A$36,$K$205^A48,IF(A48='Données projet'!$A$36,'Données projet'!$B$36,N47+M48-V47)))</f>
        <v>228.00000000000011</v>
      </c>
      <c r="O48" s="14">
        <f>N48*VLOOKUP('Données projet'!$B$9,Paramètres!$A$1:$I$89,3,0)*VLOOKUP('Données projet'!$B$9,Paramètres!$A$1:$I$89,5,0)</f>
        <v>130.41600000000008</v>
      </c>
      <c r="P48" s="14">
        <f t="shared" si="33"/>
        <v>34.092466837179941</v>
      </c>
      <c r="Q48" s="22">
        <f t="shared" si="53"/>
        <v>286.51891307475523</v>
      </c>
      <c r="R48" s="62">
        <f t="shared" si="0"/>
        <v>579.8522464080886</v>
      </c>
      <c r="S48" s="62">
        <f ca="1">AVERAGE(OFFSET($R$3,0,0,'Données projet'!$E$9+1,1))-AVERAGE(OFFSET($H$3,0,0,'Données projet'!$E$9+1,1))</f>
        <v>183.98573418698061</v>
      </c>
      <c r="T48" s="62">
        <f t="shared" si="34"/>
        <v>158.42298722045609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318</v>
      </c>
      <c r="AG48" s="13">
        <f>VLOOKUP(A48,'Données projet'!$A$61:$I$81,9,0)</f>
        <v>19</v>
      </c>
      <c r="AH48" s="13">
        <f t="array" ref="AH48">INDEX(AG:AG,MIN(IF(ISNUMBER(AG48:AG244),ROW(AG48:AG244),"")))</f>
        <v>19</v>
      </c>
      <c r="AI48" s="14">
        <f>IF('Données projet'!$A$62&gt;35,AI47+AH48-AQ47,IF(A48&lt;'Données projet'!$A$62,$AF$205^A48,IF(A48='Données projet'!$A$62,'Données projet'!$B$62,AI47+AH48-AQ47)))</f>
        <v>318.00000000000006</v>
      </c>
      <c r="AJ48" s="14">
        <f>AI48*VLOOKUP('Données projet'!$B$10,Paramètres!$A$1:$I$89,3,0)*VLOOKUP('Données projet'!$B$10,Paramètres!$A$1:$I$89,5,0)</f>
        <v>190.16400000000004</v>
      </c>
      <c r="AK48" s="14">
        <f t="shared" si="35"/>
        <v>47.576209101852911</v>
      </c>
      <c r="AL48" s="22">
        <f t="shared" si="4"/>
        <v>414.06419751906054</v>
      </c>
      <c r="AM48" s="62">
        <f t="shared" si="5"/>
        <v>707.39753085239386</v>
      </c>
      <c r="AN48" s="62">
        <f ca="1">AVERAGE(OFFSET($AM$3,0,0,'Données projet'!$E$10+1,1))-AVERAGE(OFFSET($H$3,0,0,'Données projet'!$E$10+1,1))</f>
        <v>294.57089926309249</v>
      </c>
      <c r="AO48" s="62">
        <f t="shared" si="36"/>
        <v>221.0956883062172</v>
      </c>
      <c r="AP48" s="16">
        <f>IF(ISNA(VLOOKUP(A48,'Données projet'!$A$61:$I$81,3,0)),0,VLOOKUP(A48,'Données projet'!$A$61:$I$81,3,0))</f>
        <v>5</v>
      </c>
      <c r="AQ48" s="16">
        <f>IF(ISNA(VLOOKUP(A48,'Données projet'!$A$61:$I$81,4,0)),0,VLOOKUP(A48,'Données projet'!$A$61:$I$81,4,0))</f>
        <v>53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158</v>
      </c>
      <c r="BB48" s="13">
        <f>VLOOKUP(A48,'Données projet'!$A$87:$I$107,9,0)</f>
        <v>8.4</v>
      </c>
      <c r="BC48" s="13">
        <f t="array" ref="BC48">INDEX(BB:BB,MIN(IF(ISNUMBER(BB48:BB244),ROW(BB48:BB244),"")))</f>
        <v>8.4</v>
      </c>
      <c r="BD48" s="13">
        <f>IF('Données projet'!$A$88&gt;35,BD47+BC48-BL47,IF(A48&lt;'Données projet'!$A$88,$BA$205^A48,IF(A48='Données projet'!$A$88,'Données projet'!$B$88,BD47+BC48-BL47)))</f>
        <v>158.00000000000006</v>
      </c>
      <c r="BE48" s="14">
        <f>BD48*VLOOKUP('Données projet'!$B$11,Paramètres!$A$1:$I$89,3,0)*VLOOKUP('Données projet'!$B$11,Paramètres!$A$1:$I$89,5,0)</f>
        <v>142.95840000000004</v>
      </c>
      <c r="BF48" s="14">
        <f t="shared" si="37"/>
        <v>36.973906370811264</v>
      </c>
      <c r="BG48" s="22">
        <f t="shared" si="7"/>
        <v>313.38210026249641</v>
      </c>
      <c r="BH48" s="62">
        <f t="shared" si="8"/>
        <v>606.71543359582972</v>
      </c>
      <c r="BI48" s="62">
        <f ca="1">AVERAGE(OFFSET($BH$3,0,0,'Données projet'!$E$11+1,1))-AVERAGE(OFFSET($H$3,0,0,'Données projet'!$E$11+1,1))</f>
        <v>312.29553270286209</v>
      </c>
      <c r="BJ48" s="62">
        <f t="shared" si="38"/>
        <v>175.8423124483154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204.60000000000002</v>
      </c>
      <c r="BW48" s="13">
        <f>VLOOKUP(A48,'Données projet'!$A$113:$I$133,9,0)</f>
        <v>8.2000000000000064</v>
      </c>
      <c r="BX48" s="13">
        <f t="array" ref="BX48">INDEX(BW:BW,MIN(IF(ISNUMBER(BW48:BW244),ROW(BW48:BW244),"")))</f>
        <v>8.2000000000000064</v>
      </c>
      <c r="BY48" s="13">
        <f>IF('Données projet'!$A$114&gt;35,BY47+BX48-CG47,IF(A48&lt;'Données projet'!$A$114,$BV$205^A48,IF(A48='Données projet'!$A$114,'Données projet'!$B$114,BY47+BX48-CG47)))</f>
        <v>204.60000000000008</v>
      </c>
      <c r="BZ48" s="14">
        <f>BY48*VLOOKUP('Données projet'!$B$12,Paramètres!$A$1:$I$89,3,0)*VLOOKUP('Données projet'!$B$12,Paramètres!$A$1:$I$89,5,0)</f>
        <v>150.01272000000006</v>
      </c>
      <c r="CA48" s="14">
        <f t="shared" si="39"/>
        <v>38.581476272231662</v>
      </c>
      <c r="CB48" s="22">
        <f t="shared" si="10"/>
        <v>328.46822517413688</v>
      </c>
      <c r="CC48" s="62">
        <f t="shared" si="11"/>
        <v>621.80155850747019</v>
      </c>
      <c r="CD48" s="62">
        <f ca="1">AVERAGE(OFFSET($CC$3,0,0,'Données projet'!$E$12+1,1))-AVERAGE(OFFSET($H$3,0,0,'Données projet'!$E$12+1,1))</f>
        <v>217.14170654868826</v>
      </c>
      <c r="CE48" s="62">
        <f t="shared" si="40"/>
        <v>202.59844364241644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22.723999999999993</v>
      </c>
      <c r="D49" s="12">
        <f t="shared" si="32"/>
        <v>7.2801783200166916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231.6112010667955</v>
      </c>
      <c r="H49" s="70">
        <f t="shared" si="1"/>
        <v>345.59061057402903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11.6</v>
      </c>
      <c r="N49" s="14">
        <f>IF('Données projet'!$A$36&gt;35,N48+M49-V48,IF(A49&lt;'Données projet'!$A$36,$K$205^A49,IF(A49='Données projet'!$A$36,'Données projet'!$B$36,N48+M49-V48)))</f>
        <v>239.60000000000011</v>
      </c>
      <c r="O49" s="14">
        <f>N49*VLOOKUP('Données projet'!$B$9,Paramètres!$A$1:$I$89,3,0)*VLOOKUP('Données projet'!$B$9,Paramètres!$A$1:$I$89,5,0)</f>
        <v>137.05120000000008</v>
      </c>
      <c r="P49" s="14">
        <f t="shared" si="33"/>
        <v>35.620642156874432</v>
      </c>
      <c r="Q49" s="22">
        <f t="shared" si="53"/>
        <v>300.73679175655644</v>
      </c>
      <c r="R49" s="62">
        <f t="shared" si="0"/>
        <v>594.07012508988976</v>
      </c>
      <c r="S49" s="62">
        <f ca="1">AVERAGE(OFFSET($R$3,0,0,'Données projet'!$E$9+1,1))-AVERAGE(OFFSET($H$3,0,0,'Données projet'!$E$9+1,1))</f>
        <v>183.98573418698061</v>
      </c>
      <c r="T49" s="62">
        <f t="shared" si="34"/>
        <v>158.42298722045609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17.399999999999999</v>
      </c>
      <c r="AI49" s="14">
        <f>IF('Données projet'!$A$62&gt;35,AI48+AH49-AQ48,IF(A49&lt;'Données projet'!$A$62,$AF$205^A49,IF(A49='Données projet'!$A$62,'Données projet'!$B$62,AI48+AH49-AQ48)))</f>
        <v>282.40000000000003</v>
      </c>
      <c r="AJ49" s="14">
        <f>AI49*VLOOKUP('Données projet'!$B$10,Paramètres!$A$1:$I$89,3,0)*VLOOKUP('Données projet'!$B$10,Paramètres!$A$1:$I$89,5,0)</f>
        <v>168.87520000000004</v>
      </c>
      <c r="AK49" s="14">
        <f t="shared" si="35"/>
        <v>42.838008554673955</v>
      </c>
      <c r="AL49" s="22">
        <f t="shared" si="4"/>
        <v>368.73383823272388</v>
      </c>
      <c r="AM49" s="62">
        <f t="shared" si="5"/>
        <v>662.06717156605714</v>
      </c>
      <c r="AN49" s="62">
        <f ca="1">AVERAGE(OFFSET($AM$3,0,0,'Données projet'!$E$10+1,1))-AVERAGE(OFFSET($H$3,0,0,'Données projet'!$E$10+1,1))</f>
        <v>294.57089926309249</v>
      </c>
      <c r="AO49" s="62">
        <f t="shared" si="36"/>
        <v>221.0956883062172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8.1999999999999993</v>
      </c>
      <c r="BD49" s="13">
        <f>IF('Données projet'!$A$88&gt;35,BD48+BC49-BL48,IF(A49&lt;'Données projet'!$A$88,$BA$205^A49,IF(A49='Données projet'!$A$88,'Données projet'!$B$88,BD48+BC49-BL48)))</f>
        <v>166.20000000000005</v>
      </c>
      <c r="BE49" s="14">
        <f>BD49*VLOOKUP('Données projet'!$B$11,Paramètres!$A$1:$I$89,3,0)*VLOOKUP('Données projet'!$B$11,Paramètres!$A$1:$I$89,5,0)</f>
        <v>150.37776000000002</v>
      </c>
      <c r="BF49" s="14">
        <f t="shared" si="37"/>
        <v>38.664420365454049</v>
      </c>
      <c r="BG49" s="22">
        <f t="shared" si="7"/>
        <v>329.24846413649914</v>
      </c>
      <c r="BH49" s="62">
        <f t="shared" si="8"/>
        <v>622.58179746983251</v>
      </c>
      <c r="BI49" s="62">
        <f ca="1">AVERAGE(OFFSET($BH$3,0,0,'Données projet'!$E$11+1,1))-AVERAGE(OFFSET($H$3,0,0,'Données projet'!$E$11+1,1))</f>
        <v>312.29553270286209</v>
      </c>
      <c r="BJ49" s="62">
        <f t="shared" si="38"/>
        <v>175.8423124483154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7.1199999999999992</v>
      </c>
      <c r="BY49" s="13">
        <f>IF('Données projet'!$A$114&gt;35,BY48+BX49-CG48,IF(A49&lt;'Données projet'!$A$114,$BV$205^A49,IF(A49='Données projet'!$A$114,'Données projet'!$B$114,BY48+BX49-CG48)))</f>
        <v>211.72000000000008</v>
      </c>
      <c r="BZ49" s="14">
        <f>BY49*VLOOKUP('Données projet'!$B$12,Paramètres!$A$1:$I$89,3,0)*VLOOKUP('Données projet'!$B$12,Paramètres!$A$1:$I$89,5,0)</f>
        <v>155.23310400000005</v>
      </c>
      <c r="CA49" s="14">
        <f t="shared" si="39"/>
        <v>39.765443377037272</v>
      </c>
      <c r="CB49" s="22">
        <f t="shared" si="10"/>
        <v>339.62247001500663</v>
      </c>
      <c r="CC49" s="62">
        <f t="shared" si="11"/>
        <v>632.95580334833994</v>
      </c>
      <c r="CD49" s="62">
        <f ca="1">AVERAGE(OFFSET($CC$3,0,0,'Données projet'!$E$12+1,1))-AVERAGE(OFFSET($H$3,0,0,'Données projet'!$E$12+1,1))</f>
        <v>217.14170654868826</v>
      </c>
      <c r="CE49" s="62">
        <f t="shared" si="40"/>
        <v>202.59844364241644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23.217999999999993</v>
      </c>
      <c r="D50" s="12">
        <f t="shared" si="32"/>
        <v>7.4198455333118369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236.50266727468784</v>
      </c>
      <c r="H50" s="70">
        <f t="shared" si="1"/>
        <v>346.69424763718473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11.6</v>
      </c>
      <c r="N50" s="14">
        <f>IF('Données projet'!$A$36&gt;35,N49+M50-V49,IF(A50&lt;'Données projet'!$A$36,$K$205^A50,IF(A50='Données projet'!$A$36,'Données projet'!$B$36,N49+M50-V49)))</f>
        <v>251.2000000000001</v>
      </c>
      <c r="O50" s="14">
        <f>N50*VLOOKUP('Données projet'!$B$9,Paramètres!$A$1:$I$89,3,0)*VLOOKUP('Données projet'!$B$9,Paramètres!$A$1:$I$89,5,0)</f>
        <v>143.68640000000008</v>
      </c>
      <c r="P50" s="14">
        <f t="shared" si="33"/>
        <v>37.140226285695888</v>
      </c>
      <c r="Q50" s="22">
        <f t="shared" si="53"/>
        <v>314.93970744758712</v>
      </c>
      <c r="R50" s="62">
        <f t="shared" si="0"/>
        <v>608.27304078092038</v>
      </c>
      <c r="S50" s="62">
        <f ca="1">AVERAGE(OFFSET($R$3,0,0,'Données projet'!$E$9+1,1))-AVERAGE(OFFSET($H$3,0,0,'Données projet'!$E$9+1,1))</f>
        <v>183.98573418698061</v>
      </c>
      <c r="T50" s="62">
        <f t="shared" si="34"/>
        <v>158.42298722045609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17.399999999999999</v>
      </c>
      <c r="AI50" s="14">
        <f>IF('Données projet'!$A$62&gt;35,AI49+AH50-AQ49,IF(A50&lt;'Données projet'!$A$62,$AF$205^A50,IF(A50='Données projet'!$A$62,'Données projet'!$B$62,AI49+AH50-AQ49)))</f>
        <v>299.8</v>
      </c>
      <c r="AJ50" s="14">
        <f>AI50*VLOOKUP('Données projet'!$B$10,Paramètres!$A$1:$I$89,3,0)*VLOOKUP('Données projet'!$B$10,Paramètres!$A$1:$I$89,5,0)</f>
        <v>179.28040000000001</v>
      </c>
      <c r="AK50" s="14">
        <f t="shared" si="35"/>
        <v>45.162051118824294</v>
      </c>
      <c r="AL50" s="22">
        <f t="shared" si="4"/>
        <v>390.90393569861902</v>
      </c>
      <c r="AM50" s="62">
        <f t="shared" si="5"/>
        <v>684.23726903195234</v>
      </c>
      <c r="AN50" s="62">
        <f ca="1">AVERAGE(OFFSET($AM$3,0,0,'Données projet'!$E$10+1,1))-AVERAGE(OFFSET($H$3,0,0,'Données projet'!$E$10+1,1))</f>
        <v>294.57089926309249</v>
      </c>
      <c r="AO50" s="62">
        <f t="shared" si="36"/>
        <v>221.0956883062172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8.1999999999999993</v>
      </c>
      <c r="BD50" s="13">
        <f>IF('Données projet'!$A$88&gt;35,BD49+BC50-BL49,IF(A50&lt;'Données projet'!$A$88,$BA$205^A50,IF(A50='Données projet'!$A$88,'Données projet'!$B$88,BD49+BC50-BL49)))</f>
        <v>174.40000000000003</v>
      </c>
      <c r="BE50" s="14">
        <f>BD50*VLOOKUP('Données projet'!$B$11,Paramètres!$A$1:$I$89,3,0)*VLOOKUP('Données projet'!$B$11,Paramètres!$A$1:$I$89,5,0)</f>
        <v>157.79712000000004</v>
      </c>
      <c r="BF50" s="14">
        <f t="shared" si="37"/>
        <v>40.345249481546155</v>
      </c>
      <c r="BG50" s="22">
        <f t="shared" si="7"/>
        <v>345.09796018035962</v>
      </c>
      <c r="BH50" s="62">
        <f t="shared" si="8"/>
        <v>638.43129351369294</v>
      </c>
      <c r="BI50" s="62">
        <f ca="1">AVERAGE(OFFSET($BH$3,0,0,'Données projet'!$E$11+1,1))-AVERAGE(OFFSET($H$3,0,0,'Données projet'!$E$11+1,1))</f>
        <v>312.29553270286209</v>
      </c>
      <c r="BJ50" s="62">
        <f t="shared" si="38"/>
        <v>175.8423124483154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7.1199999999999992</v>
      </c>
      <c r="BY50" s="13">
        <f>IF('Données projet'!$A$114&gt;35,BY49+BX50-CG49,IF(A50&lt;'Données projet'!$A$114,$BV$205^A50,IF(A50='Données projet'!$A$114,'Données projet'!$B$114,BY49+BX50-CG49)))</f>
        <v>218.84000000000009</v>
      </c>
      <c r="BZ50" s="14">
        <f>BY50*VLOOKUP('Données projet'!$B$12,Paramètres!$A$1:$I$89,3,0)*VLOOKUP('Données projet'!$B$12,Paramètres!$A$1:$I$89,5,0)</f>
        <v>160.45348800000008</v>
      </c>
      <c r="CA50" s="14">
        <f t="shared" si="39"/>
        <v>40.944784036070729</v>
      </c>
      <c r="CB50" s="22">
        <f t="shared" si="10"/>
        <v>350.7686571294899</v>
      </c>
      <c r="CC50" s="62">
        <f t="shared" si="11"/>
        <v>644.10199046282321</v>
      </c>
      <c r="CD50" s="62">
        <f ca="1">AVERAGE(OFFSET($CC$3,0,0,'Données projet'!$E$12+1,1))-AVERAGE(OFFSET($H$3,0,0,'Données projet'!$E$12+1,1))</f>
        <v>217.14170654868826</v>
      </c>
      <c r="CE50" s="62">
        <f t="shared" si="40"/>
        <v>202.59844364241644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23.711999999999993</v>
      </c>
      <c r="D51" s="12">
        <f t="shared" si="32"/>
        <v>7.5591672478002421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241.39146647424749</v>
      </c>
      <c r="H51" s="70">
        <f t="shared" si="1"/>
        <v>347.79728295658538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11.6</v>
      </c>
      <c r="N51" s="14">
        <f>IF('Données projet'!$A$36&gt;35,N50+M51-V50,IF(A51&lt;'Données projet'!$A$36,$K$205^A51,IF(A51='Données projet'!$A$36,'Données projet'!$B$36,N50+M51-V50)))</f>
        <v>262.80000000000013</v>
      </c>
      <c r="O51" s="14">
        <f>N51*VLOOKUP('Données projet'!$B$9,Paramètres!$A$1:$I$89,3,0)*VLOOKUP('Données projet'!$B$9,Paramètres!$A$1:$I$89,5,0)</f>
        <v>150.32160000000007</v>
      </c>
      <c r="P51" s="14">
        <f t="shared" si="33"/>
        <v>38.651661262565312</v>
      </c>
      <c r="Q51" s="22">
        <f t="shared" si="53"/>
        <v>329.12843003230142</v>
      </c>
      <c r="R51" s="62">
        <f t="shared" si="0"/>
        <v>622.46176336563474</v>
      </c>
      <c r="S51" s="62">
        <f ca="1">AVERAGE(OFFSET($R$3,0,0,'Données projet'!$E$9+1,1))-AVERAGE(OFFSET($H$3,0,0,'Données projet'!$E$9+1,1))</f>
        <v>183.98573418698061</v>
      </c>
      <c r="T51" s="62">
        <f t="shared" si="34"/>
        <v>158.42298722045609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17.399999999999999</v>
      </c>
      <c r="AI51" s="14">
        <f>IF('Données projet'!$A$62&gt;35,AI50+AH51-AQ50,IF(A51&lt;'Données projet'!$A$62,$AF$205^A51,IF(A51='Données projet'!$A$62,'Données projet'!$B$62,AI50+AH51-AQ50)))</f>
        <v>317.2</v>
      </c>
      <c r="AJ51" s="14">
        <f>AI51*VLOOKUP('Données projet'!$B$10,Paramètres!$A$1:$I$89,3,0)*VLOOKUP('Données projet'!$B$10,Paramètres!$A$1:$I$89,5,0)</f>
        <v>189.68560000000002</v>
      </c>
      <c r="AK51" s="14">
        <f t="shared" si="35"/>
        <v>47.470436776872745</v>
      </c>
      <c r="AL51" s="22">
        <f t="shared" si="4"/>
        <v>413.04676405305344</v>
      </c>
      <c r="AM51" s="62">
        <f t="shared" si="5"/>
        <v>706.38009738638675</v>
      </c>
      <c r="AN51" s="62">
        <f ca="1">AVERAGE(OFFSET($AM$3,0,0,'Données projet'!$E$10+1,1))-AVERAGE(OFFSET($H$3,0,0,'Données projet'!$E$10+1,1))</f>
        <v>294.57089926309249</v>
      </c>
      <c r="AO51" s="62">
        <f t="shared" si="36"/>
        <v>221.0956883062172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8.1999999999999993</v>
      </c>
      <c r="BD51" s="13">
        <f>IF('Données projet'!$A$88&gt;35,BD50+BC51-BL50,IF(A51&lt;'Données projet'!$A$88,$BA$205^A51,IF(A51='Données projet'!$A$88,'Données projet'!$B$88,BD50+BC51-BL50)))</f>
        <v>182.60000000000002</v>
      </c>
      <c r="BE51" s="14">
        <f>BD51*VLOOKUP('Données projet'!$B$11,Paramètres!$A$1:$I$89,3,0)*VLOOKUP('Données projet'!$B$11,Paramètres!$A$1:$I$89,5,0)</f>
        <v>165.21648000000002</v>
      </c>
      <c r="BF51" s="14">
        <f t="shared" si="37"/>
        <v>42.016901084500397</v>
      </c>
      <c r="BG51" s="22">
        <f t="shared" si="7"/>
        <v>360.93147205550491</v>
      </c>
      <c r="BH51" s="62">
        <f t="shared" si="8"/>
        <v>654.26480538883823</v>
      </c>
      <c r="BI51" s="62">
        <f ca="1">AVERAGE(OFFSET($BH$3,0,0,'Données projet'!$E$11+1,1))-AVERAGE(OFFSET($H$3,0,0,'Données projet'!$E$11+1,1))</f>
        <v>312.29553270286209</v>
      </c>
      <c r="BJ51" s="62">
        <f t="shared" si="38"/>
        <v>175.8423124483154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7.1199999999999992</v>
      </c>
      <c r="BY51" s="13">
        <f>IF('Données projet'!$A$114&gt;35,BY50+BX51-CG50,IF(A51&lt;'Données projet'!$A$114,$BV$205^A51,IF(A51='Données projet'!$A$114,'Données projet'!$B$114,BY50+BX51-CG50)))</f>
        <v>225.96000000000009</v>
      </c>
      <c r="BZ51" s="14">
        <f>BY51*VLOOKUP('Données projet'!$B$12,Paramètres!$A$1:$I$89,3,0)*VLOOKUP('Données projet'!$B$12,Paramètres!$A$1:$I$89,5,0)</f>
        <v>165.67387200000007</v>
      </c>
      <c r="CA51" s="14">
        <f t="shared" si="39"/>
        <v>42.119666034700927</v>
      </c>
      <c r="CB51" s="22">
        <f t="shared" si="10"/>
        <v>361.90707874377085</v>
      </c>
      <c r="CC51" s="62">
        <f t="shared" si="11"/>
        <v>655.24041207710411</v>
      </c>
      <c r="CD51" s="62">
        <f ca="1">AVERAGE(OFFSET($CC$3,0,0,'Données projet'!$E$12+1,1))-AVERAGE(OFFSET($H$3,0,0,'Données projet'!$E$12+1,1))</f>
        <v>217.14170654868826</v>
      </c>
      <c r="CE51" s="62">
        <f t="shared" si="40"/>
        <v>202.59844364241644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24.205999999999992</v>
      </c>
      <c r="D52" s="12">
        <f t="shared" si="32"/>
        <v>7.6981514906452606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246.27766062954234</v>
      </c>
      <c r="H52" s="70">
        <f t="shared" si="1"/>
        <v>348.89973051287382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11.6</v>
      </c>
      <c r="N52" s="14">
        <f>IF('Données projet'!$A$36&gt;35,N51+M52-V51,IF(A52&lt;'Données projet'!$A$36,$K$205^A52,IF(A52='Données projet'!$A$36,'Données projet'!$B$36,N51+M52-V51)))</f>
        <v>274.40000000000015</v>
      </c>
      <c r="O52" s="14">
        <f>N52*VLOOKUP('Données projet'!$B$9,Paramètres!$A$1:$I$89,3,0)*VLOOKUP('Données projet'!$B$9,Paramètres!$A$1:$I$89,5,0)</f>
        <v>156.95680000000007</v>
      </c>
      <c r="P52" s="14">
        <f t="shared" si="33"/>
        <v>40.155347896746875</v>
      </c>
      <c r="Q52" s="22">
        <f t="shared" si="53"/>
        <v>343.30365758683416</v>
      </c>
      <c r="R52" s="62">
        <f t="shared" si="0"/>
        <v>636.63699092016748</v>
      </c>
      <c r="S52" s="62">
        <f ca="1">AVERAGE(OFFSET($R$3,0,0,'Données projet'!$E$9+1,1))-AVERAGE(OFFSET($H$3,0,0,'Données projet'!$E$9+1,1))</f>
        <v>183.98573418698061</v>
      </c>
      <c r="T52" s="62">
        <f t="shared" si="34"/>
        <v>158.42298722045609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17.399999999999999</v>
      </c>
      <c r="AI52" s="14">
        <f>IF('Données projet'!$A$62&gt;35,AI51+AH52-AQ51,IF(A52&lt;'Données projet'!$A$62,$AF$205^A52,IF(A52='Données projet'!$A$62,'Données projet'!$B$62,AI51+AH52-AQ51)))</f>
        <v>334.59999999999997</v>
      </c>
      <c r="AJ52" s="14">
        <f>AI52*VLOOKUP('Données projet'!$B$10,Paramètres!$A$1:$I$89,3,0)*VLOOKUP('Données projet'!$B$10,Paramètres!$A$1:$I$89,5,0)</f>
        <v>200.0908</v>
      </c>
      <c r="AK52" s="14">
        <f t="shared" si="35"/>
        <v>49.764122289960234</v>
      </c>
      <c r="AL52" s="22">
        <f t="shared" si="4"/>
        <v>435.16398965501406</v>
      </c>
      <c r="AM52" s="62">
        <f t="shared" si="5"/>
        <v>728.49732298834738</v>
      </c>
      <c r="AN52" s="62">
        <f ca="1">AVERAGE(OFFSET($AM$3,0,0,'Données projet'!$E$10+1,1))-AVERAGE(OFFSET($H$3,0,0,'Données projet'!$E$10+1,1))</f>
        <v>294.57089926309249</v>
      </c>
      <c r="AO52" s="62">
        <f t="shared" si="36"/>
        <v>221.0956883062172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8.1999999999999993</v>
      </c>
      <c r="BD52" s="13">
        <f>IF('Données projet'!$A$88&gt;35,BD51+BC52-BL51,IF(A52&lt;'Données projet'!$A$88,$BA$205^A52,IF(A52='Données projet'!$A$88,'Données projet'!$B$88,BD51+BC52-BL51)))</f>
        <v>190.8</v>
      </c>
      <c r="BE52" s="14">
        <f>BD52*VLOOKUP('Données projet'!$B$11,Paramètres!$A$1:$I$89,3,0)*VLOOKUP('Données projet'!$B$11,Paramètres!$A$1:$I$89,5,0)</f>
        <v>172.63584</v>
      </c>
      <c r="BF52" s="14">
        <f t="shared" si="37"/>
        <v>43.679834395222109</v>
      </c>
      <c r="BG52" s="22">
        <f t="shared" si="7"/>
        <v>376.74979957167847</v>
      </c>
      <c r="BH52" s="62">
        <f t="shared" si="8"/>
        <v>670.08313290501178</v>
      </c>
      <c r="BI52" s="62">
        <f ca="1">AVERAGE(OFFSET($BH$3,0,0,'Données projet'!$E$11+1,1))-AVERAGE(OFFSET($H$3,0,0,'Données projet'!$E$11+1,1))</f>
        <v>312.29553270286209</v>
      </c>
      <c r="BJ52" s="62">
        <f t="shared" si="38"/>
        <v>175.8423124483154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7.1199999999999992</v>
      </c>
      <c r="BY52" s="13">
        <f>IF('Données projet'!$A$114&gt;35,BY51+BX52-CG51,IF(A52&lt;'Données projet'!$A$114,$BV$205^A52,IF(A52='Données projet'!$A$114,'Données projet'!$B$114,BY51+BX52-CG51)))</f>
        <v>233.0800000000001</v>
      </c>
      <c r="BZ52" s="14">
        <f>BY52*VLOOKUP('Données projet'!$B$12,Paramètres!$A$1:$I$89,3,0)*VLOOKUP('Données projet'!$B$12,Paramètres!$A$1:$I$89,5,0)</f>
        <v>170.89425600000007</v>
      </c>
      <c r="CA52" s="14">
        <f t="shared" si="39"/>
        <v>43.29024598394782</v>
      </c>
      <c r="CB52" s="22">
        <f t="shared" si="10"/>
        <v>373.03800762204258</v>
      </c>
      <c r="CC52" s="62">
        <f t="shared" si="11"/>
        <v>666.3713409553759</v>
      </c>
      <c r="CD52" s="62">
        <f ca="1">AVERAGE(OFFSET($CC$3,0,0,'Données projet'!$E$12+1,1))-AVERAGE(OFFSET($H$3,0,0,'Données projet'!$E$12+1,1))</f>
        <v>217.14170654868826</v>
      </c>
      <c r="CE52" s="62">
        <f t="shared" si="40"/>
        <v>202.59844364241644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24.699999999999992</v>
      </c>
      <c r="D53" s="12">
        <f t="shared" si="32"/>
        <v>7.8368059426416599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251.16130903091798</v>
      </c>
      <c r="H53" s="70">
        <f t="shared" si="1"/>
        <v>350.00160368343415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286</v>
      </c>
      <c r="L53" s="13">
        <f>VLOOKUP(A53,'Données projet'!$A$35:$I$55,9,0)</f>
        <v>11.6</v>
      </c>
      <c r="M53" s="13">
        <f t="array" ref="M53">INDEX(L:L,MIN(IF(ISNUMBER(L53:L249),ROW(L53:L249),"")))</f>
        <v>11.6</v>
      </c>
      <c r="N53" s="14">
        <f>IF('Données projet'!$A$36&gt;35,N52+M53-V52,IF(A53&lt;'Données projet'!$A$36,$K$205^A53,IF(A53='Données projet'!$A$36,'Données projet'!$B$36,N52+M53-V52)))</f>
        <v>286.00000000000017</v>
      </c>
      <c r="O53" s="14">
        <f>N53*VLOOKUP('Données projet'!$B$9,Paramètres!$A$1:$I$89,3,0)*VLOOKUP('Données projet'!$B$9,Paramètres!$A$1:$I$89,5,0)</f>
        <v>163.5920000000001</v>
      </c>
      <c r="P53" s="14">
        <f t="shared" si="33"/>
        <v>41.651651192923794</v>
      </c>
      <c r="Q53" s="22">
        <f t="shared" si="53"/>
        <v>357.46602582767582</v>
      </c>
      <c r="R53" s="62">
        <f t="shared" si="0"/>
        <v>650.79935916100908</v>
      </c>
      <c r="S53" s="62">
        <f ca="1">AVERAGE(OFFSET($R$3,0,0,'Données projet'!$E$9+1,1))-AVERAGE(OFFSET($H$3,0,0,'Données projet'!$E$9+1,1))</f>
        <v>183.98573418698061</v>
      </c>
      <c r="T53" s="62">
        <f t="shared" si="34"/>
        <v>158.42298722045609</v>
      </c>
      <c r="U53" s="16">
        <f>IF(ISNA(VLOOKUP(A53,'Données projet'!$A$35:$I$55,3,0)),0,VLOOKUP(A53,'Données projet'!$A$35:$I$55,3,0))</f>
        <v>4</v>
      </c>
      <c r="V53" s="16">
        <f>IF(ISNA(VLOOKUP(A53,'Données projet'!$A$35:$I$55,4,0)),0,VLOOKUP(A53,'Données projet'!$A$35:$I$55,4,0))</f>
        <v>65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352</v>
      </c>
      <c r="AG53" s="13">
        <f>VLOOKUP(A53,'Données projet'!$A$61:$I$81,9,0)</f>
        <v>17.399999999999999</v>
      </c>
      <c r="AH53" s="13">
        <f t="array" ref="AH53">INDEX(AG:AG,MIN(IF(ISNUMBER(AG53:AG249),ROW(AG53:AG249),"")))</f>
        <v>17.399999999999999</v>
      </c>
      <c r="AI53" s="14">
        <f>IF('Données projet'!$A$62&gt;35,AI52+AH53-AQ52,IF(A53&lt;'Données projet'!$A$62,$AF$205^A53,IF(A53='Données projet'!$A$62,'Données projet'!$B$62,AI52+AH53-AQ52)))</f>
        <v>351.99999999999994</v>
      </c>
      <c r="AJ53" s="14">
        <f>AI53*VLOOKUP('Données projet'!$B$10,Paramètres!$A$1:$I$89,3,0)*VLOOKUP('Données projet'!$B$10,Paramètres!$A$1:$I$89,5,0)</f>
        <v>210.49599999999998</v>
      </c>
      <c r="AK53" s="14">
        <f t="shared" si="35"/>
        <v>52.043959291168463</v>
      </c>
      <c r="AL53" s="22">
        <f t="shared" si="4"/>
        <v>457.25709576545165</v>
      </c>
      <c r="AM53" s="62">
        <f t="shared" si="5"/>
        <v>750.59042909878497</v>
      </c>
      <c r="AN53" s="62">
        <f ca="1">AVERAGE(OFFSET($AM$3,0,0,'Données projet'!$E$10+1,1))-AVERAGE(OFFSET($H$3,0,0,'Données projet'!$E$10+1,1))</f>
        <v>294.57089926309249</v>
      </c>
      <c r="AO53" s="62">
        <f t="shared" si="36"/>
        <v>221.0956883062172</v>
      </c>
      <c r="AP53" s="16">
        <f>IF(ISNA(VLOOKUP(A53,'Données projet'!$A$61:$I$81,3,0)),0,VLOOKUP(A53,'Données projet'!$A$61:$I$81,3,0))</f>
        <v>6</v>
      </c>
      <c r="AQ53" s="16">
        <f>IF(ISNA(VLOOKUP(A53,'Données projet'!$A$61:$I$81,4,0)),0,VLOOKUP(A53,'Données projet'!$A$61:$I$81,4,0))</f>
        <v>53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199</v>
      </c>
      <c r="BB53" s="13">
        <f>VLOOKUP(A53,'Données projet'!$A$87:$I$107,9,0)</f>
        <v>8.1999999999999993</v>
      </c>
      <c r="BC53" s="13">
        <f t="array" ref="BC53">INDEX(BB:BB,MIN(IF(ISNUMBER(BB53:BB249),ROW(BB53:BB249),"")))</f>
        <v>8.1999999999999993</v>
      </c>
      <c r="BD53" s="13">
        <f>IF('Données projet'!$A$88&gt;35,BD52+BC53-BL52,IF(A53&lt;'Données projet'!$A$88,$BA$205^A53,IF(A53='Données projet'!$A$88,'Données projet'!$B$88,BD52+BC53-BL52)))</f>
        <v>199</v>
      </c>
      <c r="BE53" s="14">
        <f>BD53*VLOOKUP('Données projet'!$B$11,Paramètres!$A$1:$I$89,3,0)*VLOOKUP('Données projet'!$B$11,Paramètres!$A$1:$I$89,5,0)</f>
        <v>180.05519999999999</v>
      </c>
      <c r="BF53" s="14">
        <f t="shared" si="37"/>
        <v>45.334466930398364</v>
      </c>
      <c r="BG53" s="22">
        <f t="shared" si="7"/>
        <v>392.55366990377706</v>
      </c>
      <c r="BH53" s="62">
        <f t="shared" si="8"/>
        <v>685.88700323711032</v>
      </c>
      <c r="BI53" s="62">
        <f ca="1">AVERAGE(OFFSET($BH$3,0,0,'Données projet'!$E$11+1,1))-AVERAGE(OFFSET($H$3,0,0,'Données projet'!$E$11+1,1))</f>
        <v>312.29553270286209</v>
      </c>
      <c r="BJ53" s="62">
        <f t="shared" si="38"/>
        <v>175.8423124483154</v>
      </c>
      <c r="BK53" s="16">
        <f>IF(ISNA(VLOOKUP(A53,'Données projet'!$A$87:$I$107,3,0)),0,VLOOKUP(A53,'Données projet'!$A$87:$I$107,3,0))</f>
        <v>3</v>
      </c>
      <c r="BL53" s="16">
        <f>IF(ISNA(VLOOKUP(A53,'Données projet'!$A$87:$I$107,4,0)),0,VLOOKUP(A53,'Données projet'!$A$87:$I$107,4,0))</f>
        <v>42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240.20000000000002</v>
      </c>
      <c r="BW53" s="13">
        <f>VLOOKUP(A53,'Données projet'!$A$113:$I$133,9,0)</f>
        <v>7.1199999999999992</v>
      </c>
      <c r="BX53" s="13">
        <f t="array" ref="BX53">INDEX(BW:BW,MIN(IF(ISNUMBER(BW53:BW249),ROW(BW53:BW249),"")))</f>
        <v>7.1199999999999992</v>
      </c>
      <c r="BY53" s="13">
        <f>IF('Données projet'!$A$114&gt;35,BY52+BX53-CG52,IF(A53&lt;'Données projet'!$A$114,$BV$205^A53,IF(A53='Données projet'!$A$114,'Données projet'!$B$114,BY52+BX53-CG52)))</f>
        <v>240.2000000000001</v>
      </c>
      <c r="BZ53" s="14">
        <f>BY53*VLOOKUP('Données projet'!$B$12,Paramètres!$A$1:$I$89,3,0)*VLOOKUP('Données projet'!$B$12,Paramètres!$A$1:$I$89,5,0)</f>
        <v>176.11464000000009</v>
      </c>
      <c r="CA53" s="14">
        <f t="shared" si="39"/>
        <v>44.456670383042024</v>
      </c>
      <c r="CB53" s="22">
        <f t="shared" si="10"/>
        <v>384.16169891713162</v>
      </c>
      <c r="CC53" s="62">
        <f t="shared" si="11"/>
        <v>677.49503225046487</v>
      </c>
      <c r="CD53" s="62">
        <f ca="1">AVERAGE(OFFSET($CC$3,0,0,'Données projet'!$E$12+1,1))-AVERAGE(OFFSET($H$3,0,0,'Données projet'!$E$12+1,1))</f>
        <v>217.14170654868826</v>
      </c>
      <c r="CE53" s="62">
        <f t="shared" si="40"/>
        <v>202.59844364241644</v>
      </c>
      <c r="CF53" s="16">
        <f>IF(ISNA(VLOOKUP(A53,'Données projet'!$A$113:$I$133,3,0)),0,VLOOKUP(A53,'Données projet'!$A$113:$I$133,3,0))</f>
        <v>4</v>
      </c>
      <c r="CG53" s="16">
        <f>IF(ISNA(VLOOKUP(A53,'Données projet'!$A$113:$I$133,4,0)),0,VLOOKUP(A53,'Données projet'!$A$113:$I$133,4,0))</f>
        <v>38.299999999999997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25.193999999999992</v>
      </c>
      <c r="D54" s="12">
        <f t="shared" si="32"/>
        <v>7.9751379597846981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256.04246846149584</v>
      </c>
      <c r="H54" s="70">
        <f t="shared" si="1"/>
        <v>351.10291527995832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10.8</v>
      </c>
      <c r="N54" s="14">
        <f>IF('Données projet'!$A$36&gt;35,N53+M54-V53,IF(A54&lt;'Données projet'!$A$36,$K$205^A54,IF(A54='Données projet'!$A$36,'Données projet'!$B$36,N53+M54-V53)))</f>
        <v>231.80000000000018</v>
      </c>
      <c r="O54" s="14">
        <f>N54*VLOOKUP('Données projet'!$B$9,Paramètres!$A$1:$I$89,3,0)*VLOOKUP('Données projet'!$B$9,Paramètres!$A$1:$I$89,5,0)</f>
        <v>132.5896000000001</v>
      </c>
      <c r="P54" s="14">
        <f t="shared" si="33"/>
        <v>34.594051219951538</v>
      </c>
      <c r="Q54" s="22">
        <f t="shared" si="53"/>
        <v>291.17819254141574</v>
      </c>
      <c r="R54" s="62">
        <f t="shared" si="0"/>
        <v>584.51152587474905</v>
      </c>
      <c r="S54" s="62">
        <f ca="1">AVERAGE(OFFSET($R$3,0,0,'Données projet'!$E$9+1,1))-AVERAGE(OFFSET($H$3,0,0,'Données projet'!$E$9+1,1))</f>
        <v>183.98573418698061</v>
      </c>
      <c r="T54" s="62">
        <f t="shared" si="34"/>
        <v>158.42298722045609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17.625</v>
      </c>
      <c r="AI54" s="14">
        <f>IF('Données projet'!$A$62&gt;35,AI53+AH54-AQ53,IF(A54&lt;'Données projet'!$A$62,$AF$205^A54,IF(A54='Données projet'!$A$62,'Données projet'!$B$62,AI53+AH54-AQ53)))</f>
        <v>316.62499999999994</v>
      </c>
      <c r="AJ54" s="14">
        <f>AI54*VLOOKUP('Données projet'!$B$10,Paramètres!$A$1:$I$89,3,0)*VLOOKUP('Données projet'!$B$10,Paramètres!$A$1:$I$89,5,0)</f>
        <v>189.34174999999999</v>
      </c>
      <c r="AK54" s="14">
        <f t="shared" si="35"/>
        <v>47.394393740797923</v>
      </c>
      <c r="AL54" s="22">
        <f t="shared" si="4"/>
        <v>412.31545034855634</v>
      </c>
      <c r="AM54" s="62">
        <f t="shared" si="5"/>
        <v>705.64878368188965</v>
      </c>
      <c r="AN54" s="62">
        <f ca="1">AVERAGE(OFFSET($AM$3,0,0,'Données projet'!$E$10+1,1))-AVERAGE(OFFSET($H$3,0,0,'Données projet'!$E$10+1,1))</f>
        <v>294.57089926309249</v>
      </c>
      <c r="AO54" s="62">
        <f t="shared" si="36"/>
        <v>221.0956883062172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8</v>
      </c>
      <c r="BD54" s="13">
        <f>IF('Données projet'!$A$88&gt;35,BD53+BC54-BL53,IF(A54&lt;'Données projet'!$A$88,$BA$205^A54,IF(A54='Données projet'!$A$88,'Données projet'!$B$88,BD53+BC54-BL53)))</f>
        <v>165</v>
      </c>
      <c r="BE54" s="14">
        <f>BD54*VLOOKUP('Données projet'!$B$11,Paramètres!$A$1:$I$89,3,0)*VLOOKUP('Données projet'!$B$11,Paramètres!$A$1:$I$89,5,0)</f>
        <v>149.29199999999997</v>
      </c>
      <c r="BF54" s="14">
        <f t="shared" si="37"/>
        <v>38.417645803815411</v>
      </c>
      <c r="BG54" s="22">
        <f t="shared" si="7"/>
        <v>326.9276331083118</v>
      </c>
      <c r="BH54" s="62">
        <f t="shared" si="8"/>
        <v>620.26096644164511</v>
      </c>
      <c r="BI54" s="62">
        <f ca="1">AVERAGE(OFFSET($BH$3,0,0,'Données projet'!$E$11+1,1))-AVERAGE(OFFSET($H$3,0,0,'Données projet'!$E$11+1,1))</f>
        <v>312.29553270286209</v>
      </c>
      <c r="BJ54" s="62">
        <f t="shared" si="38"/>
        <v>175.8423124483154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6.119999999999993</v>
      </c>
      <c r="BY54" s="13">
        <f>IF('Données projet'!$A$114&gt;35,BY53+BX54-CG53,IF(A54&lt;'Données projet'!$A$114,$BV$205^A54,IF(A54='Données projet'!$A$114,'Données projet'!$B$114,BY53+BX54-CG53)))</f>
        <v>208.0200000000001</v>
      </c>
      <c r="BZ54" s="14">
        <f>BY54*VLOOKUP('Données projet'!$B$12,Paramètres!$A$1:$I$89,3,0)*VLOOKUP('Données projet'!$B$12,Paramètres!$A$1:$I$89,5,0)</f>
        <v>152.52026400000005</v>
      </c>
      <c r="CA54" s="14">
        <f t="shared" si="39"/>
        <v>39.150768069454294</v>
      </c>
      <c r="CB54" s="22">
        <f t="shared" si="10"/>
        <v>333.82704752096635</v>
      </c>
      <c r="CC54" s="62">
        <f t="shared" si="11"/>
        <v>627.16038085429966</v>
      </c>
      <c r="CD54" s="62">
        <f ca="1">AVERAGE(OFFSET($CC$3,0,0,'Données projet'!$E$12+1,1))-AVERAGE(OFFSET($H$3,0,0,'Données projet'!$E$12+1,1))</f>
        <v>217.14170654868826</v>
      </c>
      <c r="CE54" s="62">
        <f t="shared" si="40"/>
        <v>202.59844364241644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25.687999999999992</v>
      </c>
      <c r="D55" s="12">
        <f t="shared" si="32"/>
        <v>8.1131545930997699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260.92119335024375</v>
      </c>
      <c r="H55" s="70">
        <f t="shared" si="1"/>
        <v>352.20367758298204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10.8</v>
      </c>
      <c r="N55" s="14">
        <f>IF('Données projet'!$A$36&gt;35,N54+M55-V54,IF(A55&lt;'Données projet'!$A$36,$K$205^A55,IF(A55='Données projet'!$A$36,'Données projet'!$B$36,N54+M55-V54)))</f>
        <v>242.60000000000019</v>
      </c>
      <c r="O55" s="14">
        <f>N55*VLOOKUP('Données projet'!$B$9,Paramètres!$A$1:$I$89,3,0)*VLOOKUP('Données projet'!$B$9,Paramètres!$A$1:$I$89,5,0)</f>
        <v>138.76720000000012</v>
      </c>
      <c r="P55" s="14">
        <f t="shared" si="33"/>
        <v>36.014443113344079</v>
      </c>
      <c r="Q55" s="22">
        <f t="shared" si="53"/>
        <v>304.41136175574115</v>
      </c>
      <c r="R55" s="62">
        <f t="shared" si="0"/>
        <v>597.74469508907441</v>
      </c>
      <c r="S55" s="62">
        <f ca="1">AVERAGE(OFFSET($R$3,0,0,'Données projet'!$E$9+1,1))-AVERAGE(OFFSET($H$3,0,0,'Données projet'!$E$9+1,1))</f>
        <v>183.98573418698061</v>
      </c>
      <c r="T55" s="62">
        <f t="shared" si="34"/>
        <v>158.42298722045609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17.625</v>
      </c>
      <c r="AI55" s="14">
        <f>IF('Données projet'!$A$62&gt;35,AI54+AH55-AQ54,IF(A55&lt;'Données projet'!$A$62,$AF$205^A55,IF(A55='Données projet'!$A$62,'Données projet'!$B$62,AI54+AH55-AQ54)))</f>
        <v>334.24999999999994</v>
      </c>
      <c r="AJ55" s="14">
        <f>AI55*VLOOKUP('Données projet'!$B$10,Paramètres!$A$1:$I$89,3,0)*VLOOKUP('Données projet'!$B$10,Paramètres!$A$1:$I$89,5,0)</f>
        <v>199.88149999999996</v>
      </c>
      <c r="AK55" s="14">
        <f t="shared" si="35"/>
        <v>49.71812411377941</v>
      </c>
      <c r="AL55" s="22">
        <f t="shared" si="4"/>
        <v>434.71934533149914</v>
      </c>
      <c r="AM55" s="62">
        <f t="shared" si="5"/>
        <v>728.05267866483246</v>
      </c>
      <c r="AN55" s="62">
        <f ca="1">AVERAGE(OFFSET($AM$3,0,0,'Données projet'!$E$10+1,1))-AVERAGE(OFFSET($H$3,0,0,'Données projet'!$E$10+1,1))</f>
        <v>294.57089926309249</v>
      </c>
      <c r="AO55" s="62">
        <f t="shared" si="36"/>
        <v>221.0956883062172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8</v>
      </c>
      <c r="BD55" s="13">
        <f>IF('Données projet'!$A$88&gt;35,BD54+BC55-BL54,IF(A55&lt;'Données projet'!$A$88,$BA$205^A55,IF(A55='Données projet'!$A$88,'Données projet'!$B$88,BD54+BC55-BL54)))</f>
        <v>173</v>
      </c>
      <c r="BE55" s="14">
        <f>BD55*VLOOKUP('Données projet'!$B$11,Paramètres!$A$1:$I$89,3,0)*VLOOKUP('Données projet'!$B$11,Paramètres!$A$1:$I$89,5,0)</f>
        <v>156.53039999999999</v>
      </c>
      <c r="BF55" s="14">
        <f t="shared" si="37"/>
        <v>40.058941713182037</v>
      </c>
      <c r="BG55" s="22">
        <f t="shared" si="7"/>
        <v>342.393103483792</v>
      </c>
      <c r="BH55" s="62">
        <f t="shared" si="8"/>
        <v>635.72643681712532</v>
      </c>
      <c r="BI55" s="62">
        <f ca="1">AVERAGE(OFFSET($BH$3,0,0,'Données projet'!$E$11+1,1))-AVERAGE(OFFSET($H$3,0,0,'Données projet'!$E$11+1,1))</f>
        <v>312.29553270286209</v>
      </c>
      <c r="BJ55" s="62">
        <f t="shared" si="38"/>
        <v>175.8423124483154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6.119999999999993</v>
      </c>
      <c r="BY55" s="13">
        <f>IF('Données projet'!$A$114&gt;35,BY54+BX55-CG54,IF(A55&lt;'Données projet'!$A$114,$BV$205^A55,IF(A55='Données projet'!$A$114,'Données projet'!$B$114,BY54+BX55-CG54)))</f>
        <v>214.1400000000001</v>
      </c>
      <c r="BZ55" s="14">
        <f>BY55*VLOOKUP('Données projet'!$B$12,Paramètres!$A$1:$I$89,3,0)*VLOOKUP('Données projet'!$B$12,Paramètres!$A$1:$I$89,5,0)</f>
        <v>157.00744800000007</v>
      </c>
      <c r="CA55" s="14">
        <f t="shared" si="39"/>
        <v>40.166797043165985</v>
      </c>
      <c r="CB55" s="22">
        <f t="shared" si="10"/>
        <v>343.41181011684756</v>
      </c>
      <c r="CC55" s="62">
        <f t="shared" si="11"/>
        <v>636.74514345018088</v>
      </c>
      <c r="CD55" s="62">
        <f ca="1">AVERAGE(OFFSET($CC$3,0,0,'Données projet'!$E$12+1,1))-AVERAGE(OFFSET($H$3,0,0,'Données projet'!$E$12+1,1))</f>
        <v>217.14170654868826</v>
      </c>
      <c r="CE55" s="62">
        <f t="shared" si="40"/>
        <v>202.59844364241644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26.181999999999992</v>
      </c>
      <c r="D56" s="12">
        <f t="shared" si="32"/>
        <v>8.250862606903512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265.7975359129394</v>
      </c>
      <c r="H56" s="70">
        <f t="shared" si="1"/>
        <v>353.30390237369022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10.8</v>
      </c>
      <c r="N56" s="14">
        <f>IF('Données projet'!$A$36&gt;35,N55+M56-V55,IF(A56&lt;'Données projet'!$A$36,$K$205^A56,IF(A56='Données projet'!$A$36,'Données projet'!$B$36,N55+M56-V55)))</f>
        <v>253.4000000000002</v>
      </c>
      <c r="O56" s="14">
        <f>N56*VLOOKUP('Données projet'!$B$9,Paramètres!$A$1:$I$89,3,0)*VLOOKUP('Données projet'!$B$9,Paramètres!$A$1:$I$89,5,0)</f>
        <v>144.94480000000013</v>
      </c>
      <c r="P56" s="14">
        <f t="shared" si="33"/>
        <v>37.427491205949813</v>
      </c>
      <c r="Q56" s="22">
        <f t="shared" si="53"/>
        <v>317.63174051702947</v>
      </c>
      <c r="R56" s="62">
        <f t="shared" si="0"/>
        <v>610.96507385036284</v>
      </c>
      <c r="S56" s="62">
        <f ca="1">AVERAGE(OFFSET($R$3,0,0,'Données projet'!$E$9+1,1))-AVERAGE(OFFSET($H$3,0,0,'Données projet'!$E$9+1,1))</f>
        <v>183.98573418698061</v>
      </c>
      <c r="T56" s="62">
        <f t="shared" si="34"/>
        <v>158.42298722045609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17.625</v>
      </c>
      <c r="AI56" s="14">
        <f>IF('Données projet'!$A$62&gt;35,AI55+AH56-AQ55,IF(A56&lt;'Données projet'!$A$62,$AF$205^A56,IF(A56='Données projet'!$A$62,'Données projet'!$B$62,AI55+AH56-AQ55)))</f>
        <v>351.87499999999994</v>
      </c>
      <c r="AJ56" s="14">
        <f>AI56*VLOOKUP('Données projet'!$B$10,Paramètres!$A$1:$I$89,3,0)*VLOOKUP('Données projet'!$B$10,Paramètres!$A$1:$I$89,5,0)</f>
        <v>210.42124999999999</v>
      </c>
      <c r="AK56" s="14">
        <f t="shared" si="35"/>
        <v>52.027628682866947</v>
      </c>
      <c r="AL56" s="22">
        <f t="shared" si="4"/>
        <v>457.09846370599325</v>
      </c>
      <c r="AM56" s="62">
        <f t="shared" si="5"/>
        <v>750.43179703932651</v>
      </c>
      <c r="AN56" s="62">
        <f ca="1">AVERAGE(OFFSET($AM$3,0,0,'Données projet'!$E$10+1,1))-AVERAGE(OFFSET($H$3,0,0,'Données projet'!$E$10+1,1))</f>
        <v>294.57089926309249</v>
      </c>
      <c r="AO56" s="62">
        <f t="shared" si="36"/>
        <v>221.0956883062172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8</v>
      </c>
      <c r="BD56" s="13">
        <f>IF('Données projet'!$A$88&gt;35,BD55+BC56-BL55,IF(A56&lt;'Données projet'!$A$88,$BA$205^A56,IF(A56='Données projet'!$A$88,'Données projet'!$B$88,BD55+BC56-BL55)))</f>
        <v>181</v>
      </c>
      <c r="BE56" s="14">
        <f>BD56*VLOOKUP('Données projet'!$B$11,Paramètres!$A$1:$I$89,3,0)*VLOOKUP('Données projet'!$B$11,Paramètres!$A$1:$I$89,5,0)</f>
        <v>163.7688</v>
      </c>
      <c r="BF56" s="14">
        <f t="shared" si="37"/>
        <v>41.691423503509803</v>
      </c>
      <c r="BG56" s="22">
        <f t="shared" si="7"/>
        <v>357.84322260194625</v>
      </c>
      <c r="BH56" s="62">
        <f t="shared" si="8"/>
        <v>651.17655593527957</v>
      </c>
      <c r="BI56" s="62">
        <f ca="1">AVERAGE(OFFSET($BH$3,0,0,'Données projet'!$E$11+1,1))-AVERAGE(OFFSET($H$3,0,0,'Données projet'!$E$11+1,1))</f>
        <v>312.29553270286209</v>
      </c>
      <c r="BJ56" s="62">
        <f t="shared" si="38"/>
        <v>175.8423124483154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6.119999999999993</v>
      </c>
      <c r="BY56" s="13">
        <f>IF('Données projet'!$A$114&gt;35,BY55+BX56-CG55,IF(A56&lt;'Données projet'!$A$114,$BV$205^A56,IF(A56='Données projet'!$A$114,'Données projet'!$B$114,BY55+BX56-CG55)))</f>
        <v>220.2600000000001</v>
      </c>
      <c r="BZ56" s="14">
        <f>BY56*VLOOKUP('Données projet'!$B$12,Paramètres!$A$1:$I$89,3,0)*VLOOKUP('Données projet'!$B$12,Paramètres!$A$1:$I$89,5,0)</f>
        <v>161.49463200000008</v>
      </c>
      <c r="CA56" s="14">
        <f t="shared" si="39"/>
        <v>41.179451178341104</v>
      </c>
      <c r="CB56" s="22">
        <f t="shared" si="10"/>
        <v>352.99069486894427</v>
      </c>
      <c r="CC56" s="62">
        <f t="shared" si="11"/>
        <v>646.32402820227753</v>
      </c>
      <c r="CD56" s="62">
        <f ca="1">AVERAGE(OFFSET($CC$3,0,0,'Données projet'!$E$12+1,1))-AVERAGE(OFFSET($H$3,0,0,'Données projet'!$E$12+1,1))</f>
        <v>217.14170654868826</v>
      </c>
      <c r="CE56" s="62">
        <f t="shared" si="40"/>
        <v>202.59844364241644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57" s="12">
        <f t="shared" si="32"/>
        <v>8.388268495647786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270.67154628219339</v>
      </c>
      <c r="H57" s="70">
        <f t="shared" si="1"/>
        <v>354.40360096325321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10.8</v>
      </c>
      <c r="N57" s="14">
        <f>IF('Données projet'!$A$36&gt;35,N56+M57-V56,IF(A57&lt;'Données projet'!$A$36,$K$205^A57,IF(A57='Données projet'!$A$36,'Données projet'!$B$36,N56+M57-V56)))</f>
        <v>264.20000000000022</v>
      </c>
      <c r="O57" s="14">
        <f>N57*VLOOKUP('Données projet'!$B$9,Paramètres!$A$1:$I$89,3,0)*VLOOKUP('Données projet'!$B$9,Paramètres!$A$1:$I$89,5,0)</f>
        <v>151.12240000000011</v>
      </c>
      <c r="P57" s="14">
        <f t="shared" si="33"/>
        <v>38.833544276032519</v>
      </c>
      <c r="Q57" s="22">
        <f t="shared" si="53"/>
        <v>330.83993628075677</v>
      </c>
      <c r="R57" s="62">
        <f t="shared" si="0"/>
        <v>624.17326961409003</v>
      </c>
      <c r="S57" s="62">
        <f ca="1">AVERAGE(OFFSET($R$3,0,0,'Données projet'!$E$9+1,1))-AVERAGE(OFFSET($H$3,0,0,'Données projet'!$E$9+1,1))</f>
        <v>183.98573418698061</v>
      </c>
      <c r="T57" s="62">
        <f t="shared" si="34"/>
        <v>158.42298722045609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17.625</v>
      </c>
      <c r="AI57" s="14">
        <f>IF('Données projet'!$A$62&gt;35,AI56+AH57-AQ56,IF(A57&lt;'Données projet'!$A$62,$AF$205^A57,IF(A57='Données projet'!$A$62,'Données projet'!$B$62,AI56+AH57-AQ56)))</f>
        <v>369.49999999999994</v>
      </c>
      <c r="AJ57" s="14">
        <f>AI57*VLOOKUP('Données projet'!$B$10,Paramètres!$A$1:$I$89,3,0)*VLOOKUP('Données projet'!$B$10,Paramètres!$A$1:$I$89,5,0)</f>
        <v>220.96099999999996</v>
      </c>
      <c r="AK57" s="14">
        <f t="shared" si="35"/>
        <v>54.323701308314696</v>
      </c>
      <c r="AL57" s="22">
        <f t="shared" si="4"/>
        <v>479.45418811198141</v>
      </c>
      <c r="AM57" s="62">
        <f t="shared" si="5"/>
        <v>772.78752144531472</v>
      </c>
      <c r="AN57" s="62">
        <f ca="1">AVERAGE(OFFSET($AM$3,0,0,'Données projet'!$E$10+1,1))-AVERAGE(OFFSET($H$3,0,0,'Données projet'!$E$10+1,1))</f>
        <v>294.57089926309249</v>
      </c>
      <c r="AO57" s="62">
        <f t="shared" si="36"/>
        <v>221.0956883062172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8</v>
      </c>
      <c r="BD57" s="13">
        <f>IF('Données projet'!$A$88&gt;35,BD56+BC57-BL56,IF(A57&lt;'Données projet'!$A$88,$BA$205^A57,IF(A57='Données projet'!$A$88,'Données projet'!$B$88,BD56+BC57-BL56)))</f>
        <v>189</v>
      </c>
      <c r="BE57" s="14">
        <f>BD57*VLOOKUP('Données projet'!$B$11,Paramètres!$A$1:$I$89,3,0)*VLOOKUP('Données projet'!$B$11,Paramètres!$A$1:$I$89,5,0)</f>
        <v>171.00719999999998</v>
      </c>
      <c r="BF57" s="14">
        <f t="shared" si="37"/>
        <v>43.315525267338089</v>
      </c>
      <c r="BG57" s="22">
        <f t="shared" si="7"/>
        <v>373.27874650728046</v>
      </c>
      <c r="BH57" s="62">
        <f t="shared" si="8"/>
        <v>666.61207984061377</v>
      </c>
      <c r="BI57" s="62">
        <f ca="1">AVERAGE(OFFSET($BH$3,0,0,'Données projet'!$E$11+1,1))-AVERAGE(OFFSET($H$3,0,0,'Données projet'!$E$11+1,1))</f>
        <v>312.29553270286209</v>
      </c>
      <c r="BJ57" s="62">
        <f t="shared" si="38"/>
        <v>175.8423124483154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6.119999999999993</v>
      </c>
      <c r="BY57" s="13">
        <f>IF('Données projet'!$A$114&gt;35,BY56+BX57-CG56,IF(A57&lt;'Données projet'!$A$114,$BV$205^A57,IF(A57='Données projet'!$A$114,'Données projet'!$B$114,BY56+BX57-CG56)))</f>
        <v>226.38000000000011</v>
      </c>
      <c r="BZ57" s="14">
        <f>BY57*VLOOKUP('Données projet'!$B$12,Paramètres!$A$1:$I$89,3,0)*VLOOKUP('Données projet'!$B$12,Paramètres!$A$1:$I$89,5,0)</f>
        <v>165.98181600000007</v>
      </c>
      <c r="CA57" s="14">
        <f t="shared" si="39"/>
        <v>42.188835019125143</v>
      </c>
      <c r="CB57" s="22">
        <f t="shared" si="10"/>
        <v>362.56388385830974</v>
      </c>
      <c r="CC57" s="62">
        <f t="shared" si="11"/>
        <v>655.89721719164299</v>
      </c>
      <c r="CD57" s="62">
        <f ca="1">AVERAGE(OFFSET($CC$3,0,0,'Données projet'!$E$12+1,1))-AVERAGE(OFFSET($H$3,0,0,'Données projet'!$E$12+1,1))</f>
        <v>217.14170654868826</v>
      </c>
      <c r="CE57" s="62">
        <f t="shared" si="40"/>
        <v>202.59844364241644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27.169999999999991</v>
      </c>
      <c r="D58" s="12">
        <f t="shared" si="32"/>
        <v>8.5253784994806487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275.54327262756988</v>
      </c>
      <c r="H58" s="70">
        <f t="shared" si="1"/>
        <v>355.50278421992874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10.8</v>
      </c>
      <c r="N58" s="14">
        <f>IF('Données projet'!$A$36&gt;35,N57+M58-V57,IF(A58&lt;'Données projet'!$A$36,$K$205^A58,IF(A58='Données projet'!$A$36,'Données projet'!$B$36,N57+M58-V57)))</f>
        <v>275.00000000000023</v>
      </c>
      <c r="O58" s="14">
        <f>N58*VLOOKUP('Données projet'!$B$9,Paramètres!$A$1:$I$89,3,0)*VLOOKUP('Données projet'!$B$9,Paramètres!$A$1:$I$89,5,0)</f>
        <v>157.30000000000013</v>
      </c>
      <c r="P58" s="14">
        <f t="shared" si="33"/>
        <v>40.232920973447101</v>
      </c>
      <c r="Q58" s="22">
        <f t="shared" si="53"/>
        <v>344.03650402875388</v>
      </c>
      <c r="R58" s="62">
        <f t="shared" si="0"/>
        <v>637.3698373620872</v>
      </c>
      <c r="S58" s="62">
        <f ca="1">AVERAGE(OFFSET($R$3,0,0,'Données projet'!$E$9+1,1))-AVERAGE(OFFSET($H$3,0,0,'Données projet'!$E$9+1,1))</f>
        <v>183.98573418698061</v>
      </c>
      <c r="T58" s="62">
        <f t="shared" si="34"/>
        <v>158.42298722045609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17.625</v>
      </c>
      <c r="AI58" s="14">
        <f>IF('Données projet'!$A$62&gt;35,AI57+AH58-AQ57,IF(A58&lt;'Données projet'!$A$62,$AF$205^A58,IF(A58='Données projet'!$A$62,'Données projet'!$B$62,AI57+AH58-AQ57)))</f>
        <v>387.12499999999994</v>
      </c>
      <c r="AJ58" s="14">
        <f>AI58*VLOOKUP('Données projet'!$B$10,Paramètres!$A$1:$I$89,3,0)*VLOOKUP('Données projet'!$B$10,Paramètres!$A$1:$I$89,5,0)</f>
        <v>231.50074999999998</v>
      </c>
      <c r="AK58" s="14">
        <f t="shared" si="35"/>
        <v>56.607055837426749</v>
      </c>
      <c r="AL58" s="22">
        <f t="shared" si="4"/>
        <v>501.78776183351812</v>
      </c>
      <c r="AM58" s="62">
        <f t="shared" si="5"/>
        <v>795.12109516685143</v>
      </c>
      <c r="AN58" s="62">
        <f ca="1">AVERAGE(OFFSET($AM$3,0,0,'Données projet'!$E$10+1,1))-AVERAGE(OFFSET($H$3,0,0,'Données projet'!$E$10+1,1))</f>
        <v>294.57089926309249</v>
      </c>
      <c r="AO58" s="62">
        <f t="shared" si="36"/>
        <v>221.0956883062172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197</v>
      </c>
      <c r="BB58" s="13">
        <f>VLOOKUP(A58,'Données projet'!$A$87:$I$107,9,0)</f>
        <v>8</v>
      </c>
      <c r="BC58" s="13">
        <f t="array" ref="BC58">INDEX(BB:BB,MIN(IF(ISNUMBER(BB58:BB254),ROW(BB58:BB254),"")))</f>
        <v>8</v>
      </c>
      <c r="BD58" s="13">
        <f>IF('Données projet'!$A$88&gt;35,BD57+BC58-BL57,IF(A58&lt;'Données projet'!$A$88,$BA$205^A58,IF(A58='Données projet'!$A$88,'Données projet'!$B$88,BD57+BC58-BL57)))</f>
        <v>197</v>
      </c>
      <c r="BE58" s="14">
        <f>BD58*VLOOKUP('Données projet'!$B$11,Paramètres!$A$1:$I$89,3,0)*VLOOKUP('Données projet'!$B$11,Paramètres!$A$1:$I$89,5,0)</f>
        <v>178.2456</v>
      </c>
      <c r="BF58" s="14">
        <f t="shared" si="37"/>
        <v>44.931642269910427</v>
      </c>
      <c r="BG58" s="22">
        <f t="shared" si="7"/>
        <v>388.70036362009404</v>
      </c>
      <c r="BH58" s="62">
        <f t="shared" si="8"/>
        <v>682.03369695342735</v>
      </c>
      <c r="BI58" s="62">
        <f ca="1">AVERAGE(OFFSET($BH$3,0,0,'Données projet'!$E$11+1,1))-AVERAGE(OFFSET($H$3,0,0,'Données projet'!$E$11+1,1))</f>
        <v>312.29553270286209</v>
      </c>
      <c r="BJ58" s="62">
        <f t="shared" si="38"/>
        <v>175.8423124483154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232.5</v>
      </c>
      <c r="BW58" s="13">
        <f>VLOOKUP(A58,'Données projet'!$A$113:$I$133,9,0)</f>
        <v>6.119999999999993</v>
      </c>
      <c r="BX58" s="13">
        <f t="array" ref="BX58">INDEX(BW:BW,MIN(IF(ISNUMBER(BW58:BW254),ROW(BW58:BW254),"")))</f>
        <v>6.119999999999993</v>
      </c>
      <c r="BY58" s="13">
        <f>IF('Données projet'!$A$114&gt;35,BY57+BX58-CG57,IF(A58&lt;'Données projet'!$A$114,$BV$205^A58,IF(A58='Données projet'!$A$114,'Données projet'!$B$114,BY57+BX58-CG57)))</f>
        <v>232.50000000000011</v>
      </c>
      <c r="BZ58" s="14">
        <f>BY58*VLOOKUP('Données projet'!$B$12,Paramètres!$A$1:$I$89,3,0)*VLOOKUP('Données projet'!$B$12,Paramètres!$A$1:$I$89,5,0)</f>
        <v>170.46900000000008</v>
      </c>
      <c r="CA58" s="14">
        <f t="shared" si="39"/>
        <v>43.195047135356397</v>
      </c>
      <c r="CB58" s="22">
        <f t="shared" si="10"/>
        <v>372.13154876074583</v>
      </c>
      <c r="CC58" s="62">
        <f t="shared" si="11"/>
        <v>665.46488209407914</v>
      </c>
      <c r="CD58" s="62">
        <f ca="1">AVERAGE(OFFSET($CC$3,0,0,'Données projet'!$E$12+1,1))-AVERAGE(OFFSET($H$3,0,0,'Données projet'!$E$12+1,1))</f>
        <v>217.14170654868826</v>
      </c>
      <c r="CE58" s="62">
        <f t="shared" si="40"/>
        <v>202.59844364241644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27.663999999999991</v>
      </c>
      <c r="D59" s="12">
        <f t="shared" si="32"/>
        <v>8.6621986186436022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280.4127612667225</v>
      </c>
      <c r="H59" s="70">
        <f t="shared" si="1"/>
        <v>356.60146259413756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10.8</v>
      </c>
      <c r="N59" s="14">
        <f>IF('Données projet'!$A$36&gt;35,N58+M59-V58,IF(A59&lt;'Données projet'!$A$36,$K$205^A59,IF(A59='Données projet'!$A$36,'Données projet'!$B$36,N58+M59-V58)))</f>
        <v>285.80000000000024</v>
      </c>
      <c r="O59" s="14">
        <f>N59*VLOOKUP('Données projet'!$B$9,Paramètres!$A$1:$I$89,3,0)*VLOOKUP('Données projet'!$B$9,Paramètres!$A$1:$I$89,5,0)</f>
        <v>163.47760000000014</v>
      </c>
      <c r="P59" s="14">
        <f t="shared" si="33"/>
        <v>41.625913502534537</v>
      </c>
      <c r="Q59" s="22">
        <f t="shared" si="53"/>
        <v>357.22195268358126</v>
      </c>
      <c r="R59" s="62">
        <f t="shared" si="0"/>
        <v>650.55528601691458</v>
      </c>
      <c r="S59" s="62">
        <f ca="1">AVERAGE(OFFSET($R$3,0,0,'Données projet'!$E$9+1,1))-AVERAGE(OFFSET($H$3,0,0,'Données projet'!$E$9+1,1))</f>
        <v>183.98573418698061</v>
      </c>
      <c r="T59" s="62">
        <f t="shared" si="34"/>
        <v>158.42298722045609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17.625</v>
      </c>
      <c r="AI59" s="14">
        <f>IF('Données projet'!$A$62&gt;35,AI58+AH59-AQ58,IF(A59&lt;'Données projet'!$A$62,$AF$205^A59,IF(A59='Données projet'!$A$62,'Données projet'!$B$62,AI58+AH59-AQ58)))</f>
        <v>404.74999999999994</v>
      </c>
      <c r="AJ59" s="14">
        <f>AI59*VLOOKUP('Données projet'!$B$10,Paramètres!$A$1:$I$89,3,0)*VLOOKUP('Données projet'!$B$10,Paramètres!$A$1:$I$89,5,0)</f>
        <v>242.04049999999998</v>
      </c>
      <c r="AK59" s="14">
        <f t="shared" si="35"/>
        <v>58.878337443371535</v>
      </c>
      <c r="AL59" s="22">
        <f t="shared" si="4"/>
        <v>524.10030854720526</v>
      </c>
      <c r="AM59" s="62">
        <f t="shared" si="5"/>
        <v>817.43364188053852</v>
      </c>
      <c r="AN59" s="62">
        <f ca="1">AVERAGE(OFFSET($AM$3,0,0,'Données projet'!$E$10+1,1))-AVERAGE(OFFSET($H$3,0,0,'Données projet'!$E$10+1,1))</f>
        <v>294.57089926309249</v>
      </c>
      <c r="AO59" s="62">
        <f t="shared" si="36"/>
        <v>221.0956883062172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7.6</v>
      </c>
      <c r="BD59" s="13">
        <f>IF('Données projet'!$A$88&gt;35,BD58+BC59-BL58,IF(A59&lt;'Données projet'!$A$88,$BA$205^A59,IF(A59='Données projet'!$A$88,'Données projet'!$B$88,BD58+BC59-BL58)))</f>
        <v>204.6</v>
      </c>
      <c r="BE59" s="14">
        <f>BD59*VLOOKUP('Données projet'!$B$11,Paramètres!$A$1:$I$89,3,0)*VLOOKUP('Données projet'!$B$11,Paramètres!$A$1:$I$89,5,0)</f>
        <v>185.12207999999998</v>
      </c>
      <c r="BF59" s="14">
        <f t="shared" si="37"/>
        <v>46.459887003478677</v>
      </c>
      <c r="BG59" s="22">
        <f t="shared" si="7"/>
        <v>403.33859253105862</v>
      </c>
      <c r="BH59" s="62">
        <f t="shared" si="8"/>
        <v>696.67192586439194</v>
      </c>
      <c r="BI59" s="62">
        <f ca="1">AVERAGE(OFFSET($BH$3,0,0,'Données projet'!$E$11+1,1))-AVERAGE(OFFSET($H$3,0,0,'Données projet'!$E$11+1,1))</f>
        <v>312.29553270286209</v>
      </c>
      <c r="BJ59" s="62">
        <f t="shared" si="38"/>
        <v>175.8423124483154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5.1600000000000019</v>
      </c>
      <c r="BY59" s="13">
        <f>IF('Données projet'!$A$114&gt;35,BY58+BX59-CG58,IF(A59&lt;'Données projet'!$A$114,$BV$205^A59,IF(A59='Données projet'!$A$114,'Données projet'!$B$114,BY58+BX59-CG58)))</f>
        <v>237.66000000000011</v>
      </c>
      <c r="BZ59" s="14">
        <f>BY59*VLOOKUP('Données projet'!$B$12,Paramètres!$A$1:$I$89,3,0)*VLOOKUP('Données projet'!$B$12,Paramètres!$A$1:$I$89,5,0)</f>
        <v>174.25231200000007</v>
      </c>
      <c r="CA59" s="14">
        <f t="shared" si="39"/>
        <v>44.04102629341314</v>
      </c>
      <c r="CB59" s="22">
        <f t="shared" si="10"/>
        <v>380.19423086102802</v>
      </c>
      <c r="CC59" s="62">
        <f t="shared" si="11"/>
        <v>673.52756419436128</v>
      </c>
      <c r="CD59" s="62">
        <f ca="1">AVERAGE(OFFSET($CC$3,0,0,'Données projet'!$E$12+1,1))-AVERAGE(OFFSET($H$3,0,0,'Données projet'!$E$12+1,1))</f>
        <v>217.14170654868826</v>
      </c>
      <c r="CE59" s="62">
        <f t="shared" si="40"/>
        <v>202.59844364241644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28.157999999999991</v>
      </c>
      <c r="D60" s="12">
        <f t="shared" si="32"/>
        <v>8.7987346268113527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285.28005676836824</v>
      </c>
      <c r="H60" s="70">
        <f t="shared" si="1"/>
        <v>357.69964614169641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10.8</v>
      </c>
      <c r="N60" s="14">
        <f>IF('Données projet'!$A$36&gt;35,N59+M60-V59,IF(A60&lt;'Données projet'!$A$36,$K$205^A60,IF(A60='Données projet'!$A$36,'Données projet'!$B$36,N59+M60-V59)))</f>
        <v>296.60000000000025</v>
      </c>
      <c r="O60" s="14">
        <f>N60*VLOOKUP('Données projet'!$B$9,Paramètres!$A$1:$I$89,3,0)*VLOOKUP('Données projet'!$B$9,Paramètres!$A$1:$I$89,5,0)</f>
        <v>169.65520000000015</v>
      </c>
      <c r="P60" s="14">
        <f t="shared" si="33"/>
        <v>43.012790732676081</v>
      </c>
      <c r="Q60" s="22">
        <f t="shared" si="53"/>
        <v>370.39675052607777</v>
      </c>
      <c r="R60" s="62">
        <f t="shared" si="0"/>
        <v>663.73008385941102</v>
      </c>
      <c r="S60" s="62">
        <f ca="1">AVERAGE(OFFSET($R$3,0,0,'Données projet'!$E$9+1,1))-AVERAGE(OFFSET($H$3,0,0,'Données projet'!$E$9+1,1))</f>
        <v>183.98573418698061</v>
      </c>
      <c r="T60" s="62">
        <f t="shared" si="34"/>
        <v>158.42298722045609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17.625</v>
      </c>
      <c r="AI60" s="14">
        <f>IF('Données projet'!$A$62&gt;35,AI59+AH60-AQ59,IF(A60&lt;'Données projet'!$A$62,$AF$205^A60,IF(A60='Données projet'!$A$62,'Données projet'!$B$62,AI59+AH60-AQ59)))</f>
        <v>422.37499999999994</v>
      </c>
      <c r="AJ60" s="14">
        <f>AI60*VLOOKUP('Données projet'!$B$10,Paramètres!$A$1:$I$89,3,0)*VLOOKUP('Données projet'!$B$10,Paramètres!$A$1:$I$89,5,0)</f>
        <v>252.58025000000001</v>
      </c>
      <c r="AK60" s="14">
        <f t="shared" si="35"/>
        <v>61.138131933251593</v>
      </c>
      <c r="AL60" s="22">
        <f t="shared" si="4"/>
        <v>546.39284853374647</v>
      </c>
      <c r="AM60" s="62">
        <f t="shared" si="5"/>
        <v>839.72618186707973</v>
      </c>
      <c r="AN60" s="62">
        <f ca="1">AVERAGE(OFFSET($AM$3,0,0,'Données projet'!$E$10+1,1))-AVERAGE(OFFSET($H$3,0,0,'Données projet'!$E$10+1,1))</f>
        <v>294.57089926309249</v>
      </c>
      <c r="AO60" s="62">
        <f t="shared" si="36"/>
        <v>221.0956883062172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7.6</v>
      </c>
      <c r="BD60" s="13">
        <f>IF('Données projet'!$A$88&gt;35,BD59+BC60-BL59,IF(A60&lt;'Données projet'!$A$88,$BA$205^A60,IF(A60='Données projet'!$A$88,'Données projet'!$B$88,BD59+BC60-BL59)))</f>
        <v>212.2</v>
      </c>
      <c r="BE60" s="14">
        <f>BD60*VLOOKUP('Données projet'!$B$11,Paramètres!$A$1:$I$89,3,0)*VLOOKUP('Données projet'!$B$11,Paramètres!$A$1:$I$89,5,0)</f>
        <v>191.99855999999997</v>
      </c>
      <c r="BF60" s="14">
        <f t="shared" si="37"/>
        <v>47.981536645873334</v>
      </c>
      <c r="BG60" s="22">
        <f t="shared" si="7"/>
        <v>417.96533499156266</v>
      </c>
      <c r="BH60" s="62">
        <f t="shared" si="8"/>
        <v>711.29866832489597</v>
      </c>
      <c r="BI60" s="62">
        <f ca="1">AVERAGE(OFFSET($BH$3,0,0,'Données projet'!$E$11+1,1))-AVERAGE(OFFSET($H$3,0,0,'Données projet'!$E$11+1,1))</f>
        <v>312.29553270286209</v>
      </c>
      <c r="BJ60" s="62">
        <f t="shared" si="38"/>
        <v>175.8423124483154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5.1600000000000019</v>
      </c>
      <c r="BY60" s="13">
        <f>IF('Données projet'!$A$114&gt;35,BY59+BX60-CG59,IF(A60&lt;'Données projet'!$A$114,$BV$205^A60,IF(A60='Données projet'!$A$114,'Données projet'!$B$114,BY59+BX60-CG59)))</f>
        <v>242.82000000000011</v>
      </c>
      <c r="BZ60" s="14">
        <f>BY60*VLOOKUP('Données projet'!$B$12,Paramètres!$A$1:$I$89,3,0)*VLOOKUP('Données projet'!$B$12,Paramètres!$A$1:$I$89,5,0)</f>
        <v>178.03562400000007</v>
      </c>
      <c r="CA60" s="14">
        <f t="shared" si="39"/>
        <v>44.884869980598666</v>
      </c>
      <c r="CB60" s="22">
        <f t="shared" si="10"/>
        <v>388.25319368287614</v>
      </c>
      <c r="CC60" s="62">
        <f t="shared" si="11"/>
        <v>681.5865270162094</v>
      </c>
      <c r="CD60" s="62">
        <f ca="1">AVERAGE(OFFSET($CC$3,0,0,'Données projet'!$E$12+1,1))-AVERAGE(OFFSET($H$3,0,0,'Données projet'!$E$12+1,1))</f>
        <v>217.14170654868826</v>
      </c>
      <c r="CE60" s="62">
        <f t="shared" si="40"/>
        <v>202.59844364241644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28.65199999999999</v>
      </c>
      <c r="D61" s="12">
        <f t="shared" si="32"/>
        <v>8.9349920834689218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290.1452020478302</v>
      </c>
      <c r="H61" s="70">
        <f t="shared" si="1"/>
        <v>358.79734454537498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10.8</v>
      </c>
      <c r="N61" s="14">
        <f>IF('Données projet'!$A$36&gt;35,N60+M61-V60,IF(A61&lt;'Données projet'!$A$36,$K$205^A61,IF(A61='Données projet'!$A$36,'Données projet'!$B$36,N60+M61-V60)))</f>
        <v>307.40000000000026</v>
      </c>
      <c r="O61" s="14">
        <f>N61*VLOOKUP('Données projet'!$B$9,Paramètres!$A$1:$I$89,3,0)*VLOOKUP('Données projet'!$B$9,Paramètres!$A$1:$I$89,5,0)</f>
        <v>175.83280000000016</v>
      </c>
      <c r="P61" s="14">
        <f t="shared" si="33"/>
        <v>44.393800843059971</v>
      </c>
      <c r="Q61" s="22">
        <f t="shared" si="53"/>
        <v>383.56132980166308</v>
      </c>
      <c r="R61" s="62">
        <f t="shared" si="0"/>
        <v>676.89466313499634</v>
      </c>
      <c r="S61" s="62">
        <f ca="1">AVERAGE(OFFSET($R$3,0,0,'Données projet'!$E$9+1,1))-AVERAGE(OFFSET($H$3,0,0,'Données projet'!$E$9+1,1))</f>
        <v>183.98573418698061</v>
      </c>
      <c r="T61" s="62">
        <f t="shared" si="34"/>
        <v>158.42298722045609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>
        <f>VLOOKUP(A61,'Données projet'!$A$61:$I$81,2,0)</f>
        <v>440</v>
      </c>
      <c r="AG61" s="13">
        <f>VLOOKUP(A61,'Données projet'!$A$61:$I$81,9,0)</f>
        <v>17.625</v>
      </c>
      <c r="AH61" s="13">
        <f t="array" ref="AH61">INDEX(AG:AG,MIN(IF(ISNUMBER(AG61:AG257),ROW(AG61:AG257),"")))</f>
        <v>17.625</v>
      </c>
      <c r="AI61" s="14">
        <f>IF('Données projet'!$A$62&gt;35,AI60+AH61-AQ60,IF(A61&lt;'Données projet'!$A$62,$AF$205^A61,IF(A61='Données projet'!$A$62,'Données projet'!$B$62,AI60+AH61-AQ60)))</f>
        <v>439.99999999999994</v>
      </c>
      <c r="AJ61" s="14">
        <f>AI61*VLOOKUP('Données projet'!$B$10,Paramètres!$A$1:$I$89,3,0)*VLOOKUP('Données projet'!$B$10,Paramètres!$A$1:$I$89,5,0)</f>
        <v>263.12</v>
      </c>
      <c r="AK61" s="14">
        <f t="shared" si="35"/>
        <v>63.386973458752003</v>
      </c>
      <c r="AL61" s="22">
        <f t="shared" si="4"/>
        <v>568.66631210732646</v>
      </c>
      <c r="AM61" s="62">
        <f t="shared" si="5"/>
        <v>861.99964544065983</v>
      </c>
      <c r="AN61" s="62">
        <f ca="1">AVERAGE(OFFSET($AM$3,0,0,'Données projet'!$E$10+1,1))-AVERAGE(OFFSET($H$3,0,0,'Données projet'!$E$10+1,1))</f>
        <v>294.57089926309249</v>
      </c>
      <c r="AO61" s="62">
        <f t="shared" si="36"/>
        <v>221.0956883062172</v>
      </c>
      <c r="AP61" s="16">
        <f>IF(ISNA(VLOOKUP(A61,'Données projet'!$A$61:$I$81,3,0)),0,VLOOKUP(A61,'Données projet'!$A$61:$I$81,3,0))</f>
        <v>7</v>
      </c>
      <c r="AQ61" s="16">
        <f>IF(ISNA(VLOOKUP(A61,'Données projet'!$A$61:$I$81,4,0)),0,VLOOKUP(A61,'Données projet'!$A$61:$I$81,4,0))</f>
        <v>78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7.6</v>
      </c>
      <c r="BD61" s="13">
        <f>IF('Données projet'!$A$88&gt;35,BD60+BC61-BL60,IF(A61&lt;'Données projet'!$A$88,$BA$205^A61,IF(A61='Données projet'!$A$88,'Données projet'!$B$88,BD60+BC61-BL60)))</f>
        <v>219.79999999999998</v>
      </c>
      <c r="BE61" s="14">
        <f>BD61*VLOOKUP('Données projet'!$B$11,Paramètres!$A$1:$I$89,3,0)*VLOOKUP('Données projet'!$B$11,Paramètres!$A$1:$I$89,5,0)</f>
        <v>198.87503999999998</v>
      </c>
      <c r="BF61" s="14">
        <f t="shared" si="37"/>
        <v>49.496854461868558</v>
      </c>
      <c r="BG61" s="22">
        <f t="shared" si="7"/>
        <v>432.58104952108766</v>
      </c>
      <c r="BH61" s="62">
        <f t="shared" si="8"/>
        <v>725.91438285442098</v>
      </c>
      <c r="BI61" s="62">
        <f ca="1">AVERAGE(OFFSET($BH$3,0,0,'Données projet'!$E$11+1,1))-AVERAGE(OFFSET($H$3,0,0,'Données projet'!$E$11+1,1))</f>
        <v>312.29553270286209</v>
      </c>
      <c r="BJ61" s="62">
        <f t="shared" si="38"/>
        <v>175.8423124483154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5.1600000000000019</v>
      </c>
      <c r="BY61" s="13">
        <f>IF('Données projet'!$A$114&gt;35,BY60+BX61-CG60,IF(A61&lt;'Données projet'!$A$114,$BV$205^A61,IF(A61='Données projet'!$A$114,'Données projet'!$B$114,BY60+BX61-CG60)))</f>
        <v>247.9800000000001</v>
      </c>
      <c r="BZ61" s="14">
        <f>BY61*VLOOKUP('Données projet'!$B$12,Paramètres!$A$1:$I$89,3,0)*VLOOKUP('Données projet'!$B$12,Paramètres!$A$1:$I$89,5,0)</f>
        <v>181.81893600000006</v>
      </c>
      <c r="CA61" s="14">
        <f t="shared" si="39"/>
        <v>45.726628803579182</v>
      </c>
      <c r="CB61" s="22">
        <f t="shared" si="10"/>
        <v>396.30852536623382</v>
      </c>
      <c r="CC61" s="62">
        <f t="shared" si="11"/>
        <v>689.64185869956714</v>
      </c>
      <c r="CD61" s="62">
        <f ca="1">AVERAGE(OFFSET($CC$3,0,0,'Données projet'!$E$12+1,1))-AVERAGE(OFFSET($H$3,0,0,'Données projet'!$E$12+1,1))</f>
        <v>217.14170654868826</v>
      </c>
      <c r="CE61" s="62">
        <f t="shared" si="40"/>
        <v>202.59844364241644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29.14599999999999</v>
      </c>
      <c r="D62" s="12">
        <f t="shared" si="32"/>
        <v>9.0709763454110508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295.00823845580453</v>
      </c>
      <c r="H62" s="70">
        <f t="shared" si="1"/>
        <v>359.89456713492422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10.8</v>
      </c>
      <c r="N62" s="14">
        <f>IF('Données projet'!$A$36&gt;35,N61+M62-V61,IF(A62&lt;'Données projet'!$A$36,$K$205^A62,IF(A62='Données projet'!$A$36,'Données projet'!$B$36,N61+M62-V61)))</f>
        <v>318.20000000000027</v>
      </c>
      <c r="O62" s="14">
        <f>N62*VLOOKUP('Données projet'!$B$9,Paramètres!$A$1:$I$89,3,0)*VLOOKUP('Données projet'!$B$9,Paramètres!$A$1:$I$89,5,0)</f>
        <v>182.01040000000017</v>
      </c>
      <c r="P62" s="14">
        <f t="shared" si="33"/>
        <v>45.769173585325895</v>
      </c>
      <c r="Q62" s="22">
        <f t="shared" si="53"/>
        <v>396.71609066110955</v>
      </c>
      <c r="R62" s="62">
        <f t="shared" si="0"/>
        <v>690.0494239944428</v>
      </c>
      <c r="S62" s="62">
        <f ca="1">AVERAGE(OFFSET($R$3,0,0,'Données projet'!$E$9+1,1))-AVERAGE(OFFSET($H$3,0,0,'Données projet'!$E$9+1,1))</f>
        <v>183.98573418698061</v>
      </c>
      <c r="T62" s="62">
        <f t="shared" si="34"/>
        <v>158.42298722045609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16.625</v>
      </c>
      <c r="AI62" s="14">
        <f>IF('Données projet'!$A$62&gt;35,AI61+AH62-AQ61,IF(A62&lt;'Données projet'!$A$62,$AF$205^A62,IF(A62='Données projet'!$A$62,'Données projet'!$B$62,AI61+AH62-AQ61)))</f>
        <v>378.62499999999994</v>
      </c>
      <c r="AJ62" s="14">
        <f>AI62*VLOOKUP('Données projet'!$B$10,Paramètres!$A$1:$I$89,3,0)*VLOOKUP('Données projet'!$B$10,Paramètres!$A$1:$I$89,5,0)</f>
        <v>226.41774999999998</v>
      </c>
      <c r="AK62" s="14">
        <f t="shared" si="35"/>
        <v>55.507409107649494</v>
      </c>
      <c r="AL62" s="22">
        <f t="shared" si="4"/>
        <v>491.0196521124895</v>
      </c>
      <c r="AM62" s="62">
        <f t="shared" si="5"/>
        <v>784.35298544582281</v>
      </c>
      <c r="AN62" s="62">
        <f ca="1">AVERAGE(OFFSET($AM$3,0,0,'Données projet'!$E$10+1,1))-AVERAGE(OFFSET($H$3,0,0,'Données projet'!$E$10+1,1))</f>
        <v>294.57089926309249</v>
      </c>
      <c r="AO62" s="62">
        <f t="shared" si="36"/>
        <v>221.0956883062172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7.6</v>
      </c>
      <c r="BD62" s="13">
        <f>IF('Données projet'!$A$88&gt;35,BD61+BC62-BL61,IF(A62&lt;'Données projet'!$A$88,$BA$205^A62,IF(A62='Données projet'!$A$88,'Données projet'!$B$88,BD61+BC62-BL61)))</f>
        <v>227.39999999999998</v>
      </c>
      <c r="BE62" s="14">
        <f>BD62*VLOOKUP('Données projet'!$B$11,Paramètres!$A$1:$I$89,3,0)*VLOOKUP('Données projet'!$B$11,Paramètres!$A$1:$I$89,5,0)</f>
        <v>205.75151999999994</v>
      </c>
      <c r="BF62" s="14">
        <f t="shared" si="37"/>
        <v>51.006084477955554</v>
      </c>
      <c r="BG62" s="22">
        <f t="shared" si="7"/>
        <v>447.18616113243911</v>
      </c>
      <c r="BH62" s="62">
        <f t="shared" si="8"/>
        <v>740.51949446577237</v>
      </c>
      <c r="BI62" s="62">
        <f ca="1">AVERAGE(OFFSET($BH$3,0,0,'Données projet'!$E$11+1,1))-AVERAGE(OFFSET($H$3,0,0,'Données projet'!$E$11+1,1))</f>
        <v>312.29553270286209</v>
      </c>
      <c r="BJ62" s="62">
        <f t="shared" si="38"/>
        <v>175.8423124483154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5.1600000000000019</v>
      </c>
      <c r="BY62" s="13">
        <f>IF('Données projet'!$A$114&gt;35,BY61+BX62-CG61,IF(A62&lt;'Données projet'!$A$114,$BV$205^A62,IF(A62='Données projet'!$A$114,'Données projet'!$B$114,BY61+BX62-CG61)))</f>
        <v>253.1400000000001</v>
      </c>
      <c r="BZ62" s="14">
        <f>BY62*VLOOKUP('Données projet'!$B$12,Paramètres!$A$1:$I$89,3,0)*VLOOKUP('Données projet'!$B$12,Paramètres!$A$1:$I$89,5,0)</f>
        <v>185.60224800000006</v>
      </c>
      <c r="CA62" s="14">
        <f t="shared" si="39"/>
        <v>46.5663511426025</v>
      </c>
      <c r="CB62" s="22">
        <f t="shared" si="10"/>
        <v>404.36031017336609</v>
      </c>
      <c r="CC62" s="62">
        <f t="shared" si="11"/>
        <v>697.69364350669935</v>
      </c>
      <c r="CD62" s="62">
        <f ca="1">AVERAGE(OFFSET($CC$3,0,0,'Données projet'!$E$12+1,1))-AVERAGE(OFFSET($H$3,0,0,'Données projet'!$E$12+1,1))</f>
        <v>217.14170654868826</v>
      </c>
      <c r="CE62" s="62">
        <f t="shared" si="40"/>
        <v>202.59844364241644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29.63999999999999</v>
      </c>
      <c r="D63" s="12">
        <f t="shared" si="32"/>
        <v>9.2066925774398314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299.86920586093902</v>
      </c>
      <c r="H63" s="70">
        <f t="shared" si="1"/>
        <v>360.99132290570765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329</v>
      </c>
      <c r="L63" s="13">
        <f>VLOOKUP(A63,'Données projet'!$A$35:$I$55,9,0)</f>
        <v>10.8</v>
      </c>
      <c r="M63" s="13">
        <f t="array" ref="M63">INDEX(L:L,MIN(IF(ISNUMBER(L63:L259),ROW(L63:L259),"")))</f>
        <v>10.8</v>
      </c>
      <c r="N63" s="14">
        <f>IF('Données projet'!$A$36&gt;35,N62+M63-V62,IF(A63&lt;'Données projet'!$A$36,$K$205^A63,IF(A63='Données projet'!$A$36,'Données projet'!$B$36,N62+M63-V62)))</f>
        <v>329.00000000000028</v>
      </c>
      <c r="O63" s="14">
        <f>N63*VLOOKUP('Données projet'!$B$9,Paramètres!$A$1:$I$89,3,0)*VLOOKUP('Données projet'!$B$9,Paramètres!$A$1:$I$89,5,0)</f>
        <v>188.18800000000019</v>
      </c>
      <c r="P63" s="14">
        <f t="shared" si="33"/>
        <v>47.139122230395323</v>
      </c>
      <c r="Q63" s="22">
        <f t="shared" si="53"/>
        <v>409.86140455127207</v>
      </c>
      <c r="R63" s="62">
        <f t="shared" si="0"/>
        <v>703.19473788460539</v>
      </c>
      <c r="S63" s="62">
        <f ca="1">AVERAGE(OFFSET($R$3,0,0,'Données projet'!$E$9+1,1))-AVERAGE(OFFSET($H$3,0,0,'Données projet'!$E$9+1,1))</f>
        <v>183.98573418698061</v>
      </c>
      <c r="T63" s="62">
        <f t="shared" si="34"/>
        <v>158.42298722045609</v>
      </c>
      <c r="U63" s="16">
        <f>IF(ISNA(VLOOKUP(A63,'Données projet'!$A$35:$I$55,3,0)),0,VLOOKUP(A63,'Données projet'!$A$35:$I$55,3,0))</f>
        <v>5</v>
      </c>
      <c r="V63" s="16">
        <f>IF(ISNA(VLOOKUP(A63,'Données projet'!$A$35:$I$55,4,0)),0,VLOOKUP(A63,'Données projet'!$A$35:$I$55,4,0))</f>
        <v>60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16.625</v>
      </c>
      <c r="AI63" s="14">
        <f>IF('Données projet'!$A$62&gt;35,AI62+AH63-AQ62,IF(A63&lt;'Données projet'!$A$62,$AF$205^A63,IF(A63='Données projet'!$A$62,'Données projet'!$B$62,AI62+AH63-AQ62)))</f>
        <v>395.24999999999994</v>
      </c>
      <c r="AJ63" s="14">
        <f>AI63*VLOOKUP('Données projet'!$B$10,Paramètres!$A$1:$I$89,3,0)*VLOOKUP('Données projet'!$B$10,Paramètres!$A$1:$I$89,5,0)</f>
        <v>236.35949999999997</v>
      </c>
      <c r="AK63" s="14">
        <f t="shared" si="35"/>
        <v>57.655563749416167</v>
      </c>
      <c r="AL63" s="22">
        <f t="shared" si="4"/>
        <v>512.07623603023308</v>
      </c>
      <c r="AM63" s="62">
        <f t="shared" si="5"/>
        <v>805.40956936356633</v>
      </c>
      <c r="AN63" s="62">
        <f ca="1">AVERAGE(OFFSET($AM$3,0,0,'Données projet'!$E$10+1,1))-AVERAGE(OFFSET($H$3,0,0,'Données projet'!$E$10+1,1))</f>
        <v>294.57089926309249</v>
      </c>
      <c r="AO63" s="62">
        <f t="shared" si="36"/>
        <v>221.0956883062172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235</v>
      </c>
      <c r="BB63" s="13">
        <f>VLOOKUP(A63,'Données projet'!$A$87:$I$107,9,0)</f>
        <v>7.6</v>
      </c>
      <c r="BC63" s="13">
        <f t="array" ref="BC63">INDEX(BB:BB,MIN(IF(ISNUMBER(BB63:BB259),ROW(BB63:BB259),"")))</f>
        <v>7.6</v>
      </c>
      <c r="BD63" s="13">
        <f>IF('Données projet'!$A$88&gt;35,BD62+BC63-BL62,IF(A63&lt;'Données projet'!$A$88,$BA$205^A63,IF(A63='Données projet'!$A$88,'Données projet'!$B$88,BD62+BC63-BL62)))</f>
        <v>234.99999999999997</v>
      </c>
      <c r="BE63" s="14">
        <f>BD63*VLOOKUP('Données projet'!$B$11,Paramètres!$A$1:$I$89,3,0)*VLOOKUP('Données projet'!$B$11,Paramètres!$A$1:$I$89,5,0)</f>
        <v>212.62799999999999</v>
      </c>
      <c r="BF63" s="14">
        <f t="shared" si="37"/>
        <v>52.509453483719035</v>
      </c>
      <c r="BG63" s="22">
        <f t="shared" si="7"/>
        <v>461.78106481747727</v>
      </c>
      <c r="BH63" s="62">
        <f t="shared" si="8"/>
        <v>755.11439815081053</v>
      </c>
      <c r="BI63" s="62">
        <f ca="1">AVERAGE(OFFSET($BH$3,0,0,'Données projet'!$E$11+1,1))-AVERAGE(OFFSET($H$3,0,0,'Données projet'!$E$11+1,1))</f>
        <v>312.29553270286209</v>
      </c>
      <c r="BJ63" s="62">
        <f t="shared" si="38"/>
        <v>175.8423124483154</v>
      </c>
      <c r="BK63" s="16">
        <f>IF(ISNA(VLOOKUP(A63,'Données projet'!$A$87:$I$107,3,0)),0,VLOOKUP(A63,'Données projet'!$A$87:$I$107,3,0))</f>
        <v>4</v>
      </c>
      <c r="BL63" s="16">
        <f>IF(ISNA(VLOOKUP(A63,'Données projet'!$A$87:$I$107,4,0)),0,VLOOKUP(A63,'Données projet'!$A$87:$I$107,4,0))</f>
        <v>42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258.3</v>
      </c>
      <c r="BW63" s="13">
        <f>VLOOKUP(A63,'Données projet'!$A$113:$I$133,9,0)</f>
        <v>5.1600000000000019</v>
      </c>
      <c r="BX63" s="13">
        <f t="array" ref="BX63">INDEX(BW:BW,MIN(IF(ISNUMBER(BW63:BW259),ROW(BW63:BW259),"")))</f>
        <v>5.1600000000000019</v>
      </c>
      <c r="BY63" s="13">
        <f>IF('Données projet'!$A$114&gt;35,BY62+BX63-CG62,IF(A63&lt;'Données projet'!$A$114,$BV$205^A63,IF(A63='Données projet'!$A$114,'Données projet'!$B$114,BY62+BX63-CG62)))</f>
        <v>258.30000000000013</v>
      </c>
      <c r="BZ63" s="14">
        <f>BY63*VLOOKUP('Données projet'!$B$12,Paramètres!$A$1:$I$89,3,0)*VLOOKUP('Données projet'!$B$12,Paramètres!$A$1:$I$89,5,0)</f>
        <v>189.38556000000008</v>
      </c>
      <c r="CA63" s="14">
        <f t="shared" si="39"/>
        <v>47.404083292801978</v>
      </c>
      <c r="CB63" s="22">
        <f t="shared" si="10"/>
        <v>412.40862873496354</v>
      </c>
      <c r="CC63" s="62">
        <f t="shared" si="11"/>
        <v>705.74196206829686</v>
      </c>
      <c r="CD63" s="62">
        <f ca="1">AVERAGE(OFFSET($CC$3,0,0,'Données projet'!$E$12+1,1))-AVERAGE(OFFSET($H$3,0,0,'Données projet'!$E$12+1,1))</f>
        <v>217.14170654868826</v>
      </c>
      <c r="CE63" s="62">
        <f t="shared" si="40"/>
        <v>202.59844364241644</v>
      </c>
      <c r="CF63" s="16">
        <f>IF(ISNA(VLOOKUP(A63,'Données projet'!$A$113:$I$133,3,0)),0,VLOOKUP(A63,'Données projet'!$A$113:$I$133,3,0))</f>
        <v>5</v>
      </c>
      <c r="CG63" s="16">
        <f>IF(ISNA(VLOOKUP(A63,'Données projet'!$A$113:$I$133,4,0)),0,VLOOKUP(A63,'Données projet'!$A$113:$I$133,4,0))</f>
        <v>25.200000000000003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30.13399999999999</v>
      </c>
      <c r="D64" s="12">
        <f t="shared" si="32"/>
        <v>9.3421457623289594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304.72814272674975</v>
      </c>
      <c r="H64" s="70">
        <f t="shared" si="1"/>
        <v>362.08762053605625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9.5</v>
      </c>
      <c r="N64" s="14">
        <f>IF('Données projet'!$A$36&gt;35,N63+M64-V63,IF(A64&lt;'Données projet'!$A$36,$K$205^A64,IF(A64='Données projet'!$A$36,'Données projet'!$B$36,N63+M64-V63)))</f>
        <v>278.50000000000028</v>
      </c>
      <c r="O64" s="14">
        <f>N64*VLOOKUP('Données projet'!$B$9,Paramètres!$A$1:$I$89,3,0)*VLOOKUP('Données projet'!$B$9,Paramètres!$A$1:$I$89,5,0)</f>
        <v>159.30200000000016</v>
      </c>
      <c r="P64" s="14">
        <f t="shared" si="33"/>
        <v>40.685039520733888</v>
      </c>
      <c r="Q64" s="22">
        <f t="shared" si="53"/>
        <v>348.31076049861184</v>
      </c>
      <c r="R64" s="62">
        <f t="shared" si="0"/>
        <v>641.64409383194516</v>
      </c>
      <c r="S64" s="62">
        <f ca="1">AVERAGE(OFFSET($R$3,0,0,'Données projet'!$E$9+1,1))-AVERAGE(OFFSET($H$3,0,0,'Données projet'!$E$9+1,1))</f>
        <v>183.98573418698061</v>
      </c>
      <c r="T64" s="62">
        <f t="shared" si="34"/>
        <v>158.42298722045609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16.625</v>
      </c>
      <c r="AI64" s="14">
        <f>IF('Données projet'!$A$62&gt;35,AI63+AH64-AQ63,IF(A64&lt;'Données projet'!$A$62,$AF$205^A64,IF(A64='Données projet'!$A$62,'Données projet'!$B$62,AI63+AH64-AQ63)))</f>
        <v>411.87499999999994</v>
      </c>
      <c r="AJ64" s="14">
        <f>AI64*VLOOKUP('Données projet'!$B$10,Paramètres!$A$1:$I$89,3,0)*VLOOKUP('Données projet'!$B$10,Paramètres!$A$1:$I$89,5,0)</f>
        <v>246.30124999999998</v>
      </c>
      <c r="AK64" s="14">
        <f t="shared" si="35"/>
        <v>59.793223430016852</v>
      </c>
      <c r="AL64" s="22">
        <f t="shared" si="4"/>
        <v>533.11454122394582</v>
      </c>
      <c r="AM64" s="62">
        <f t="shared" si="5"/>
        <v>826.44787455727919</v>
      </c>
      <c r="AN64" s="62">
        <f ca="1">AVERAGE(OFFSET($AM$3,0,0,'Données projet'!$E$10+1,1))-AVERAGE(OFFSET($H$3,0,0,'Données projet'!$E$10+1,1))</f>
        <v>294.57089926309249</v>
      </c>
      <c r="AO64" s="62">
        <f t="shared" si="36"/>
        <v>221.0956883062172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7.2</v>
      </c>
      <c r="BD64" s="13">
        <f>IF('Données projet'!$A$88&gt;35,BD63+BC64-BL63,IF(A64&lt;'Données projet'!$A$88,$BA$205^A64,IF(A64='Données projet'!$A$88,'Données projet'!$B$88,BD63+BC64-BL63)))</f>
        <v>200.19999999999996</v>
      </c>
      <c r="BE64" s="14">
        <f>BD64*VLOOKUP('Données projet'!$B$11,Paramètres!$A$1:$I$89,3,0)*VLOOKUP('Données projet'!$B$11,Paramètres!$A$1:$I$89,5,0)</f>
        <v>181.14095999999995</v>
      </c>
      <c r="BF64" s="14">
        <f t="shared" si="37"/>
        <v>45.575935320610945</v>
      </c>
      <c r="BG64" s="22">
        <f t="shared" si="7"/>
        <v>394.86525935006392</v>
      </c>
      <c r="BH64" s="62">
        <f t="shared" si="8"/>
        <v>688.19859268339724</v>
      </c>
      <c r="BI64" s="62">
        <f ca="1">AVERAGE(OFFSET($BH$3,0,0,'Données projet'!$E$11+1,1))-AVERAGE(OFFSET($H$3,0,0,'Données projet'!$E$11+1,1))</f>
        <v>312.29553270286209</v>
      </c>
      <c r="BJ64" s="62">
        <f t="shared" si="38"/>
        <v>175.8423124483154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4.3399999999999981</v>
      </c>
      <c r="BY64" s="13">
        <f>IF('Données projet'!$A$114&gt;35,BY63+BX64-CG63,IF(A64&lt;'Données projet'!$A$114,$BV$205^A64,IF(A64='Données projet'!$A$114,'Données projet'!$B$114,BY63+BX64-CG63)))</f>
        <v>237.44000000000011</v>
      </c>
      <c r="BZ64" s="14">
        <f>BY64*VLOOKUP('Données projet'!$B$12,Paramètres!$A$1:$I$89,3,0)*VLOOKUP('Données projet'!$B$12,Paramètres!$A$1:$I$89,5,0)</f>
        <v>174.09100800000007</v>
      </c>
      <c r="CA64" s="14">
        <f t="shared" si="39"/>
        <v>44.005001364605072</v>
      </c>
      <c r="CB64" s="22">
        <f t="shared" si="10"/>
        <v>379.85054964335399</v>
      </c>
      <c r="CC64" s="62">
        <f t="shared" si="11"/>
        <v>673.1838829766873</v>
      </c>
      <c r="CD64" s="62">
        <f ca="1">AVERAGE(OFFSET($CC$3,0,0,'Données projet'!$E$12+1,1))-AVERAGE(OFFSET($H$3,0,0,'Données projet'!$E$12+1,1))</f>
        <v>217.14170654868826</v>
      </c>
      <c r="CE64" s="62">
        <f t="shared" si="40"/>
        <v>202.59844364241644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30.627999999999989</v>
      </c>
      <c r="D65" s="12">
        <f t="shared" si="32"/>
        <v>9.4773407101161169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309.58508618335242</v>
      </c>
      <c r="H65" s="70">
        <f t="shared" si="1"/>
        <v>363.1834684034522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9.5</v>
      </c>
      <c r="N65" s="14">
        <f>IF('Données projet'!$A$36&gt;35,N64+M65-V64,IF(A65&lt;'Données projet'!$A$36,$K$205^A65,IF(A65='Données projet'!$A$36,'Données projet'!$B$36,N64+M65-V64)))</f>
        <v>288.00000000000028</v>
      </c>
      <c r="O65" s="14">
        <f>N65*VLOOKUP('Données projet'!$B$9,Paramètres!$A$1:$I$89,3,0)*VLOOKUP('Données projet'!$B$9,Paramètres!$A$1:$I$89,5,0)</f>
        <v>164.73600000000016</v>
      </c>
      <c r="P65" s="14">
        <f t="shared" si="33"/>
        <v>41.908913144700364</v>
      </c>
      <c r="Q65" s="22">
        <f t="shared" si="53"/>
        <v>359.90655706035341</v>
      </c>
      <c r="R65" s="62">
        <f t="shared" si="0"/>
        <v>653.23989039368666</v>
      </c>
      <c r="S65" s="62">
        <f ca="1">AVERAGE(OFFSET($R$3,0,0,'Données projet'!$E$9+1,1))-AVERAGE(OFFSET($H$3,0,0,'Données projet'!$E$9+1,1))</f>
        <v>183.98573418698061</v>
      </c>
      <c r="T65" s="62">
        <f t="shared" si="34"/>
        <v>158.42298722045609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16.625</v>
      </c>
      <c r="AI65" s="14">
        <f>IF('Données projet'!$A$62&gt;35,AI64+AH65-AQ64,IF(A65&lt;'Données projet'!$A$62,$AF$205^A65,IF(A65='Données projet'!$A$62,'Données projet'!$B$62,AI64+AH65-AQ64)))</f>
        <v>428.49999999999994</v>
      </c>
      <c r="AJ65" s="14">
        <f>AI65*VLOOKUP('Données projet'!$B$10,Paramètres!$A$1:$I$89,3,0)*VLOOKUP('Données projet'!$B$10,Paramètres!$A$1:$I$89,5,0)</f>
        <v>256.24299999999999</v>
      </c>
      <c r="AK65" s="14">
        <f t="shared" si="35"/>
        <v>61.920860231490025</v>
      </c>
      <c r="AL65" s="22">
        <f t="shared" si="4"/>
        <v>554.13538990317852</v>
      </c>
      <c r="AM65" s="62">
        <f t="shared" si="5"/>
        <v>847.46872323651178</v>
      </c>
      <c r="AN65" s="62">
        <f ca="1">AVERAGE(OFFSET($AM$3,0,0,'Données projet'!$E$10+1,1))-AVERAGE(OFFSET($H$3,0,0,'Données projet'!$E$10+1,1))</f>
        <v>294.57089926309249</v>
      </c>
      <c r="AO65" s="62">
        <f t="shared" si="36"/>
        <v>221.0956883062172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7.2</v>
      </c>
      <c r="BD65" s="13">
        <f>IF('Données projet'!$A$88&gt;35,BD64+BC65-BL64,IF(A65&lt;'Données projet'!$A$88,$BA$205^A65,IF(A65='Données projet'!$A$88,'Données projet'!$B$88,BD64+BC65-BL64)))</f>
        <v>207.39999999999995</v>
      </c>
      <c r="BE65" s="14">
        <f>BD65*VLOOKUP('Données projet'!$B$11,Paramètres!$A$1:$I$89,3,0)*VLOOKUP('Données projet'!$B$11,Paramètres!$A$1:$I$89,5,0)</f>
        <v>187.65551999999994</v>
      </c>
      <c r="BF65" s="14">
        <f t="shared" si="37"/>
        <v>47.021247649900147</v>
      </c>
      <c r="BG65" s="22">
        <f t="shared" si="7"/>
        <v>408.72870365690932</v>
      </c>
      <c r="BH65" s="62">
        <f t="shared" si="8"/>
        <v>702.06203699024263</v>
      </c>
      <c r="BI65" s="62">
        <f ca="1">AVERAGE(OFFSET($BH$3,0,0,'Données projet'!$E$11+1,1))-AVERAGE(OFFSET($H$3,0,0,'Données projet'!$E$11+1,1))</f>
        <v>312.29553270286209</v>
      </c>
      <c r="BJ65" s="62">
        <f t="shared" si="38"/>
        <v>175.8423124483154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4.3399999999999981</v>
      </c>
      <c r="BY65" s="13">
        <f>IF('Données projet'!$A$114&gt;35,BY64+BX65-CG64,IF(A65&lt;'Données projet'!$A$114,$BV$205^A65,IF(A65='Données projet'!$A$114,'Données projet'!$B$114,BY64+BX65-CG64)))</f>
        <v>241.78000000000011</v>
      </c>
      <c r="BZ65" s="14">
        <f>BY65*VLOOKUP('Données projet'!$B$12,Paramètres!$A$1:$I$89,3,0)*VLOOKUP('Données projet'!$B$12,Paramètres!$A$1:$I$89,5,0)</f>
        <v>177.27309600000007</v>
      </c>
      <c r="CA65" s="14">
        <f t="shared" si="39"/>
        <v>44.714962312414976</v>
      </c>
      <c r="CB65" s="22">
        <f t="shared" si="10"/>
        <v>386.62920156078945</v>
      </c>
      <c r="CC65" s="62">
        <f t="shared" si="11"/>
        <v>679.96253489412277</v>
      </c>
      <c r="CD65" s="62">
        <f ca="1">AVERAGE(OFFSET($CC$3,0,0,'Données projet'!$E$12+1,1))-AVERAGE(OFFSET($H$3,0,0,'Données projet'!$E$12+1,1))</f>
        <v>217.14170654868826</v>
      </c>
      <c r="CE65" s="62">
        <f t="shared" si="40"/>
        <v>202.59844364241644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31.121999999999989</v>
      </c>
      <c r="D66" s="12">
        <f t="shared" si="32"/>
        <v>9.612282066778798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314.44007209443276</v>
      </c>
      <c r="H66" s="70">
        <f t="shared" si="1"/>
        <v>364.27887459963972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9.5</v>
      </c>
      <c r="N66" s="14">
        <f>IF('Données projet'!$A$36&gt;35,N65+M66-V65,IF(A66&lt;'Données projet'!$A$36,$K$205^A66,IF(A66='Données projet'!$A$36,'Données projet'!$B$36,N65+M66-V65)))</f>
        <v>297.50000000000028</v>
      </c>
      <c r="O66" s="14">
        <f>N66*VLOOKUP('Données projet'!$B$9,Paramètres!$A$1:$I$89,3,0)*VLOOKUP('Données projet'!$B$9,Paramètres!$A$1:$I$89,5,0)</f>
        <v>170.17000000000016</v>
      </c>
      <c r="P66" s="14">
        <f t="shared" si="33"/>
        <v>43.12809571504949</v>
      </c>
      <c r="Q66" s="22">
        <f t="shared" si="53"/>
        <v>371.4941833703781</v>
      </c>
      <c r="R66" s="62">
        <f t="shared" si="0"/>
        <v>664.82751670371135</v>
      </c>
      <c r="S66" s="62">
        <f ca="1">AVERAGE(OFFSET($R$3,0,0,'Données projet'!$E$9+1,1))-AVERAGE(OFFSET($H$3,0,0,'Données projet'!$E$9+1,1))</f>
        <v>183.98573418698061</v>
      </c>
      <c r="T66" s="62">
        <f t="shared" si="34"/>
        <v>158.42298722045609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16.625</v>
      </c>
      <c r="AI66" s="14">
        <f>IF('Données projet'!$A$62&gt;35,AI65+AH66-AQ65,IF(A66&lt;'Données projet'!$A$62,$AF$205^A66,IF(A66='Données projet'!$A$62,'Données projet'!$B$62,AI65+AH66-AQ65)))</f>
        <v>445.12499999999994</v>
      </c>
      <c r="AJ66" s="14">
        <f>AI66*VLOOKUP('Données projet'!$B$10,Paramètres!$A$1:$I$89,3,0)*VLOOKUP('Données projet'!$B$10,Paramètres!$A$1:$I$89,5,0)</f>
        <v>266.18475000000001</v>
      </c>
      <c r="AK66" s="14">
        <f t="shared" si="35"/>
        <v>64.038907529798962</v>
      </c>
      <c r="AL66" s="22">
        <f t="shared" si="4"/>
        <v>575.13953686439993</v>
      </c>
      <c r="AM66" s="62">
        <f t="shared" si="5"/>
        <v>868.4728701977333</v>
      </c>
      <c r="AN66" s="62">
        <f ca="1">AVERAGE(OFFSET($AM$3,0,0,'Données projet'!$E$10+1,1))-AVERAGE(OFFSET($H$3,0,0,'Données projet'!$E$10+1,1))</f>
        <v>294.57089926309249</v>
      </c>
      <c r="AO66" s="62">
        <f t="shared" si="36"/>
        <v>221.0956883062172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7.2</v>
      </c>
      <c r="BD66" s="13">
        <f>IF('Données projet'!$A$88&gt;35,BD65+BC66-BL65,IF(A66&lt;'Données projet'!$A$88,$BA$205^A66,IF(A66='Données projet'!$A$88,'Données projet'!$B$88,BD65+BC66-BL65)))</f>
        <v>214.59999999999994</v>
      </c>
      <c r="BE66" s="14">
        <f>BD66*VLOOKUP('Données projet'!$B$11,Paramètres!$A$1:$I$89,3,0)*VLOOKUP('Données projet'!$B$11,Paramètres!$A$1:$I$89,5,0)</f>
        <v>194.17007999999996</v>
      </c>
      <c r="BF66" s="14">
        <f t="shared" si="37"/>
        <v>48.460730182351035</v>
      </c>
      <c r="BG66" s="22">
        <f t="shared" si="7"/>
        <v>422.5819944009279</v>
      </c>
      <c r="BH66" s="62">
        <f t="shared" si="8"/>
        <v>715.91532773426115</v>
      </c>
      <c r="BI66" s="62">
        <f ca="1">AVERAGE(OFFSET($BH$3,0,0,'Données projet'!$E$11+1,1))-AVERAGE(OFFSET($H$3,0,0,'Données projet'!$E$11+1,1))</f>
        <v>312.29553270286209</v>
      </c>
      <c r="BJ66" s="62">
        <f t="shared" si="38"/>
        <v>175.8423124483154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4.3399999999999981</v>
      </c>
      <c r="BY66" s="13">
        <f>IF('Données projet'!$A$114&gt;35,BY65+BX66-CG65,IF(A66&lt;'Données projet'!$A$114,$BV$205^A66,IF(A66='Données projet'!$A$114,'Données projet'!$B$114,BY65+BX66-CG65)))</f>
        <v>246.12000000000012</v>
      </c>
      <c r="BZ66" s="14">
        <f>BY66*VLOOKUP('Données projet'!$B$12,Paramètres!$A$1:$I$89,3,0)*VLOOKUP('Données projet'!$B$12,Paramètres!$A$1:$I$89,5,0)</f>
        <v>180.45518400000009</v>
      </c>
      <c r="CA66" s="14">
        <f t="shared" si="39"/>
        <v>45.423441329766014</v>
      </c>
      <c r="CB66" s="22">
        <f t="shared" si="10"/>
        <v>393.40527244934259</v>
      </c>
      <c r="CC66" s="62">
        <f t="shared" si="11"/>
        <v>686.7386057826759</v>
      </c>
      <c r="CD66" s="62">
        <f ca="1">AVERAGE(OFFSET($CC$3,0,0,'Données projet'!$E$12+1,1))-AVERAGE(OFFSET($H$3,0,0,'Données projet'!$E$12+1,1))</f>
        <v>217.14170654868826</v>
      </c>
      <c r="CE66" s="62">
        <f t="shared" si="40"/>
        <v>202.59844364241644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31.615999999999989</v>
      </c>
      <c r="D67" s="12">
        <f t="shared" si="32"/>
        <v>9.7469743223436929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319.293135119846</v>
      </c>
      <c r="H67" s="70">
        <f t="shared" si="1"/>
        <v>365.37384694474855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9.5</v>
      </c>
      <c r="N67" s="14">
        <f>IF('Données projet'!$A$36&gt;35,N66+M67-V66,IF(A67&lt;'Données projet'!$A$36,$K$205^A67,IF(A67='Données projet'!$A$36,'Données projet'!$B$36,N66+M67-V66)))</f>
        <v>307.00000000000028</v>
      </c>
      <c r="O67" s="14">
        <f>N67*VLOOKUP('Données projet'!$B$9,Paramètres!$A$1:$I$89,3,0)*VLOOKUP('Données projet'!$B$9,Paramètres!$A$1:$I$89,5,0)</f>
        <v>175.60400000000018</v>
      </c>
      <c r="P67" s="14">
        <f t="shared" si="33"/>
        <v>44.342754213843108</v>
      </c>
      <c r="Q67" s="22">
        <f t="shared" ref="Q67:Q98" si="54">(O67+P67)*0.475*44/12</f>
        <v>383.07393025577704</v>
      </c>
      <c r="R67" s="62">
        <f t="shared" ref="R67:R130" si="55">Q67+(I67+J67)*44/12</f>
        <v>676.40726358911036</v>
      </c>
      <c r="S67" s="62">
        <f ca="1">AVERAGE(OFFSET($R$3,0,0,'Données projet'!$E$9+1,1))-AVERAGE(OFFSET($H$3,0,0,'Données projet'!$E$9+1,1))</f>
        <v>183.98573418698061</v>
      </c>
      <c r="T67" s="62">
        <f t="shared" si="34"/>
        <v>158.42298722045609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16.625</v>
      </c>
      <c r="AI67" s="14">
        <f>IF('Données projet'!$A$62&gt;35,AI66+AH67-AQ66,IF(A67&lt;'Données projet'!$A$62,$AF$205^A67,IF(A67='Données projet'!$A$62,'Données projet'!$B$62,AI66+AH67-AQ66)))</f>
        <v>461.74999999999994</v>
      </c>
      <c r="AJ67" s="14">
        <f>AI67*VLOOKUP('Données projet'!$B$10,Paramètres!$A$1:$I$89,3,0)*VLOOKUP('Données projet'!$B$10,Paramètres!$A$1:$I$89,5,0)</f>
        <v>276.12649999999996</v>
      </c>
      <c r="AK67" s="14">
        <f t="shared" si="35"/>
        <v>66.147764494536574</v>
      </c>
      <c r="AL67" s="22">
        <f t="shared" si="4"/>
        <v>596.12767732798443</v>
      </c>
      <c r="AM67" s="62">
        <f t="shared" si="5"/>
        <v>889.46101066131769</v>
      </c>
      <c r="AN67" s="62">
        <f ca="1">AVERAGE(OFFSET($AM$3,0,0,'Données projet'!$E$10+1,1))-AVERAGE(OFFSET($H$3,0,0,'Données projet'!$E$10+1,1))</f>
        <v>294.57089926309249</v>
      </c>
      <c r="AO67" s="62">
        <f t="shared" si="36"/>
        <v>221.0956883062172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7.2</v>
      </c>
      <c r="BD67" s="13">
        <f>IF('Données projet'!$A$88&gt;35,BD66+BC67-BL66,IF(A67&lt;'Données projet'!$A$88,$BA$205^A67,IF(A67='Données projet'!$A$88,'Données projet'!$B$88,BD66+BC67-BL66)))</f>
        <v>221.79999999999993</v>
      </c>
      <c r="BE67" s="14">
        <f>BD67*VLOOKUP('Données projet'!$B$11,Paramètres!$A$1:$I$89,3,0)*VLOOKUP('Données projet'!$B$11,Paramètres!$A$1:$I$89,5,0)</f>
        <v>200.68463999999992</v>
      </c>
      <c r="BF67" s="14">
        <f t="shared" si="37"/>
        <v>49.894600936700193</v>
      </c>
      <c r="BG67" s="22">
        <f t="shared" si="7"/>
        <v>436.42551129808606</v>
      </c>
      <c r="BH67" s="62">
        <f t="shared" si="8"/>
        <v>729.75884463141938</v>
      </c>
      <c r="BI67" s="62">
        <f ca="1">AVERAGE(OFFSET($BH$3,0,0,'Données projet'!$E$11+1,1))-AVERAGE(OFFSET($H$3,0,0,'Données projet'!$E$11+1,1))</f>
        <v>312.29553270286209</v>
      </c>
      <c r="BJ67" s="62">
        <f t="shared" si="38"/>
        <v>175.8423124483154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4.3399999999999981</v>
      </c>
      <c r="BY67" s="13">
        <f>IF('Données projet'!$A$114&gt;35,BY66+BX67-CG66,IF(A67&lt;'Données projet'!$A$114,$BV$205^A67,IF(A67='Données projet'!$A$114,'Données projet'!$B$114,BY66+BX67-CG66)))</f>
        <v>250.46000000000012</v>
      </c>
      <c r="BZ67" s="14">
        <f>BY67*VLOOKUP('Données projet'!$B$12,Paramètres!$A$1:$I$89,3,0)*VLOOKUP('Données projet'!$B$12,Paramètres!$A$1:$I$89,5,0)</f>
        <v>183.63727200000011</v>
      </c>
      <c r="CA67" s="14">
        <f t="shared" si="39"/>
        <v>46.130467563413795</v>
      </c>
      <c r="CB67" s="22">
        <f t="shared" si="10"/>
        <v>400.17881307294584</v>
      </c>
      <c r="CC67" s="62">
        <f t="shared" si="11"/>
        <v>693.51214640627916</v>
      </c>
      <c r="CD67" s="62">
        <f ca="1">AVERAGE(OFFSET($CC$3,0,0,'Données projet'!$E$12+1,1))-AVERAGE(OFFSET($H$3,0,0,'Données projet'!$E$12+1,1))</f>
        <v>217.14170654868826</v>
      </c>
      <c r="CE67" s="62">
        <f t="shared" si="40"/>
        <v>202.59844364241644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32.109999999999992</v>
      </c>
      <c r="D68" s="12">
        <f t="shared" si="32"/>
        <v>9.8814218184748146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324.14430877419147</v>
      </c>
      <c r="H68" s="70">
        <f t="shared" ref="H68:H131" si="56">(B68+E68+F68)*44/12+(C68+D68)*0.475*44/12</f>
        <v>366.46839300051028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9.5</v>
      </c>
      <c r="N68" s="14">
        <f>IF('Données projet'!$A$36&gt;35,N67+M68-V67,IF(A68&lt;'Données projet'!$A$36,$K$205^A68,IF(A68='Données projet'!$A$36,'Données projet'!$B$36,N67+M68-V67)))</f>
        <v>316.50000000000028</v>
      </c>
      <c r="O68" s="14">
        <f>N68*VLOOKUP('Données projet'!$B$9,Paramètres!$A$1:$I$89,3,0)*VLOOKUP('Données projet'!$B$9,Paramètres!$A$1:$I$89,5,0)</f>
        <v>181.03800000000018</v>
      </c>
      <c r="P68" s="14">
        <f t="shared" si="33"/>
        <v>45.553044701671425</v>
      </c>
      <c r="Q68" s="22">
        <f t="shared" si="54"/>
        <v>394.64606952207805</v>
      </c>
      <c r="R68" s="62">
        <f t="shared" si="55"/>
        <v>687.97940285541131</v>
      </c>
      <c r="S68" s="62">
        <f ca="1">AVERAGE(OFFSET($R$3,0,0,'Données projet'!$E$9+1,1))-AVERAGE(OFFSET($H$3,0,0,'Données projet'!$E$9+1,1))</f>
        <v>183.98573418698061</v>
      </c>
      <c r="T68" s="62">
        <f t="shared" si="34"/>
        <v>158.42298722045609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16.625</v>
      </c>
      <c r="AI68" s="14">
        <f>IF('Données projet'!$A$62&gt;35,AI67+AH68-AQ67,IF(A68&lt;'Données projet'!$A$62,$AF$205^A68,IF(A68='Données projet'!$A$62,'Données projet'!$B$62,AI67+AH68-AQ67)))</f>
        <v>478.37499999999994</v>
      </c>
      <c r="AJ68" s="14">
        <f>AI68*VLOOKUP('Données projet'!$B$10,Paramètres!$A$1:$I$89,3,0)*VLOOKUP('Données projet'!$B$10,Paramètres!$A$1:$I$89,5,0)</f>
        <v>286.06824999999998</v>
      </c>
      <c r="AK68" s="14">
        <f t="shared" si="35"/>
        <v>68.247799922382825</v>
      </c>
      <c r="AL68" s="22">
        <f t="shared" ref="AL68:AL131" si="58">(AJ68+AK68)*0.475*44/12</f>
        <v>617.10045361481673</v>
      </c>
      <c r="AM68" s="62">
        <f t="shared" ref="AM68:AM131" si="59">AL68+(AD68+AE68)*44/12</f>
        <v>910.4337869481501</v>
      </c>
      <c r="AN68" s="62">
        <f ca="1">AVERAGE(OFFSET($AM$3,0,0,'Données projet'!$E$10+1,1))-AVERAGE(OFFSET($H$3,0,0,'Données projet'!$E$10+1,1))</f>
        <v>294.57089926309249</v>
      </c>
      <c r="AO68" s="62">
        <f t="shared" si="36"/>
        <v>221.0956883062172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229</v>
      </c>
      <c r="BB68" s="13">
        <f>VLOOKUP(A68,'Données projet'!$A$87:$I$107,9,0)</f>
        <v>7.2</v>
      </c>
      <c r="BC68" s="13">
        <f t="array" ref="BC68">INDEX(BB:BB,MIN(IF(ISNUMBER(BB68:BB264),ROW(BB68:BB264),"")))</f>
        <v>7.2</v>
      </c>
      <c r="BD68" s="13">
        <f>IF('Données projet'!$A$88&gt;35,BD67+BC68-BL67,IF(A68&lt;'Données projet'!$A$88,$BA$205^A68,IF(A68='Données projet'!$A$88,'Données projet'!$B$88,BD67+BC68-BL67)))</f>
        <v>228.99999999999991</v>
      </c>
      <c r="BE68" s="14">
        <f>BD68*VLOOKUP('Données projet'!$B$11,Paramètres!$A$1:$I$89,3,0)*VLOOKUP('Données projet'!$B$11,Paramètres!$A$1:$I$89,5,0)</f>
        <v>207.19919999999991</v>
      </c>
      <c r="BF68" s="14">
        <f t="shared" si="37"/>
        <v>51.3230629736655</v>
      </c>
      <c r="BG68" s="22">
        <f t="shared" ref="BG68:BG131" si="61">(BE68+BF68)*0.475*44/12</f>
        <v>450.25960801246725</v>
      </c>
      <c r="BH68" s="62">
        <f t="shared" ref="BH68:BH131" si="62">BG68+(AY68+AZ68)*44/12</f>
        <v>743.59294134580057</v>
      </c>
      <c r="BI68" s="62">
        <f ca="1">AVERAGE(OFFSET($BH$3,0,0,'Données projet'!$E$11+1,1))-AVERAGE(OFFSET($H$3,0,0,'Données projet'!$E$11+1,1))</f>
        <v>312.29553270286209</v>
      </c>
      <c r="BJ68" s="62">
        <f t="shared" si="38"/>
        <v>175.8423124483154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254.8</v>
      </c>
      <c r="BW68" s="13">
        <f>VLOOKUP(A68,'Données projet'!$A$113:$I$133,9,0)</f>
        <v>4.3399999999999981</v>
      </c>
      <c r="BX68" s="13">
        <f t="array" ref="BX68">INDEX(BW:BW,MIN(IF(ISNUMBER(BW68:BW264),ROW(BW68:BW264),"")))</f>
        <v>4.3399999999999981</v>
      </c>
      <c r="BY68" s="13">
        <f>IF('Données projet'!$A$114&gt;35,BY67+BX68-CG67,IF(A68&lt;'Données projet'!$A$114,$BV$205^A68,IF(A68='Données projet'!$A$114,'Données projet'!$B$114,BY67+BX68-CG67)))</f>
        <v>254.80000000000013</v>
      </c>
      <c r="BZ68" s="14">
        <f>BY68*VLOOKUP('Données projet'!$B$12,Paramètres!$A$1:$I$89,3,0)*VLOOKUP('Données projet'!$B$12,Paramètres!$A$1:$I$89,5,0)</f>
        <v>186.8193600000001</v>
      </c>
      <c r="CA68" s="14">
        <f t="shared" si="39"/>
        <v>46.836069092125975</v>
      </c>
      <c r="CB68" s="22">
        <f t="shared" ref="CB68:CB131" si="64">(BZ68+CA68)*0.475*44/12</f>
        <v>406.94987233545288</v>
      </c>
      <c r="CC68" s="62">
        <f t="shared" ref="CC68:CC131" si="65">CB68+(BT68+BU68)*44/12</f>
        <v>700.2832056687862</v>
      </c>
      <c r="CD68" s="62">
        <f ca="1">AVERAGE(OFFSET($CC$3,0,0,'Données projet'!$E$12+1,1))-AVERAGE(OFFSET($H$3,0,0,'Données projet'!$E$12+1,1))</f>
        <v>217.14170654868826</v>
      </c>
      <c r="CE68" s="62">
        <f t="shared" si="40"/>
        <v>202.59844364241644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32.603999999999992</v>
      </c>
      <c r="D69" s="12">
        <f t="shared" ref="D69:D132" si="86">IFERROR(EXP(-1.0587+0.8836*LN(C69)+0.284),0)</f>
        <v>10.015628755581478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328.99362548168159</v>
      </c>
      <c r="H69" s="70">
        <f t="shared" si="56"/>
        <v>367.56252008263772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9.5</v>
      </c>
      <c r="N69" s="14">
        <f>IF('Données projet'!$A$36&gt;35,N68+M69-V68,IF(A69&lt;'Données projet'!$A$36,$K$205^A69,IF(A69='Données projet'!$A$36,'Données projet'!$B$36,N68+M69-V68)))</f>
        <v>326.00000000000028</v>
      </c>
      <c r="O69" s="14">
        <f>N69*VLOOKUP('Données projet'!$B$9,Paramètres!$A$1:$I$89,3,0)*VLOOKUP('Données projet'!$B$9,Paramètres!$A$1:$I$89,5,0)</f>
        <v>186.47200000000018</v>
      </c>
      <c r="P69" s="14">
        <f t="shared" ref="P69:P132" si="87">EXP(-1.0587+0.8836*LN(O69)+0.284)</f>
        <v>46.759113338100882</v>
      </c>
      <c r="Q69" s="22">
        <f t="shared" si="54"/>
        <v>406.21085573052602</v>
      </c>
      <c r="R69" s="62">
        <f t="shared" si="55"/>
        <v>699.54418906385933</v>
      </c>
      <c r="S69" s="62">
        <f ca="1">AVERAGE(OFFSET($R$3,0,0,'Données projet'!$E$9+1,1))-AVERAGE(OFFSET($H$3,0,0,'Données projet'!$E$9+1,1))</f>
        <v>183.98573418698061</v>
      </c>
      <c r="T69" s="62">
        <f t="shared" ref="T69:T132" si="88">$T$3</f>
        <v>158.42298722045609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>
        <f>VLOOKUP(A69,'Données projet'!$A$61:$I$81,2,0)</f>
        <v>495</v>
      </c>
      <c r="AG69" s="13">
        <f>VLOOKUP(A69,'Données projet'!$A$61:$I$81,9,0)</f>
        <v>16.625</v>
      </c>
      <c r="AH69" s="13">
        <f t="array" ref="AH69">INDEX(AG:AG,MIN(IF(ISNUMBER(AG69:AG265),ROW(AG69:AG265),"")))</f>
        <v>16.625</v>
      </c>
      <c r="AI69" s="14">
        <f>IF('Données projet'!$A$62&gt;35,AI68+AH69-AQ68,IF(A69&lt;'Données projet'!$A$62,$AF$205^A69,IF(A69='Données projet'!$A$62,'Données projet'!$B$62,AI68+AH69-AQ68)))</f>
        <v>494.99999999999994</v>
      </c>
      <c r="AJ69" s="14">
        <f>AI69*VLOOKUP('Données projet'!$B$10,Paramètres!$A$1:$I$89,3,0)*VLOOKUP('Données projet'!$B$10,Paramètres!$A$1:$I$89,5,0)</f>
        <v>296.01</v>
      </c>
      <c r="AK69" s="14">
        <f t="shared" ref="AK69:AK132" si="89">EXP(-1.0587+0.8836*LN(AJ69)+0.284)</f>
        <v>70.339355522692159</v>
      </c>
      <c r="AL69" s="22">
        <f t="shared" si="58"/>
        <v>638.05846086868871</v>
      </c>
      <c r="AM69" s="62">
        <f t="shared" si="59"/>
        <v>931.39179420202208</v>
      </c>
      <c r="AN69" s="62">
        <f ca="1">AVERAGE(OFFSET($AM$3,0,0,'Données projet'!$E$10+1,1))-AVERAGE(OFFSET($H$3,0,0,'Données projet'!$E$10+1,1))</f>
        <v>294.57089926309249</v>
      </c>
      <c r="AO69" s="62">
        <f t="shared" ref="AO69:AO132" si="90">$AO$3</f>
        <v>221.0956883062172</v>
      </c>
      <c r="AP69" s="16">
        <f>IF(ISNA(VLOOKUP(A69,'Données projet'!$A$61:$I$81,3,0)),0,VLOOKUP(A69,'Données projet'!$A$61:$I$81,3,0))</f>
        <v>8</v>
      </c>
      <c r="AQ69" s="16">
        <f>IF(ISNA(VLOOKUP(A69,'Données projet'!$A$61:$I$81,4,0)),0,VLOOKUP(A69,'Données projet'!$A$61:$I$81,4,0))</f>
        <v>65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6.8</v>
      </c>
      <c r="BD69" s="13">
        <f>IF('Données projet'!$A$88&gt;35,BD68+BC69-BL68,IF(A69&lt;'Données projet'!$A$88,$BA$205^A69,IF(A69='Données projet'!$A$88,'Données projet'!$B$88,BD68+BC69-BL68)))</f>
        <v>235.79999999999993</v>
      </c>
      <c r="BE69" s="14">
        <f>BD69*VLOOKUP('Données projet'!$B$11,Paramètres!$A$1:$I$89,3,0)*VLOOKUP('Données projet'!$B$11,Paramètres!$A$1:$I$89,5,0)</f>
        <v>213.35183999999992</v>
      </c>
      <c r="BF69" s="14">
        <f t="shared" ref="BF69:BF132" si="91">EXP(-1.0587+0.8836*LN(BE69)+0.284)</f>
        <v>52.667370665417188</v>
      </c>
      <c r="BG69" s="22">
        <f t="shared" si="61"/>
        <v>463.31679190893482</v>
      </c>
      <c r="BH69" s="62">
        <f t="shared" si="62"/>
        <v>756.65012524226813</v>
      </c>
      <c r="BI69" s="62">
        <f ca="1">AVERAGE(OFFSET($BH$3,0,0,'Données projet'!$E$11+1,1))-AVERAGE(OFFSET($H$3,0,0,'Données projet'!$E$11+1,1))</f>
        <v>312.29553270286209</v>
      </c>
      <c r="BJ69" s="62">
        <f t="shared" ref="BJ69:BJ132" si="92">$BJ$3</f>
        <v>175.8423124483154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3.7599999999999909</v>
      </c>
      <c r="BY69" s="13">
        <f>IF('Données projet'!$A$114&gt;35,BY68+BX69-CG68,IF(A69&lt;'Données projet'!$A$114,$BV$205^A69,IF(A69='Données projet'!$A$114,'Données projet'!$B$114,BY68+BX69-CG68)))</f>
        <v>258.56000000000012</v>
      </c>
      <c r="BZ69" s="14">
        <f>BY69*VLOOKUP('Données projet'!$B$12,Paramètres!$A$1:$I$89,3,0)*VLOOKUP('Données projet'!$B$12,Paramètres!$A$1:$I$89,5,0)</f>
        <v>189.57619200000008</v>
      </c>
      <c r="CA69" s="14">
        <f t="shared" ref="CA69:CA132" si="93">EXP(-1.0587+0.8836*LN(BZ69)+0.284)</f>
        <v>47.446242745856559</v>
      </c>
      <c r="CB69" s="22">
        <f t="shared" si="64"/>
        <v>412.8140738490336</v>
      </c>
      <c r="CC69" s="62">
        <f t="shared" si="65"/>
        <v>706.14740718236692</v>
      </c>
      <c r="CD69" s="62">
        <f ca="1">AVERAGE(OFFSET($CC$3,0,0,'Données projet'!$E$12+1,1))-AVERAGE(OFFSET($H$3,0,0,'Données projet'!$E$12+1,1))</f>
        <v>217.14170654868826</v>
      </c>
      <c r="CE69" s="62">
        <f t="shared" ref="CE69:CE132" si="94">$CE$3</f>
        <v>202.59844364241644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33.097999999999992</v>
      </c>
      <c r="D70" s="12">
        <f t="shared" si="86"/>
        <v>10.149599199483195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333.84111662758954</v>
      </c>
      <c r="H70" s="70">
        <f t="shared" si="56"/>
        <v>368.65623527243321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9.5</v>
      </c>
      <c r="N70" s="14">
        <f>IF('Données projet'!$A$36&gt;35,N69+M70-V69,IF(A70&lt;'Données projet'!$A$36,$K$205^A70,IF(A70='Données projet'!$A$36,'Données projet'!$B$36,N69+M70-V69)))</f>
        <v>335.50000000000028</v>
      </c>
      <c r="O70" s="14">
        <f>N70*VLOOKUP('Données projet'!$B$9,Paramètres!$A$1:$I$89,3,0)*VLOOKUP('Données projet'!$B$9,Paramètres!$A$1:$I$89,5,0)</f>
        <v>191.90600000000015</v>
      </c>
      <c r="P70" s="14">
        <f t="shared" si="87"/>
        <v>47.961097279832373</v>
      </c>
      <c r="Q70" s="22">
        <f t="shared" si="54"/>
        <v>417.76852776237496</v>
      </c>
      <c r="R70" s="62">
        <f t="shared" si="55"/>
        <v>711.10186109570827</v>
      </c>
      <c r="S70" s="62">
        <f ca="1">AVERAGE(OFFSET($R$3,0,0,'Données projet'!$E$9+1,1))-AVERAGE(OFFSET($H$3,0,0,'Données projet'!$E$9+1,1))</f>
        <v>183.98573418698061</v>
      </c>
      <c r="T70" s="62">
        <f t="shared" si="88"/>
        <v>158.42298722045609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12.875</v>
      </c>
      <c r="AI70" s="14">
        <f>IF('Données projet'!$A$62&gt;35,AI69+AH70-AQ69,IF(A70&lt;'Données projet'!$A$62,$AF$205^A70,IF(A70='Données projet'!$A$62,'Données projet'!$B$62,AI69+AH70-AQ69)))</f>
        <v>442.87499999999994</v>
      </c>
      <c r="AJ70" s="14">
        <f>AI70*VLOOKUP('Données projet'!$B$10,Paramètres!$A$1:$I$89,3,0)*VLOOKUP('Données projet'!$B$10,Paramètres!$A$1:$I$89,5,0)</f>
        <v>264.83924999999999</v>
      </c>
      <c r="AK70" s="14">
        <f t="shared" si="89"/>
        <v>63.752800756768096</v>
      </c>
      <c r="AL70" s="22">
        <f t="shared" si="58"/>
        <v>572.29782173470437</v>
      </c>
      <c r="AM70" s="62">
        <f t="shared" si="59"/>
        <v>865.63115506803774</v>
      </c>
      <c r="AN70" s="62">
        <f ca="1">AVERAGE(OFFSET($AM$3,0,0,'Données projet'!$E$10+1,1))-AVERAGE(OFFSET($H$3,0,0,'Données projet'!$E$10+1,1))</f>
        <v>294.57089926309249</v>
      </c>
      <c r="AO70" s="62">
        <f t="shared" si="90"/>
        <v>221.0956883062172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6.8</v>
      </c>
      <c r="BD70" s="13">
        <f>IF('Données projet'!$A$88&gt;35,BD69+BC70-BL69,IF(A70&lt;'Données projet'!$A$88,$BA$205^A70,IF(A70='Données projet'!$A$88,'Données projet'!$B$88,BD69+BC70-BL69)))</f>
        <v>242.59999999999994</v>
      </c>
      <c r="BE70" s="14">
        <f>BD70*VLOOKUP('Données projet'!$B$11,Paramètres!$A$1:$I$89,3,0)*VLOOKUP('Données projet'!$B$11,Paramètres!$A$1:$I$89,5,0)</f>
        <v>219.50447999999992</v>
      </c>
      <c r="BF70" s="14">
        <f t="shared" si="91"/>
        <v>54.007172767040167</v>
      </c>
      <c r="BG70" s="22">
        <f t="shared" si="61"/>
        <v>476.36612856926143</v>
      </c>
      <c r="BH70" s="62">
        <f t="shared" si="62"/>
        <v>769.69946190259475</v>
      </c>
      <c r="BI70" s="62">
        <f ca="1">AVERAGE(OFFSET($BH$3,0,0,'Données projet'!$E$11+1,1))-AVERAGE(OFFSET($H$3,0,0,'Données projet'!$E$11+1,1))</f>
        <v>312.29553270286209</v>
      </c>
      <c r="BJ70" s="62">
        <f t="shared" si="92"/>
        <v>175.8423124483154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3.7599999999999909</v>
      </c>
      <c r="BY70" s="13">
        <f>IF('Données projet'!$A$114&gt;35,BY69+BX70-CG69,IF(A70&lt;'Données projet'!$A$114,$BV$205^A70,IF(A70='Données projet'!$A$114,'Données projet'!$B$114,BY69+BX70-CG69)))</f>
        <v>262.32000000000011</v>
      </c>
      <c r="BZ70" s="14">
        <f>BY70*VLOOKUP('Données projet'!$B$12,Paramètres!$A$1:$I$89,3,0)*VLOOKUP('Données projet'!$B$12,Paramètres!$A$1:$I$89,5,0)</f>
        <v>192.33302400000008</v>
      </c>
      <c r="CA70" s="14">
        <f t="shared" si="93"/>
        <v>48.055384395041912</v>
      </c>
      <c r="CB70" s="22">
        <f t="shared" si="64"/>
        <v>418.6764779546981</v>
      </c>
      <c r="CC70" s="62">
        <f t="shared" si="65"/>
        <v>712.00981128803141</v>
      </c>
      <c r="CD70" s="62">
        <f ca="1">AVERAGE(OFFSET($CC$3,0,0,'Données projet'!$E$12+1,1))-AVERAGE(OFFSET($H$3,0,0,'Données projet'!$E$12+1,1))</f>
        <v>217.14170654868826</v>
      </c>
      <c r="CE70" s="62">
        <f t="shared" si="94"/>
        <v>202.59844364241644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33.591999999999992</v>
      </c>
      <c r="D71" s="12">
        <f t="shared" si="86"/>
        <v>10.283337087665418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338.68681260654</v>
      </c>
      <c r="H71" s="70">
        <f t="shared" si="56"/>
        <v>369.74954542768387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9.5</v>
      </c>
      <c r="N71" s="14">
        <f>IF('Données projet'!$A$36&gt;35,N70+M71-V70,IF(A71&lt;'Données projet'!$A$36,$K$205^A71,IF(A71='Données projet'!$A$36,'Données projet'!$B$36,N70+M71-V70)))</f>
        <v>345.00000000000028</v>
      </c>
      <c r="O71" s="14">
        <f>N71*VLOOKUP('Données projet'!$B$9,Paramètres!$A$1:$I$89,3,0)*VLOOKUP('Données projet'!$B$9,Paramètres!$A$1:$I$89,5,0)</f>
        <v>197.34000000000017</v>
      </c>
      <c r="P71" s="14">
        <f t="shared" si="87"/>
        <v>49.15912547427002</v>
      </c>
      <c r="Q71" s="22">
        <f t="shared" si="54"/>
        <v>429.31931020102053</v>
      </c>
      <c r="R71" s="62">
        <f t="shared" si="55"/>
        <v>722.65264353435384</v>
      </c>
      <c r="S71" s="62">
        <f ca="1">AVERAGE(OFFSET($R$3,0,0,'Données projet'!$E$9+1,1))-AVERAGE(OFFSET($H$3,0,0,'Données projet'!$E$9+1,1))</f>
        <v>183.98573418698061</v>
      </c>
      <c r="T71" s="62">
        <f t="shared" si="88"/>
        <v>158.42298722045609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12.875</v>
      </c>
      <c r="AI71" s="14">
        <f>IF('Données projet'!$A$62&gt;35,AI70+AH71-AQ70,IF(A71&lt;'Données projet'!$A$62,$AF$205^A71,IF(A71='Données projet'!$A$62,'Données projet'!$B$62,AI70+AH71-AQ70)))</f>
        <v>455.74999999999994</v>
      </c>
      <c r="AJ71" s="14">
        <f>AI71*VLOOKUP('Données projet'!$B$10,Paramètres!$A$1:$I$89,3,0)*VLOOKUP('Données projet'!$B$10,Paramètres!$A$1:$I$89,5,0)</f>
        <v>272.5385</v>
      </c>
      <c r="AK71" s="14">
        <f t="shared" si="89"/>
        <v>65.387709293034902</v>
      </c>
      <c r="AL71" s="22">
        <f t="shared" si="58"/>
        <v>588.55481451870241</v>
      </c>
      <c r="AM71" s="62">
        <f t="shared" si="59"/>
        <v>881.88814785203567</v>
      </c>
      <c r="AN71" s="62">
        <f ca="1">AVERAGE(OFFSET($AM$3,0,0,'Données projet'!$E$10+1,1))-AVERAGE(OFFSET($H$3,0,0,'Données projet'!$E$10+1,1))</f>
        <v>294.57089926309249</v>
      </c>
      <c r="AO71" s="62">
        <f t="shared" si="90"/>
        <v>221.0956883062172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6.8</v>
      </c>
      <c r="BD71" s="13">
        <f>IF('Données projet'!$A$88&gt;35,BD70+BC71-BL70,IF(A71&lt;'Données projet'!$A$88,$BA$205^A71,IF(A71='Données projet'!$A$88,'Données projet'!$B$88,BD70+BC71-BL70)))</f>
        <v>249.39999999999995</v>
      </c>
      <c r="BE71" s="14">
        <f>BD71*VLOOKUP('Données projet'!$B$11,Paramètres!$A$1:$I$89,3,0)*VLOOKUP('Données projet'!$B$11,Paramètres!$A$1:$I$89,5,0)</f>
        <v>225.65711999999994</v>
      </c>
      <c r="BF71" s="14">
        <f t="shared" si="91"/>
        <v>55.342610076561513</v>
      </c>
      <c r="BG71" s="22">
        <f t="shared" si="61"/>
        <v>489.40786321667775</v>
      </c>
      <c r="BH71" s="62">
        <f t="shared" si="62"/>
        <v>782.74119655001107</v>
      </c>
      <c r="BI71" s="62">
        <f ca="1">AVERAGE(OFFSET($BH$3,0,0,'Données projet'!$E$11+1,1))-AVERAGE(OFFSET($H$3,0,0,'Données projet'!$E$11+1,1))</f>
        <v>312.29553270286209</v>
      </c>
      <c r="BJ71" s="62">
        <f t="shared" si="92"/>
        <v>175.8423124483154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3.7599999999999909</v>
      </c>
      <c r="BY71" s="13">
        <f>IF('Données projet'!$A$114&gt;35,BY70+BX71-CG70,IF(A71&lt;'Données projet'!$A$114,$BV$205^A71,IF(A71='Données projet'!$A$114,'Données projet'!$B$114,BY70+BX71-CG70)))</f>
        <v>266.0800000000001</v>
      </c>
      <c r="BZ71" s="14">
        <f>BY71*VLOOKUP('Données projet'!$B$12,Paramètres!$A$1:$I$89,3,0)*VLOOKUP('Données projet'!$B$12,Paramètres!$A$1:$I$89,5,0)</f>
        <v>195.08985600000005</v>
      </c>
      <c r="CA71" s="14">
        <f t="shared" si="93"/>
        <v>48.663510541263612</v>
      </c>
      <c r="CB71" s="22">
        <f t="shared" si="64"/>
        <v>424.53711339270086</v>
      </c>
      <c r="CC71" s="62">
        <f t="shared" si="65"/>
        <v>717.87044672603417</v>
      </c>
      <c r="CD71" s="62">
        <f ca="1">AVERAGE(OFFSET($CC$3,0,0,'Données projet'!$E$12+1,1))-AVERAGE(OFFSET($H$3,0,0,'Données projet'!$E$12+1,1))</f>
        <v>217.14170654868826</v>
      </c>
      <c r="CE71" s="62">
        <f t="shared" si="94"/>
        <v>202.59844364241644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34.085999999999991</v>
      </c>
      <c r="D72" s="12">
        <f t="shared" si="86"/>
        <v>10.41684623515679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343.53074286787688</v>
      </c>
      <c r="H72" s="70">
        <f t="shared" si="56"/>
        <v>370.84245719289805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9.5</v>
      </c>
      <c r="N72" s="14">
        <f>IF('Données projet'!$A$36&gt;35,N71+M72-V71,IF(A72&lt;'Données projet'!$A$36,$K$205^A72,IF(A72='Données projet'!$A$36,'Données projet'!$B$36,N71+M72-V71)))</f>
        <v>354.50000000000028</v>
      </c>
      <c r="O72" s="14">
        <f>N72*VLOOKUP('Données projet'!$B$9,Paramètres!$A$1:$I$89,3,0)*VLOOKUP('Données projet'!$B$9,Paramètres!$A$1:$I$89,5,0)</f>
        <v>202.77400000000017</v>
      </c>
      <c r="P72" s="14">
        <f t="shared" si="87"/>
        <v>50.353319363225992</v>
      </c>
      <c r="Q72" s="22">
        <f t="shared" si="54"/>
        <v>440.86341455761885</v>
      </c>
      <c r="R72" s="62">
        <f t="shared" si="55"/>
        <v>734.19674789095211</v>
      </c>
      <c r="S72" s="62">
        <f ca="1">AVERAGE(OFFSET($R$3,0,0,'Données projet'!$E$9+1,1))-AVERAGE(OFFSET($H$3,0,0,'Données projet'!$E$9+1,1))</f>
        <v>183.98573418698061</v>
      </c>
      <c r="T72" s="62">
        <f t="shared" si="88"/>
        <v>158.42298722045609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12.875</v>
      </c>
      <c r="AI72" s="14">
        <f>IF('Données projet'!$A$62&gt;35,AI71+AH72-AQ71,IF(A72&lt;'Données projet'!$A$62,$AF$205^A72,IF(A72='Données projet'!$A$62,'Données projet'!$B$62,AI71+AH72-AQ71)))</f>
        <v>468.62499999999994</v>
      </c>
      <c r="AJ72" s="14">
        <f>AI72*VLOOKUP('Données projet'!$B$10,Paramètres!$A$1:$I$89,3,0)*VLOOKUP('Données projet'!$B$10,Paramètres!$A$1:$I$89,5,0)</f>
        <v>280.23775000000001</v>
      </c>
      <c r="AK72" s="14">
        <f t="shared" si="89"/>
        <v>67.017249808465152</v>
      </c>
      <c r="AL72" s="22">
        <f t="shared" si="58"/>
        <v>604.80245799974352</v>
      </c>
      <c r="AM72" s="62">
        <f t="shared" si="59"/>
        <v>898.1357913330769</v>
      </c>
      <c r="AN72" s="62">
        <f ca="1">AVERAGE(OFFSET($AM$3,0,0,'Données projet'!$E$10+1,1))-AVERAGE(OFFSET($H$3,0,0,'Données projet'!$E$10+1,1))</f>
        <v>294.57089926309249</v>
      </c>
      <c r="AO72" s="62">
        <f t="shared" si="90"/>
        <v>221.0956883062172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6.8</v>
      </c>
      <c r="BD72" s="13">
        <f>IF('Données projet'!$A$88&gt;35,BD71+BC72-BL71,IF(A72&lt;'Données projet'!$A$88,$BA$205^A72,IF(A72='Données projet'!$A$88,'Données projet'!$B$88,BD71+BC72-BL71)))</f>
        <v>256.19999999999993</v>
      </c>
      <c r="BE72" s="14">
        <f>BD72*VLOOKUP('Données projet'!$B$11,Paramètres!$A$1:$I$89,3,0)*VLOOKUP('Données projet'!$B$11,Paramètres!$A$1:$I$89,5,0)</f>
        <v>231.80975999999993</v>
      </c>
      <c r="BF72" s="14">
        <f t="shared" si="91"/>
        <v>56.673815277159328</v>
      </c>
      <c r="BG72" s="22">
        <f t="shared" si="61"/>
        <v>502.44222694105241</v>
      </c>
      <c r="BH72" s="62">
        <f t="shared" si="62"/>
        <v>795.77556027438573</v>
      </c>
      <c r="BI72" s="62">
        <f ca="1">AVERAGE(OFFSET($BH$3,0,0,'Données projet'!$E$11+1,1))-AVERAGE(OFFSET($H$3,0,0,'Données projet'!$E$11+1,1))</f>
        <v>312.29553270286209</v>
      </c>
      <c r="BJ72" s="62">
        <f t="shared" si="92"/>
        <v>175.8423124483154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3.7599999999999909</v>
      </c>
      <c r="BY72" s="13">
        <f>IF('Données projet'!$A$114&gt;35,BY71+BX72-CG71,IF(A72&lt;'Données projet'!$A$114,$BV$205^A72,IF(A72='Données projet'!$A$114,'Données projet'!$B$114,BY71+BX72-CG71)))</f>
        <v>269.84000000000009</v>
      </c>
      <c r="BZ72" s="14">
        <f>BY72*VLOOKUP('Données projet'!$B$12,Paramètres!$A$1:$I$89,3,0)*VLOOKUP('Données projet'!$B$12,Paramètres!$A$1:$I$89,5,0)</f>
        <v>197.84668800000006</v>
      </c>
      <c r="CA72" s="14">
        <f t="shared" si="93"/>
        <v>49.270637192946445</v>
      </c>
      <c r="CB72" s="22">
        <f t="shared" si="64"/>
        <v>430.39600804438186</v>
      </c>
      <c r="CC72" s="62">
        <f t="shared" si="65"/>
        <v>723.72934137771517</v>
      </c>
      <c r="CD72" s="62">
        <f ca="1">AVERAGE(OFFSET($CC$3,0,0,'Données projet'!$E$12+1,1))-AVERAGE(OFFSET($H$3,0,0,'Données projet'!$E$12+1,1))</f>
        <v>217.14170654868826</v>
      </c>
      <c r="CE72" s="62">
        <f t="shared" si="94"/>
        <v>202.59844364241644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34.579999999999991</v>
      </c>
      <c r="D73" s="12">
        <f t="shared" si="86"/>
        <v>10.550130340056088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348.37293595832762</v>
      </c>
      <c r="H73" s="70">
        <f t="shared" si="56"/>
        <v>371.93497700893096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364</v>
      </c>
      <c r="L73" s="13">
        <f>VLOOKUP(A73,'Données projet'!$A$35:$I$55,9,0)</f>
        <v>9.5</v>
      </c>
      <c r="M73" s="13">
        <f t="array" ref="M73">INDEX(L:L,MIN(IF(ISNUMBER(L73:L269),ROW(L73:L269),"")))</f>
        <v>9.5</v>
      </c>
      <c r="N73" s="14">
        <f>IF('Données projet'!$A$36&gt;35,N72+M73-V72,IF(A73&lt;'Données projet'!$A$36,$K$205^A73,IF(A73='Données projet'!$A$36,'Données projet'!$B$36,N72+M73-V72)))</f>
        <v>364.00000000000028</v>
      </c>
      <c r="O73" s="14">
        <f>N73*VLOOKUP('Données projet'!$B$9,Paramètres!$A$1:$I$89,3,0)*VLOOKUP('Données projet'!$B$9,Paramètres!$A$1:$I$89,5,0)</f>
        <v>208.2080000000002</v>
      </c>
      <c r="P73" s="14">
        <f t="shared" si="87"/>
        <v>51.543793509070333</v>
      </c>
      <c r="Q73" s="22">
        <f t="shared" si="54"/>
        <v>452.40104036163115</v>
      </c>
      <c r="R73" s="62">
        <f t="shared" si="55"/>
        <v>745.73437369496446</v>
      </c>
      <c r="S73" s="62">
        <f ca="1">AVERAGE(OFFSET($R$3,0,0,'Données projet'!$E$9+1,1))-AVERAGE(OFFSET($H$3,0,0,'Données projet'!$E$9+1,1))</f>
        <v>183.98573418698061</v>
      </c>
      <c r="T73" s="62">
        <f t="shared" si="88"/>
        <v>158.42298722045609</v>
      </c>
      <c r="U73" s="16">
        <f>IF(ISNA(VLOOKUP(A73,'Données projet'!$A$35:$I$55,3,0)),0,VLOOKUP(A73,'Données projet'!$A$35:$I$55,3,0))</f>
        <v>6</v>
      </c>
      <c r="V73" s="16">
        <f>IF(ISNA(VLOOKUP(A73,'Données projet'!$A$35:$I$55,4,0)),0,VLOOKUP(A73,'Données projet'!$A$35:$I$55,4,0))</f>
        <v>52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12.875</v>
      </c>
      <c r="AI73" s="14">
        <f>IF('Données projet'!$A$62&gt;35,AI72+AH73-AQ72,IF(A73&lt;'Données projet'!$A$62,$AF$205^A73,IF(A73='Données projet'!$A$62,'Données projet'!$B$62,AI72+AH73-AQ72)))</f>
        <v>481.49999999999994</v>
      </c>
      <c r="AJ73" s="14">
        <f>AI73*VLOOKUP('Données projet'!$B$10,Paramètres!$A$1:$I$89,3,0)*VLOOKUP('Données projet'!$B$10,Paramètres!$A$1:$I$89,5,0)</f>
        <v>287.93700000000001</v>
      </c>
      <c r="AK73" s="14">
        <f t="shared" si="89"/>
        <v>68.641586729718156</v>
      </c>
      <c r="AL73" s="22">
        <f t="shared" si="58"/>
        <v>621.04103855425899</v>
      </c>
      <c r="AM73" s="62">
        <f t="shared" si="59"/>
        <v>914.37437188759236</v>
      </c>
      <c r="AN73" s="62">
        <f ca="1">AVERAGE(OFFSET($AM$3,0,0,'Données projet'!$E$10+1,1))-AVERAGE(OFFSET($H$3,0,0,'Données projet'!$E$10+1,1))</f>
        <v>294.57089926309249</v>
      </c>
      <c r="AO73" s="62">
        <f t="shared" si="90"/>
        <v>221.0956883062172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263</v>
      </c>
      <c r="BB73" s="13">
        <f>VLOOKUP(A73,'Données projet'!$A$87:$I$107,9,0)</f>
        <v>6.8</v>
      </c>
      <c r="BC73" s="13">
        <f t="array" ref="BC73">INDEX(BB:BB,MIN(IF(ISNUMBER(BB73:BB269),ROW(BB73:BB269),"")))</f>
        <v>6.8</v>
      </c>
      <c r="BD73" s="13">
        <f>IF('Données projet'!$A$88&gt;35,BD72+BC73-BL72,IF(A73&lt;'Données projet'!$A$88,$BA$205^A73,IF(A73='Données projet'!$A$88,'Données projet'!$B$88,BD72+BC73-BL72)))</f>
        <v>262.99999999999994</v>
      </c>
      <c r="BE73" s="14">
        <f>BD73*VLOOKUP('Données projet'!$B$11,Paramètres!$A$1:$I$89,3,0)*VLOOKUP('Données projet'!$B$11,Paramètres!$A$1:$I$89,5,0)</f>
        <v>237.96239999999995</v>
      </c>
      <c r="BF73" s="14">
        <f t="shared" si="91"/>
        <v>58.00091360766335</v>
      </c>
      <c r="BG73" s="22">
        <f t="shared" si="61"/>
        <v>515.4694378666801</v>
      </c>
      <c r="BH73" s="62">
        <f t="shared" si="62"/>
        <v>808.80277120001347</v>
      </c>
      <c r="BI73" s="62">
        <f ca="1">AVERAGE(OFFSET($BH$3,0,0,'Données projet'!$E$11+1,1))-AVERAGE(OFFSET($H$3,0,0,'Données projet'!$E$11+1,1))</f>
        <v>312.29553270286209</v>
      </c>
      <c r="BJ73" s="62">
        <f t="shared" si="92"/>
        <v>175.8423124483154</v>
      </c>
      <c r="BK73" s="16">
        <f>IF(ISNA(VLOOKUP(A73,'Données projet'!$A$87:$I$107,3,0)),0,VLOOKUP(A73,'Données projet'!$A$87:$I$107,3,0))</f>
        <v>5</v>
      </c>
      <c r="BL73" s="16">
        <f>IF(ISNA(VLOOKUP(A73,'Données projet'!$A$87:$I$107,4,0)),0,VLOOKUP(A73,'Données projet'!$A$87:$I$107,4,0))</f>
        <v>42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273.59999999999997</v>
      </c>
      <c r="BW73" s="13">
        <f>VLOOKUP(A73,'Données projet'!$A$113:$I$133,9,0)</f>
        <v>3.7599999999999909</v>
      </c>
      <c r="BX73" s="13">
        <f t="array" ref="BX73">INDEX(BW:BW,MIN(IF(ISNUMBER(BW73:BW269),ROW(BW73:BW269),"")))</f>
        <v>3.7599999999999909</v>
      </c>
      <c r="BY73" s="13">
        <f>IF('Données projet'!$A$114&gt;35,BY72+BX73-CG72,IF(A73&lt;'Données projet'!$A$114,$BV$205^A73,IF(A73='Données projet'!$A$114,'Données projet'!$B$114,BY72+BX73-CG72)))</f>
        <v>273.60000000000008</v>
      </c>
      <c r="BZ73" s="14">
        <f>BY73*VLOOKUP('Données projet'!$B$12,Paramètres!$A$1:$I$89,3,0)*VLOOKUP('Données projet'!$B$12,Paramètres!$A$1:$I$89,5,0)</f>
        <v>200.60352000000006</v>
      </c>
      <c r="CA73" s="14">
        <f t="shared" si="93"/>
        <v>49.87677988675906</v>
      </c>
      <c r="CB73" s="22">
        <f t="shared" si="64"/>
        <v>436.25318896943878</v>
      </c>
      <c r="CC73" s="62">
        <f t="shared" si="65"/>
        <v>729.5865223027721</v>
      </c>
      <c r="CD73" s="62">
        <f ca="1">AVERAGE(OFFSET($CC$3,0,0,'Données projet'!$E$12+1,1))-AVERAGE(OFFSET($H$3,0,0,'Données projet'!$E$12+1,1))</f>
        <v>217.14170654868826</v>
      </c>
      <c r="CE73" s="62">
        <f t="shared" si="94"/>
        <v>202.59844364241644</v>
      </c>
      <c r="CF73" s="16">
        <f>IF(ISNA(VLOOKUP(A73,'Données projet'!$A$113:$I$133,3,0)),0,VLOOKUP(A73,'Données projet'!$A$113:$I$133,3,0))</f>
        <v>6</v>
      </c>
      <c r="CG73" s="16">
        <f>IF(ISNA(VLOOKUP(A73,'Données projet'!$A$113:$I$133,4,0)),0,VLOOKUP(A73,'Données projet'!$A$113:$I$133,4,0))</f>
        <v>20.9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35.073999999999991</v>
      </c>
      <c r="D74" s="12">
        <f t="shared" si="86"/>
        <v>10.683192988734277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353.21341956215929</v>
      </c>
      <c r="H74" s="70">
        <f t="shared" si="56"/>
        <v>373.02711112204548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8.3000000000000007</v>
      </c>
      <c r="N74" s="14">
        <f>IF('Données projet'!$A$36&gt;35,N73+M74-V73,IF(A74&lt;'Données projet'!$A$36,$K$205^A74,IF(A74='Données projet'!$A$36,'Données projet'!$B$36,N73+M74-V73)))</f>
        <v>320.3000000000003</v>
      </c>
      <c r="O74" s="14">
        <f>N74*VLOOKUP('Données projet'!$B$9,Paramètres!$A$1:$I$89,3,0)*VLOOKUP('Données projet'!$B$9,Paramètres!$A$1:$I$89,5,0)</f>
        <v>183.21160000000017</v>
      </c>
      <c r="P74" s="14">
        <f t="shared" si="87"/>
        <v>46.035970904955342</v>
      </c>
      <c r="Q74" s="22">
        <f t="shared" si="54"/>
        <v>399.27285265946421</v>
      </c>
      <c r="R74" s="62">
        <f t="shared" si="55"/>
        <v>692.60618599279746</v>
      </c>
      <c r="S74" s="62">
        <f ca="1">AVERAGE(OFFSET($R$3,0,0,'Données projet'!$E$9+1,1))-AVERAGE(OFFSET($H$3,0,0,'Données projet'!$E$9+1,1))</f>
        <v>183.98573418698061</v>
      </c>
      <c r="T74" s="62">
        <f t="shared" si="88"/>
        <v>158.42298722045609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12.875</v>
      </c>
      <c r="AI74" s="14">
        <f>IF('Données projet'!$A$62&gt;35,AI73+AH74-AQ73,IF(A74&lt;'Données projet'!$A$62,$AF$205^A74,IF(A74='Données projet'!$A$62,'Données projet'!$B$62,AI73+AH74-AQ73)))</f>
        <v>494.37499999999994</v>
      </c>
      <c r="AJ74" s="14">
        <f>AI74*VLOOKUP('Données projet'!$B$10,Paramètres!$A$1:$I$89,3,0)*VLOOKUP('Données projet'!$B$10,Paramètres!$A$1:$I$89,5,0)</f>
        <v>295.63625000000002</v>
      </c>
      <c r="AK74" s="14">
        <f t="shared" si="89"/>
        <v>70.260875189476423</v>
      </c>
      <c r="AL74" s="22">
        <f t="shared" si="58"/>
        <v>637.27082637167155</v>
      </c>
      <c r="AM74" s="62">
        <f t="shared" si="59"/>
        <v>930.6041597050048</v>
      </c>
      <c r="AN74" s="62">
        <f ca="1">AVERAGE(OFFSET($AM$3,0,0,'Données projet'!$E$10+1,1))-AVERAGE(OFFSET($H$3,0,0,'Données projet'!$E$10+1,1))</f>
        <v>294.57089926309249</v>
      </c>
      <c r="AO74" s="62">
        <f t="shared" si="90"/>
        <v>221.0956883062172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6.2</v>
      </c>
      <c r="BD74" s="13">
        <f>IF('Données projet'!$A$88&gt;35,BD73+BC74-BL73,IF(A74&lt;'Données projet'!$A$88,$BA$205^A74,IF(A74='Données projet'!$A$88,'Données projet'!$B$88,BD73+BC74-BL73)))</f>
        <v>227.19999999999993</v>
      </c>
      <c r="BE74" s="14">
        <f>BD74*VLOOKUP('Données projet'!$B$11,Paramètres!$A$1:$I$89,3,0)*VLOOKUP('Données projet'!$B$11,Paramètres!$A$1:$I$89,5,0)</f>
        <v>205.57055999999994</v>
      </c>
      <c r="BF74" s="14">
        <f t="shared" si="91"/>
        <v>50.966443946767392</v>
      </c>
      <c r="BG74" s="22">
        <f t="shared" si="61"/>
        <v>446.80194854061978</v>
      </c>
      <c r="BH74" s="62">
        <f t="shared" si="62"/>
        <v>740.13528187395309</v>
      </c>
      <c r="BI74" s="62">
        <f ca="1">AVERAGE(OFFSET($BH$3,0,0,'Données projet'!$E$11+1,1))-AVERAGE(OFFSET($H$3,0,0,'Données projet'!$E$11+1,1))</f>
        <v>312.29553270286209</v>
      </c>
      <c r="BJ74" s="62">
        <f t="shared" si="92"/>
        <v>175.8423124483154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3.4000000000000172</v>
      </c>
      <c r="BY74" s="13">
        <f>IF('Données projet'!$A$114&gt;35,BY73+BX74-CG73,IF(A74&lt;'Données projet'!$A$114,$BV$205^A74,IF(A74='Données projet'!$A$114,'Données projet'!$B$114,BY73+BX74-CG73)))</f>
        <v>256.10000000000014</v>
      </c>
      <c r="BZ74" s="14">
        <f>BY74*VLOOKUP('Données projet'!$B$12,Paramètres!$A$1:$I$89,3,0)*VLOOKUP('Données projet'!$B$12,Paramètres!$A$1:$I$89,5,0)</f>
        <v>187.7725200000001</v>
      </c>
      <c r="CA74" s="14">
        <f t="shared" si="93"/>
        <v>47.047151159984438</v>
      </c>
      <c r="CB74" s="22">
        <f t="shared" si="64"/>
        <v>408.97759393697305</v>
      </c>
      <c r="CC74" s="62">
        <f t="shared" si="65"/>
        <v>702.31092727030637</v>
      </c>
      <c r="CD74" s="62">
        <f ca="1">AVERAGE(OFFSET($CC$3,0,0,'Données projet'!$E$12+1,1))-AVERAGE(OFFSET($H$3,0,0,'Données projet'!$E$12+1,1))</f>
        <v>217.14170654868826</v>
      </c>
      <c r="CE74" s="62">
        <f t="shared" si="94"/>
        <v>202.59844364241644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35.567999999999991</v>
      </c>
      <c r="D75" s="12">
        <f t="shared" si="86"/>
        <v>10.816037660735203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358.05222053900849</v>
      </c>
      <c r="H75" s="70">
        <f t="shared" si="56"/>
        <v>374.11886559244709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8.3000000000000007</v>
      </c>
      <c r="N75" s="14">
        <f>IF('Données projet'!$A$36&gt;35,N74+M75-V74,IF(A75&lt;'Données projet'!$A$36,$K$205^A75,IF(A75='Données projet'!$A$36,'Données projet'!$B$36,N74+M75-V74)))</f>
        <v>328.60000000000031</v>
      </c>
      <c r="O75" s="14">
        <f>N75*VLOOKUP('Données projet'!$B$9,Paramètres!$A$1:$I$89,3,0)*VLOOKUP('Données projet'!$B$9,Paramètres!$A$1:$I$89,5,0)</f>
        <v>187.95920000000021</v>
      </c>
      <c r="P75" s="14">
        <f t="shared" si="87"/>
        <v>47.088477759834049</v>
      </c>
      <c r="Q75" s="22">
        <f t="shared" si="54"/>
        <v>409.37470543171133</v>
      </c>
      <c r="R75" s="62">
        <f t="shared" si="55"/>
        <v>702.70803876504465</v>
      </c>
      <c r="S75" s="62">
        <f ca="1">AVERAGE(OFFSET($R$3,0,0,'Données projet'!$E$9+1,1))-AVERAGE(OFFSET($H$3,0,0,'Données projet'!$E$9+1,1))</f>
        <v>183.98573418698061</v>
      </c>
      <c r="T75" s="62">
        <f t="shared" si="88"/>
        <v>158.42298722045609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12.875</v>
      </c>
      <c r="AI75" s="14">
        <f>IF('Données projet'!$A$62&gt;35,AI74+AH75-AQ74,IF(A75&lt;'Données projet'!$A$62,$AF$205^A75,IF(A75='Données projet'!$A$62,'Données projet'!$B$62,AI74+AH75-AQ74)))</f>
        <v>507.24999999999994</v>
      </c>
      <c r="AJ75" s="14">
        <f>AI75*VLOOKUP('Données projet'!$B$10,Paramètres!$A$1:$I$89,3,0)*VLOOKUP('Données projet'!$B$10,Paramètres!$A$1:$I$89,5,0)</f>
        <v>303.33549999999997</v>
      </c>
      <c r="AK75" s="14">
        <f t="shared" si="89"/>
        <v>71.875261779950591</v>
      </c>
      <c r="AL75" s="22">
        <f t="shared" si="58"/>
        <v>653.49207676674712</v>
      </c>
      <c r="AM75" s="62">
        <f t="shared" si="59"/>
        <v>946.82541010008049</v>
      </c>
      <c r="AN75" s="62">
        <f ca="1">AVERAGE(OFFSET($AM$3,0,0,'Données projet'!$E$10+1,1))-AVERAGE(OFFSET($H$3,0,0,'Données projet'!$E$10+1,1))</f>
        <v>294.57089926309249</v>
      </c>
      <c r="AO75" s="62">
        <f t="shared" si="90"/>
        <v>221.0956883062172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6.2</v>
      </c>
      <c r="BD75" s="13">
        <f>IF('Données projet'!$A$88&gt;35,BD74+BC75-BL74,IF(A75&lt;'Données projet'!$A$88,$BA$205^A75,IF(A75='Données projet'!$A$88,'Données projet'!$B$88,BD74+BC75-BL74)))</f>
        <v>233.39999999999992</v>
      </c>
      <c r="BE75" s="14">
        <f>BD75*VLOOKUP('Données projet'!$B$11,Paramètres!$A$1:$I$89,3,0)*VLOOKUP('Données projet'!$B$11,Paramètres!$A$1:$I$89,5,0)</f>
        <v>211.18031999999994</v>
      </c>
      <c r="BF75" s="14">
        <f t="shared" si="91"/>
        <v>52.193431117443019</v>
      </c>
      <c r="BG75" s="22">
        <f t="shared" si="61"/>
        <v>458.70928319621316</v>
      </c>
      <c r="BH75" s="62">
        <f t="shared" si="62"/>
        <v>752.04261652954642</v>
      </c>
      <c r="BI75" s="62">
        <f ca="1">AVERAGE(OFFSET($BH$3,0,0,'Données projet'!$E$11+1,1))-AVERAGE(OFFSET($H$3,0,0,'Données projet'!$E$11+1,1))</f>
        <v>312.29553270286209</v>
      </c>
      <c r="BJ75" s="62">
        <f t="shared" si="92"/>
        <v>175.8423124483154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3.4000000000000172</v>
      </c>
      <c r="BY75" s="13">
        <f>IF('Données projet'!$A$114&gt;35,BY74+BX75-CG74,IF(A75&lt;'Données projet'!$A$114,$BV$205^A75,IF(A75='Données projet'!$A$114,'Données projet'!$B$114,BY74+BX75-CG74)))</f>
        <v>259.50000000000017</v>
      </c>
      <c r="BZ75" s="14">
        <f>BY75*VLOOKUP('Données projet'!$B$12,Paramètres!$A$1:$I$89,3,0)*VLOOKUP('Données projet'!$B$12,Paramètres!$A$1:$I$89,5,0)</f>
        <v>190.26540000000011</v>
      </c>
      <c r="CA75" s="14">
        <f t="shared" si="93"/>
        <v>47.598624255349414</v>
      </c>
      <c r="CB75" s="22">
        <f t="shared" si="64"/>
        <v>414.2798422447338</v>
      </c>
      <c r="CC75" s="62">
        <f t="shared" si="65"/>
        <v>707.61317557806706</v>
      </c>
      <c r="CD75" s="62">
        <f ca="1">AVERAGE(OFFSET($CC$3,0,0,'Données projet'!$E$12+1,1))-AVERAGE(OFFSET($H$3,0,0,'Données projet'!$E$12+1,1))</f>
        <v>217.14170654868826</v>
      </c>
      <c r="CE75" s="62">
        <f t="shared" si="94"/>
        <v>202.59844364241644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36.061999999999991</v>
      </c>
      <c r="D76" s="12">
        <f t="shared" si="86"/>
        <v>10.948667733396306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362.88936495955039</v>
      </c>
      <c r="H76" s="70">
        <f t="shared" si="56"/>
        <v>375.21024630233188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8.3000000000000007</v>
      </c>
      <c r="N76" s="14">
        <f>IF('Données projet'!$A$36&gt;35,N75+M76-V75,IF(A76&lt;'Données projet'!$A$36,$K$205^A76,IF(A76='Données projet'!$A$36,'Données projet'!$B$36,N75+M76-V75)))</f>
        <v>336.90000000000032</v>
      </c>
      <c r="O76" s="14">
        <f>N76*VLOOKUP('Données projet'!$B$9,Paramètres!$A$1:$I$89,3,0)*VLOOKUP('Données projet'!$B$9,Paramètres!$A$1:$I$89,5,0)</f>
        <v>192.70680000000019</v>
      </c>
      <c r="P76" s="14">
        <f t="shared" si="87"/>
        <v>48.137894326591152</v>
      </c>
      <c r="Q76" s="22">
        <f t="shared" si="54"/>
        <v>419.47117595214655</v>
      </c>
      <c r="R76" s="62">
        <f t="shared" si="55"/>
        <v>712.80450928547987</v>
      </c>
      <c r="S76" s="62">
        <f ca="1">AVERAGE(OFFSET($R$3,0,0,'Données projet'!$E$9+1,1))-AVERAGE(OFFSET($H$3,0,0,'Données projet'!$E$9+1,1))</f>
        <v>183.98573418698061</v>
      </c>
      <c r="T76" s="62">
        <f t="shared" si="88"/>
        <v>158.42298722045609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12.875</v>
      </c>
      <c r="AI76" s="14">
        <f>IF('Données projet'!$A$62&gt;35,AI75+AH76-AQ75,IF(A76&lt;'Données projet'!$A$62,$AF$205^A76,IF(A76='Données projet'!$A$62,'Données projet'!$B$62,AI75+AH76-AQ75)))</f>
        <v>520.125</v>
      </c>
      <c r="AJ76" s="14">
        <f>AI76*VLOOKUP('Données projet'!$B$10,Paramètres!$A$1:$I$89,3,0)*VLOOKUP('Données projet'!$B$10,Paramètres!$A$1:$I$89,5,0)</f>
        <v>311.03475000000003</v>
      </c>
      <c r="AK76" s="14">
        <f t="shared" si="89"/>
        <v>73.484885227728896</v>
      </c>
      <c r="AL76" s="22">
        <f t="shared" si="58"/>
        <v>669.70503135496119</v>
      </c>
      <c r="AM76" s="62">
        <f t="shared" si="59"/>
        <v>963.03836468829445</v>
      </c>
      <c r="AN76" s="62">
        <f ca="1">AVERAGE(OFFSET($AM$3,0,0,'Données projet'!$E$10+1,1))-AVERAGE(OFFSET($H$3,0,0,'Données projet'!$E$10+1,1))</f>
        <v>294.57089926309249</v>
      </c>
      <c r="AO76" s="62">
        <f t="shared" si="90"/>
        <v>221.0956883062172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6.2</v>
      </c>
      <c r="BD76" s="13">
        <f>IF('Données projet'!$A$88&gt;35,BD75+BC76-BL75,IF(A76&lt;'Données projet'!$A$88,$BA$205^A76,IF(A76='Données projet'!$A$88,'Données projet'!$B$88,BD75+BC76-BL75)))</f>
        <v>239.59999999999991</v>
      </c>
      <c r="BE76" s="14">
        <f>BD76*VLOOKUP('Données projet'!$B$11,Paramètres!$A$1:$I$89,3,0)*VLOOKUP('Données projet'!$B$11,Paramètres!$A$1:$I$89,5,0)</f>
        <v>216.7900799999999</v>
      </c>
      <c r="BF76" s="14">
        <f t="shared" si="91"/>
        <v>53.416629794462551</v>
      </c>
      <c r="BG76" s="22">
        <f t="shared" si="61"/>
        <v>470.61001955868869</v>
      </c>
      <c r="BH76" s="62">
        <f t="shared" si="62"/>
        <v>763.94335289202195</v>
      </c>
      <c r="BI76" s="62">
        <f ca="1">AVERAGE(OFFSET($BH$3,0,0,'Données projet'!$E$11+1,1))-AVERAGE(OFFSET($H$3,0,0,'Données projet'!$E$11+1,1))</f>
        <v>312.29553270286209</v>
      </c>
      <c r="BJ76" s="62">
        <f t="shared" si="92"/>
        <v>175.8423124483154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3.4000000000000172</v>
      </c>
      <c r="BY76" s="13">
        <f>IF('Données projet'!$A$114&gt;35,BY75+BX76-CG75,IF(A76&lt;'Données projet'!$A$114,$BV$205^A76,IF(A76='Données projet'!$A$114,'Données projet'!$B$114,BY75+BX76-CG75)))</f>
        <v>262.9000000000002</v>
      </c>
      <c r="BZ76" s="14">
        <f>BY76*VLOOKUP('Données projet'!$B$12,Paramètres!$A$1:$I$89,3,0)*VLOOKUP('Données projet'!$B$12,Paramètres!$A$1:$I$89,5,0)</f>
        <v>192.75828000000016</v>
      </c>
      <c r="CA76" s="14">
        <f t="shared" si="93"/>
        <v>48.149256922008618</v>
      </c>
      <c r="CB76" s="22">
        <f t="shared" si="64"/>
        <v>419.58062680583197</v>
      </c>
      <c r="CC76" s="62">
        <f t="shared" si="65"/>
        <v>712.91396013916528</v>
      </c>
      <c r="CD76" s="62">
        <f ca="1">AVERAGE(OFFSET($CC$3,0,0,'Données projet'!$E$12+1,1))-AVERAGE(OFFSET($H$3,0,0,'Données projet'!$E$12+1,1))</f>
        <v>217.14170654868826</v>
      </c>
      <c r="CE76" s="62">
        <f t="shared" si="94"/>
        <v>202.59844364241644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36.55599999999999</v>
      </c>
      <c r="D77" s="12">
        <f t="shared" si="86"/>
        <v>11.081086486208886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367.72487813915626</v>
      </c>
      <c r="H77" s="70">
        <f t="shared" si="56"/>
        <v>376.30125896348045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8.3000000000000007</v>
      </c>
      <c r="N77" s="14">
        <f>IF('Données projet'!$A$36&gt;35,N76+M77-V76,IF(A77&lt;'Données projet'!$A$36,$K$205^A77,IF(A77='Données projet'!$A$36,'Données projet'!$B$36,N76+M77-V76)))</f>
        <v>345.20000000000033</v>
      </c>
      <c r="O77" s="14">
        <f>N77*VLOOKUP('Données projet'!$B$9,Paramètres!$A$1:$I$89,3,0)*VLOOKUP('Données projet'!$B$9,Paramètres!$A$1:$I$89,5,0)</f>
        <v>197.45440000000019</v>
      </c>
      <c r="P77" s="14">
        <f t="shared" si="87"/>
        <v>49.184305496332875</v>
      </c>
      <c r="Q77" s="22">
        <f t="shared" si="54"/>
        <v>429.56241207278009</v>
      </c>
      <c r="R77" s="62">
        <f t="shared" si="55"/>
        <v>722.89574540611341</v>
      </c>
      <c r="S77" s="62">
        <f ca="1">AVERAGE(OFFSET($R$3,0,0,'Données projet'!$E$9+1,1))-AVERAGE(OFFSET($H$3,0,0,'Données projet'!$E$9+1,1))</f>
        <v>183.98573418698061</v>
      </c>
      <c r="T77" s="62">
        <f t="shared" si="88"/>
        <v>158.42298722045609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>
        <f>VLOOKUP(A77,'Données projet'!$A$61:$I$81,2,0)</f>
        <v>533</v>
      </c>
      <c r="AG77" s="13">
        <f>VLOOKUP(A77,'Données projet'!$A$61:$I$81,9,0)</f>
        <v>12.875</v>
      </c>
      <c r="AH77" s="13">
        <f t="array" ref="AH77">INDEX(AG:AG,MIN(IF(ISNUMBER(AG77:AG273),ROW(AG77:AG273),"")))</f>
        <v>12.875</v>
      </c>
      <c r="AI77" s="14">
        <f>IF('Données projet'!$A$62&gt;35,AI76+AH77-AQ76,IF(A77&lt;'Données projet'!$A$62,$AF$205^A77,IF(A77='Données projet'!$A$62,'Données projet'!$B$62,AI76+AH77-AQ76)))</f>
        <v>533</v>
      </c>
      <c r="AJ77" s="14">
        <f>AI77*VLOOKUP('Données projet'!$B$10,Paramètres!$A$1:$I$89,3,0)*VLOOKUP('Données projet'!$B$10,Paramètres!$A$1:$I$89,5,0)</f>
        <v>318.73400000000004</v>
      </c>
      <c r="AK77" s="14">
        <f t="shared" si="89"/>
        <v>75.089876999925679</v>
      </c>
      <c r="AL77" s="22">
        <f t="shared" si="58"/>
        <v>685.90991910820378</v>
      </c>
      <c r="AM77" s="62">
        <f t="shared" si="59"/>
        <v>979.24325244153715</v>
      </c>
      <c r="AN77" s="62">
        <f ca="1">AVERAGE(OFFSET($AM$3,0,0,'Données projet'!$E$10+1,1))-AVERAGE(OFFSET($H$3,0,0,'Données projet'!$E$10+1,1))</f>
        <v>294.57089926309249</v>
      </c>
      <c r="AO77" s="62">
        <f t="shared" si="90"/>
        <v>221.0956883062172</v>
      </c>
      <c r="AP77" s="16">
        <f>IF(ISNA(VLOOKUP(A77,'Données projet'!$A$61:$I$81,3,0)),0,VLOOKUP(A77,'Données projet'!$A$61:$I$81,3,0))</f>
        <v>9</v>
      </c>
      <c r="AQ77" s="16">
        <f>IF(ISNA(VLOOKUP(A77,'Données projet'!$A$61:$I$81,4,0)),0,VLOOKUP(A77,'Données projet'!$A$61:$I$81,4,0))</f>
        <v>37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6.2</v>
      </c>
      <c r="BD77" s="13">
        <f>IF('Données projet'!$A$88&gt;35,BD76+BC77-BL76,IF(A77&lt;'Données projet'!$A$88,$BA$205^A77,IF(A77='Données projet'!$A$88,'Données projet'!$B$88,BD76+BC77-BL76)))</f>
        <v>245.7999999999999</v>
      </c>
      <c r="BE77" s="14">
        <f>BD77*VLOOKUP('Données projet'!$B$11,Paramètres!$A$1:$I$89,3,0)*VLOOKUP('Données projet'!$B$11,Paramètres!$A$1:$I$89,5,0)</f>
        <v>222.3998399999999</v>
      </c>
      <c r="BF77" s="14">
        <f t="shared" si="91"/>
        <v>54.636149281681448</v>
      </c>
      <c r="BG77" s="22">
        <f t="shared" si="61"/>
        <v>482.50434799892832</v>
      </c>
      <c r="BH77" s="62">
        <f t="shared" si="62"/>
        <v>775.83768133226158</v>
      </c>
      <c r="BI77" s="62">
        <f ca="1">AVERAGE(OFFSET($BH$3,0,0,'Données projet'!$E$11+1,1))-AVERAGE(OFFSET($H$3,0,0,'Données projet'!$E$11+1,1))</f>
        <v>312.29553270286209</v>
      </c>
      <c r="BJ77" s="62">
        <f t="shared" si="92"/>
        <v>175.8423124483154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3.4000000000000172</v>
      </c>
      <c r="BY77" s="13">
        <f>IF('Données projet'!$A$114&gt;35,BY76+BX77-CG76,IF(A77&lt;'Données projet'!$A$114,$BV$205^A77,IF(A77='Données projet'!$A$114,'Données projet'!$B$114,BY76+BX77-CG76)))</f>
        <v>266.30000000000024</v>
      </c>
      <c r="BZ77" s="14">
        <f>BY77*VLOOKUP('Données projet'!$B$12,Paramètres!$A$1:$I$89,3,0)*VLOOKUP('Données projet'!$B$12,Paramètres!$A$1:$I$89,5,0)</f>
        <v>195.25116000000017</v>
      </c>
      <c r="CA77" s="14">
        <f t="shared" si="93"/>
        <v>48.699061285654452</v>
      </c>
      <c r="CB77" s="22">
        <f t="shared" si="64"/>
        <v>424.87996873918178</v>
      </c>
      <c r="CC77" s="62">
        <f t="shared" si="65"/>
        <v>718.21330207251503</v>
      </c>
      <c r="CD77" s="62">
        <f ca="1">AVERAGE(OFFSET($CC$3,0,0,'Données projet'!$E$12+1,1))-AVERAGE(OFFSET($H$3,0,0,'Données projet'!$E$12+1,1))</f>
        <v>217.14170654868826</v>
      </c>
      <c r="CE77" s="62">
        <f t="shared" si="94"/>
        <v>202.59844364241644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37.04999999999999</v>
      </c>
      <c r="D78" s="12">
        <f t="shared" si="86"/>
        <v>11.21329710493602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372.55878466968147</v>
      </c>
      <c r="H78" s="70">
        <f t="shared" si="56"/>
        <v>377.39190912443019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8.3000000000000007</v>
      </c>
      <c r="N78" s="14">
        <f>IF('Données projet'!$A$36&gt;35,N77+M78-V77,IF(A78&lt;'Données projet'!$A$36,$K$205^A78,IF(A78='Données projet'!$A$36,'Données projet'!$B$36,N77+M78-V77)))</f>
        <v>353.50000000000034</v>
      </c>
      <c r="O78" s="14">
        <f>N78*VLOOKUP('Données projet'!$B$9,Paramètres!$A$1:$I$89,3,0)*VLOOKUP('Données projet'!$B$9,Paramètres!$A$1:$I$89,5,0)</f>
        <v>202.20200000000023</v>
      </c>
      <c r="P78" s="14">
        <f t="shared" si="87"/>
        <v>50.227791845116791</v>
      </c>
      <c r="Q78" s="22">
        <f t="shared" si="54"/>
        <v>439.64855413024543</v>
      </c>
      <c r="R78" s="62">
        <f t="shared" si="55"/>
        <v>732.98188746357869</v>
      </c>
      <c r="S78" s="62">
        <f ca="1">AVERAGE(OFFSET($R$3,0,0,'Données projet'!$E$9+1,1))-AVERAGE(OFFSET($H$3,0,0,'Données projet'!$E$9+1,1))</f>
        <v>183.98573418698061</v>
      </c>
      <c r="T78" s="62">
        <f t="shared" si="88"/>
        <v>158.42298722045609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8.875</v>
      </c>
      <c r="AI78" s="14">
        <f>IF('Données projet'!$A$62&gt;35,AI77+AH78-AQ77,IF(A78&lt;'Données projet'!$A$62,$AF$205^A78,IF(A78='Données projet'!$A$62,'Données projet'!$B$62,AI77+AH78-AQ77)))</f>
        <v>504.875</v>
      </c>
      <c r="AJ78" s="14">
        <f>AI78*VLOOKUP('Données projet'!$B$10,Paramètres!$A$1:$I$89,3,0)*VLOOKUP('Données projet'!$B$10,Paramètres!$A$1:$I$89,5,0)</f>
        <v>301.91525000000001</v>
      </c>
      <c r="AK78" s="14">
        <f t="shared" si="89"/>
        <v>71.577824610045951</v>
      </c>
      <c r="AL78" s="22">
        <f t="shared" si="58"/>
        <v>650.50043827916329</v>
      </c>
      <c r="AM78" s="62">
        <f t="shared" si="59"/>
        <v>943.83377161249655</v>
      </c>
      <c r="AN78" s="62">
        <f ca="1">AVERAGE(OFFSET($AM$3,0,0,'Données projet'!$E$10+1,1))-AVERAGE(OFFSET($H$3,0,0,'Données projet'!$E$10+1,1))</f>
        <v>294.57089926309249</v>
      </c>
      <c r="AO78" s="62">
        <f t="shared" si="90"/>
        <v>221.0956883062172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252</v>
      </c>
      <c r="BB78" s="13">
        <f>VLOOKUP(A78,'Données projet'!$A$87:$I$107,9,0)</f>
        <v>6.2</v>
      </c>
      <c r="BC78" s="13">
        <f t="array" ref="BC78">INDEX(BB:BB,MIN(IF(ISNUMBER(BB78:BB274),ROW(BB78:BB274),"")))</f>
        <v>6.2</v>
      </c>
      <c r="BD78" s="13">
        <f>IF('Données projet'!$A$88&gt;35,BD77+BC78-BL77,IF(A78&lt;'Données projet'!$A$88,$BA$205^A78,IF(A78='Données projet'!$A$88,'Données projet'!$B$88,BD77+BC78-BL77)))</f>
        <v>251.99999999999989</v>
      </c>
      <c r="BE78" s="14">
        <f>BD78*VLOOKUP('Données projet'!$B$11,Paramètres!$A$1:$I$89,3,0)*VLOOKUP('Données projet'!$B$11,Paramètres!$A$1:$I$89,5,0)</f>
        <v>228.00959999999986</v>
      </c>
      <c r="BF78" s="14">
        <f t="shared" si="91"/>
        <v>55.852093054619779</v>
      </c>
      <c r="BG78" s="22">
        <f t="shared" si="61"/>
        <v>494.39244873679587</v>
      </c>
      <c r="BH78" s="62">
        <f t="shared" si="62"/>
        <v>787.72578207012918</v>
      </c>
      <c r="BI78" s="62">
        <f ca="1">AVERAGE(OFFSET($BH$3,0,0,'Données projet'!$E$11+1,1))-AVERAGE(OFFSET($H$3,0,0,'Données projet'!$E$11+1,1))</f>
        <v>312.29553270286209</v>
      </c>
      <c r="BJ78" s="62">
        <f t="shared" si="92"/>
        <v>175.8423124483154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269.70000000000005</v>
      </c>
      <c r="BW78" s="13">
        <f>VLOOKUP(A78,'Données projet'!$A$113:$I$133,9,0)</f>
        <v>3.4000000000000172</v>
      </c>
      <c r="BX78" s="13">
        <f t="array" ref="BX78">INDEX(BW:BW,MIN(IF(ISNUMBER(BW78:BW274),ROW(BW78:BW274),"")))</f>
        <v>3.4000000000000172</v>
      </c>
      <c r="BY78" s="13">
        <f>IF('Données projet'!$A$114&gt;35,BY77+BX78-CG77,IF(A78&lt;'Données projet'!$A$114,$BV$205^A78,IF(A78='Données projet'!$A$114,'Données projet'!$B$114,BY77+BX78-CG77)))</f>
        <v>269.70000000000027</v>
      </c>
      <c r="BZ78" s="14">
        <f>BY78*VLOOKUP('Données projet'!$B$12,Paramètres!$A$1:$I$89,3,0)*VLOOKUP('Données projet'!$B$12,Paramètres!$A$1:$I$89,5,0)</f>
        <v>197.74404000000018</v>
      </c>
      <c r="CA78" s="14">
        <f t="shared" si="93"/>
        <v>49.248049144544709</v>
      </c>
      <c r="CB78" s="22">
        <f t="shared" si="64"/>
        <v>430.17788859341562</v>
      </c>
      <c r="CC78" s="62">
        <f t="shared" si="65"/>
        <v>723.51122192674893</v>
      </c>
      <c r="CD78" s="62">
        <f ca="1">AVERAGE(OFFSET($CC$3,0,0,'Données projet'!$E$12+1,1))-AVERAGE(OFFSET($H$3,0,0,'Données projet'!$E$12+1,1))</f>
        <v>217.14170654868826</v>
      </c>
      <c r="CE78" s="62">
        <f t="shared" si="94"/>
        <v>202.59844364241644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37.54399999999999</v>
      </c>
      <c r="D79" s="12">
        <f t="shared" si="86"/>
        <v>11.345302685504603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377.39110844950909</v>
      </c>
      <c r="H79" s="70">
        <f t="shared" si="56"/>
        <v>378.48220217725378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8.3000000000000007</v>
      </c>
      <c r="N79" s="14">
        <f>IF('Données projet'!$A$36&gt;35,N78+M79-V78,IF(A79&lt;'Données projet'!$A$36,$K$205^A79,IF(A79='Données projet'!$A$36,'Données projet'!$B$36,N78+M79-V78)))</f>
        <v>361.80000000000035</v>
      </c>
      <c r="O79" s="14">
        <f>N79*VLOOKUP('Données projet'!$B$9,Paramètres!$A$1:$I$89,3,0)*VLOOKUP('Données projet'!$B$9,Paramètres!$A$1:$I$89,5,0)</f>
        <v>206.9496000000002</v>
      </c>
      <c r="P79" s="14">
        <f t="shared" si="87"/>
        <v>51.268429949375587</v>
      </c>
      <c r="Q79" s="22">
        <f t="shared" si="54"/>
        <v>449.72973549516286</v>
      </c>
      <c r="R79" s="62">
        <f t="shared" si="55"/>
        <v>743.06306882849617</v>
      </c>
      <c r="S79" s="62">
        <f ca="1">AVERAGE(OFFSET($R$3,0,0,'Données projet'!$E$9+1,1))-AVERAGE(OFFSET($H$3,0,0,'Données projet'!$E$9+1,1))</f>
        <v>183.98573418698061</v>
      </c>
      <c r="T79" s="62">
        <f t="shared" si="88"/>
        <v>158.42298722045609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8.875</v>
      </c>
      <c r="AI79" s="14">
        <f>IF('Données projet'!$A$62&gt;35,AI78+AH79-AQ78,IF(A79&lt;'Données projet'!$A$62,$AF$205^A79,IF(A79='Données projet'!$A$62,'Données projet'!$B$62,AI78+AH79-AQ78)))</f>
        <v>513.75</v>
      </c>
      <c r="AJ79" s="14">
        <f>AI79*VLOOKUP('Données projet'!$B$10,Paramètres!$A$1:$I$89,3,0)*VLOOKUP('Données projet'!$B$10,Paramètres!$A$1:$I$89,5,0)</f>
        <v>307.22250000000003</v>
      </c>
      <c r="AK79" s="14">
        <f t="shared" si="89"/>
        <v>72.68847414066191</v>
      </c>
      <c r="AL79" s="22">
        <f t="shared" si="58"/>
        <v>661.67827996165295</v>
      </c>
      <c r="AM79" s="62">
        <f t="shared" si="59"/>
        <v>955.01161329498632</v>
      </c>
      <c r="AN79" s="62">
        <f ca="1">AVERAGE(OFFSET($AM$3,0,0,'Données projet'!$E$10+1,1))-AVERAGE(OFFSET($H$3,0,0,'Données projet'!$E$10+1,1))</f>
        <v>294.57089926309249</v>
      </c>
      <c r="AO79" s="62">
        <f t="shared" si="90"/>
        <v>221.0956883062172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6</v>
      </c>
      <c r="BD79" s="13">
        <f>IF('Données projet'!$A$88&gt;35,BD78+BC79-BL78,IF(A79&lt;'Données projet'!$A$88,$BA$205^A79,IF(A79='Données projet'!$A$88,'Données projet'!$B$88,BD78+BC79-BL78)))</f>
        <v>257.99999999999989</v>
      </c>
      <c r="BE79" s="14">
        <f>BD79*VLOOKUP('Données projet'!$B$11,Paramètres!$A$1:$I$89,3,0)*VLOOKUP('Données projet'!$B$11,Paramètres!$A$1:$I$89,5,0)</f>
        <v>233.43839999999989</v>
      </c>
      <c r="BF79" s="14">
        <f t="shared" si="91"/>
        <v>57.025500710931624</v>
      </c>
      <c r="BG79" s="22">
        <f t="shared" si="61"/>
        <v>505.89129373820577</v>
      </c>
      <c r="BH79" s="62">
        <f t="shared" si="62"/>
        <v>799.22462707153909</v>
      </c>
      <c r="BI79" s="62">
        <f ca="1">AVERAGE(OFFSET($BH$3,0,0,'Données projet'!$E$11+1,1))-AVERAGE(OFFSET($H$3,0,0,'Données projet'!$E$11+1,1))</f>
        <v>312.29553270286209</v>
      </c>
      <c r="BJ79" s="62">
        <f t="shared" si="92"/>
        <v>175.8423124483154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2.9799999999999955</v>
      </c>
      <c r="BY79" s="13">
        <f>IF('Données projet'!$A$114&gt;35,BY78+BX79-CG78,IF(A79&lt;'Données projet'!$A$114,$BV$205^A79,IF(A79='Données projet'!$A$114,'Données projet'!$B$114,BY78+BX79-CG78)))</f>
        <v>272.68000000000029</v>
      </c>
      <c r="BZ79" s="14">
        <f>BY79*VLOOKUP('Données projet'!$B$12,Paramètres!$A$1:$I$89,3,0)*VLOOKUP('Données projet'!$B$12,Paramètres!$A$1:$I$89,5,0)</f>
        <v>199.9289760000002</v>
      </c>
      <c r="CA79" s="14">
        <f t="shared" si="93"/>
        <v>49.728558477218208</v>
      </c>
      <c r="CB79" s="22">
        <f t="shared" si="64"/>
        <v>434.82020588115535</v>
      </c>
      <c r="CC79" s="62">
        <f t="shared" si="65"/>
        <v>728.15353921448866</v>
      </c>
      <c r="CD79" s="62">
        <f ca="1">AVERAGE(OFFSET($CC$3,0,0,'Données projet'!$E$12+1,1))-AVERAGE(OFFSET($H$3,0,0,'Données projet'!$E$12+1,1))</f>
        <v>217.14170654868826</v>
      </c>
      <c r="CE79" s="62">
        <f t="shared" si="94"/>
        <v>202.59844364241644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38.03799999999999</v>
      </c>
      <c r="D80" s="12">
        <f t="shared" si="86"/>
        <v>11.47710623768668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382.22187271196725</v>
      </c>
      <c r="H80" s="70">
        <f t="shared" si="56"/>
        <v>379.57214336397089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8.3000000000000007</v>
      </c>
      <c r="N80" s="14">
        <f>IF('Données projet'!$A$36&gt;35,N79+M80-V79,IF(A80&lt;'Données projet'!$A$36,$K$205^A80,IF(A80='Données projet'!$A$36,'Données projet'!$B$36,N79+M80-V79)))</f>
        <v>370.10000000000036</v>
      </c>
      <c r="O80" s="14">
        <f>N80*VLOOKUP('Données projet'!$B$9,Paramètres!$A$1:$I$89,3,0)*VLOOKUP('Données projet'!$B$9,Paramètres!$A$1:$I$89,5,0)</f>
        <v>211.69720000000021</v>
      </c>
      <c r="P80" s="14">
        <f t="shared" si="87"/>
        <v>52.306292671581474</v>
      </c>
      <c r="Q80" s="22">
        <f t="shared" si="54"/>
        <v>459.80608306967139</v>
      </c>
      <c r="R80" s="62">
        <f t="shared" si="55"/>
        <v>753.1394164030047</v>
      </c>
      <c r="S80" s="62">
        <f ca="1">AVERAGE(OFFSET($R$3,0,0,'Données projet'!$E$9+1,1))-AVERAGE(OFFSET($H$3,0,0,'Données projet'!$E$9+1,1))</f>
        <v>183.98573418698061</v>
      </c>
      <c r="T80" s="62">
        <f t="shared" si="88"/>
        <v>158.42298722045609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8.875</v>
      </c>
      <c r="AI80" s="14">
        <f>IF('Données projet'!$A$62&gt;35,AI79+AH80-AQ79,IF(A80&lt;'Données projet'!$A$62,$AF$205^A80,IF(A80='Données projet'!$A$62,'Données projet'!$B$62,AI79+AH80-AQ79)))</f>
        <v>522.625</v>
      </c>
      <c r="AJ80" s="14">
        <f>AI80*VLOOKUP('Données projet'!$B$10,Paramètres!$A$1:$I$89,3,0)*VLOOKUP('Données projet'!$B$10,Paramètres!$A$1:$I$89,5,0)</f>
        <v>312.52975000000004</v>
      </c>
      <c r="AK80" s="14">
        <f t="shared" si="89"/>
        <v>73.796892500493684</v>
      </c>
      <c r="AL80" s="22">
        <f t="shared" si="58"/>
        <v>672.85223568835988</v>
      </c>
      <c r="AM80" s="62">
        <f t="shared" si="59"/>
        <v>966.18556902169325</v>
      </c>
      <c r="AN80" s="62">
        <f ca="1">AVERAGE(OFFSET($AM$3,0,0,'Données projet'!$E$10+1,1))-AVERAGE(OFFSET($H$3,0,0,'Données projet'!$E$10+1,1))</f>
        <v>294.57089926309249</v>
      </c>
      <c r="AO80" s="62">
        <f t="shared" si="90"/>
        <v>221.0956883062172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6</v>
      </c>
      <c r="BD80" s="13">
        <f>IF('Données projet'!$A$88&gt;35,BD79+BC80-BL79,IF(A80&lt;'Données projet'!$A$88,$BA$205^A80,IF(A80='Données projet'!$A$88,'Données projet'!$B$88,BD79+BC80-BL79)))</f>
        <v>263.99999999999989</v>
      </c>
      <c r="BE80" s="14">
        <f>BD80*VLOOKUP('Données projet'!$B$11,Paramètres!$A$1:$I$89,3,0)*VLOOKUP('Données projet'!$B$11,Paramètres!$A$1:$I$89,5,0)</f>
        <v>238.86719999999988</v>
      </c>
      <c r="BF80" s="14">
        <f t="shared" si="91"/>
        <v>58.195735973104156</v>
      </c>
      <c r="BG80" s="22">
        <f t="shared" si="61"/>
        <v>517.38461348648957</v>
      </c>
      <c r="BH80" s="62">
        <f t="shared" si="62"/>
        <v>810.71794681982283</v>
      </c>
      <c r="BI80" s="62">
        <f ca="1">AVERAGE(OFFSET($BH$3,0,0,'Données projet'!$E$11+1,1))-AVERAGE(OFFSET($H$3,0,0,'Données projet'!$E$11+1,1))</f>
        <v>312.29553270286209</v>
      </c>
      <c r="BJ80" s="62">
        <f t="shared" si="92"/>
        <v>175.8423124483154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2.9799999999999955</v>
      </c>
      <c r="BY80" s="13">
        <f>IF('Données projet'!$A$114&gt;35,BY79+BX80-CG79,IF(A80&lt;'Données projet'!$A$114,$BV$205^A80,IF(A80='Données projet'!$A$114,'Données projet'!$B$114,BY79+BX80-CG79)))</f>
        <v>275.66000000000031</v>
      </c>
      <c r="BZ80" s="14">
        <f>BY80*VLOOKUP('Données projet'!$B$12,Paramètres!$A$1:$I$89,3,0)*VLOOKUP('Données projet'!$B$12,Paramètres!$A$1:$I$89,5,0)</f>
        <v>202.11391200000025</v>
      </c>
      <c r="CA80" s="14">
        <f t="shared" si="93"/>
        <v>50.208456937175463</v>
      </c>
      <c r="CB80" s="22">
        <f t="shared" si="64"/>
        <v>439.46145923224771</v>
      </c>
      <c r="CC80" s="62">
        <f t="shared" si="65"/>
        <v>732.79479256558102</v>
      </c>
      <c r="CD80" s="62">
        <f ca="1">AVERAGE(OFFSET($CC$3,0,0,'Données projet'!$E$12+1,1))-AVERAGE(OFFSET($H$3,0,0,'Données projet'!$E$12+1,1))</f>
        <v>217.14170654868826</v>
      </c>
      <c r="CE80" s="62">
        <f t="shared" si="94"/>
        <v>202.59844364241644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38.531999999999989</v>
      </c>
      <c r="D81" s="12">
        <f t="shared" si="86"/>
        <v>11.60871068858415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387.05110005222849</v>
      </c>
      <c r="H81" s="70">
        <f t="shared" si="56"/>
        <v>380.66173778261737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8.3000000000000007</v>
      </c>
      <c r="N81" s="14">
        <f>IF('Données projet'!$A$36&gt;35,N80+M81-V80,IF(A81&lt;'Données projet'!$A$36,$K$205^A81,IF(A81='Données projet'!$A$36,'Données projet'!$B$36,N80+M81-V80)))</f>
        <v>378.40000000000038</v>
      </c>
      <c r="O81" s="14">
        <f>N81*VLOOKUP('Données projet'!$B$9,Paramètres!$A$1:$I$89,3,0)*VLOOKUP('Données projet'!$B$9,Paramètres!$A$1:$I$89,5,0)</f>
        <v>216.44480000000024</v>
      </c>
      <c r="P81" s="14">
        <f t="shared" si="87"/>
        <v>53.341449419561627</v>
      </c>
      <c r="Q81" s="22">
        <f t="shared" si="54"/>
        <v>469.87771773907019</v>
      </c>
      <c r="R81" s="62">
        <f t="shared" si="55"/>
        <v>763.21105107240351</v>
      </c>
      <c r="S81" s="62">
        <f ca="1">AVERAGE(OFFSET($R$3,0,0,'Données projet'!$E$9+1,1))-AVERAGE(OFFSET($H$3,0,0,'Données projet'!$E$9+1,1))</f>
        <v>183.98573418698061</v>
      </c>
      <c r="T81" s="62">
        <f t="shared" si="88"/>
        <v>158.42298722045609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8.875</v>
      </c>
      <c r="AI81" s="14">
        <f>IF('Données projet'!$A$62&gt;35,AI80+AH81-AQ80,IF(A81&lt;'Données projet'!$A$62,$AF$205^A81,IF(A81='Données projet'!$A$62,'Données projet'!$B$62,AI80+AH81-AQ80)))</f>
        <v>531.5</v>
      </c>
      <c r="AJ81" s="14">
        <f>AI81*VLOOKUP('Données projet'!$B$10,Paramètres!$A$1:$I$89,3,0)*VLOOKUP('Données projet'!$B$10,Paramètres!$A$1:$I$89,5,0)</f>
        <v>317.83700000000005</v>
      </c>
      <c r="AK81" s="14">
        <f t="shared" si="89"/>
        <v>74.903121950927684</v>
      </c>
      <c r="AL81" s="22">
        <f t="shared" si="58"/>
        <v>684.0223790645324</v>
      </c>
      <c r="AM81" s="62">
        <f t="shared" si="59"/>
        <v>977.35571239786577</v>
      </c>
      <c r="AN81" s="62">
        <f ca="1">AVERAGE(OFFSET($AM$3,0,0,'Données projet'!$E$10+1,1))-AVERAGE(OFFSET($H$3,0,0,'Données projet'!$E$10+1,1))</f>
        <v>294.57089926309249</v>
      </c>
      <c r="AO81" s="62">
        <f t="shared" si="90"/>
        <v>221.0956883062172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6</v>
      </c>
      <c r="BD81" s="13">
        <f>IF('Données projet'!$A$88&gt;35,BD80+BC81-BL80,IF(A81&lt;'Données projet'!$A$88,$BA$205^A81,IF(A81='Données projet'!$A$88,'Données projet'!$B$88,BD80+BC81-BL80)))</f>
        <v>269.99999999999989</v>
      </c>
      <c r="BE81" s="14">
        <f>BD81*VLOOKUP('Données projet'!$B$11,Paramètres!$A$1:$I$89,3,0)*VLOOKUP('Données projet'!$B$11,Paramètres!$A$1:$I$89,5,0)</f>
        <v>244.29599999999991</v>
      </c>
      <c r="BF81" s="14">
        <f t="shared" si="91"/>
        <v>59.362879241040318</v>
      </c>
      <c r="BG81" s="22">
        <f t="shared" si="61"/>
        <v>528.87254801147833</v>
      </c>
      <c r="BH81" s="62">
        <f t="shared" si="62"/>
        <v>822.20588134481159</v>
      </c>
      <c r="BI81" s="62">
        <f ca="1">AVERAGE(OFFSET($BH$3,0,0,'Données projet'!$E$11+1,1))-AVERAGE(OFFSET($H$3,0,0,'Données projet'!$E$11+1,1))</f>
        <v>312.29553270286209</v>
      </c>
      <c r="BJ81" s="62">
        <f t="shared" si="92"/>
        <v>175.8423124483154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2.9799999999999955</v>
      </c>
      <c r="BY81" s="13">
        <f>IF('Données projet'!$A$114&gt;35,BY80+BX81-CG80,IF(A81&lt;'Données projet'!$A$114,$BV$205^A81,IF(A81='Données projet'!$A$114,'Données projet'!$B$114,BY80+BX81-CG80)))</f>
        <v>278.64000000000033</v>
      </c>
      <c r="BZ81" s="14">
        <f>BY81*VLOOKUP('Données projet'!$B$12,Paramètres!$A$1:$I$89,3,0)*VLOOKUP('Données projet'!$B$12,Paramètres!$A$1:$I$89,5,0)</f>
        <v>204.29884800000025</v>
      </c>
      <c r="CA81" s="14">
        <f t="shared" si="93"/>
        <v>50.687751892539211</v>
      </c>
      <c r="CB81" s="22">
        <f t="shared" si="64"/>
        <v>444.10166147950622</v>
      </c>
      <c r="CC81" s="62">
        <f t="shared" si="65"/>
        <v>737.43499481283948</v>
      </c>
      <c r="CD81" s="62">
        <f ca="1">AVERAGE(OFFSET($CC$3,0,0,'Données projet'!$E$12+1,1))-AVERAGE(OFFSET($H$3,0,0,'Données projet'!$E$12+1,1))</f>
        <v>217.14170654868826</v>
      </c>
      <c r="CE81" s="62">
        <f t="shared" si="94"/>
        <v>202.59844364241644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39.025999999999989</v>
      </c>
      <c r="D82" s="12">
        <f t="shared" si="86"/>
        <v>11.740118885929625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391.87881245279004</v>
      </c>
      <c r="H82" s="70">
        <f t="shared" si="56"/>
        <v>381.75099039299408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8.3000000000000007</v>
      </c>
      <c r="N82" s="14">
        <f>IF('Données projet'!$A$36&gt;35,N81+M82-V81,IF(A82&lt;'Données projet'!$A$36,$K$205^A82,IF(A82='Données projet'!$A$36,'Données projet'!$B$36,N81+M82-V81)))</f>
        <v>386.70000000000039</v>
      </c>
      <c r="O82" s="14">
        <f>N82*VLOOKUP('Données projet'!$B$9,Paramètres!$A$1:$I$89,3,0)*VLOOKUP('Données projet'!$B$9,Paramètres!$A$1:$I$89,5,0)</f>
        <v>221.19240000000022</v>
      </c>
      <c r="P82" s="14">
        <f t="shared" si="87"/>
        <v>54.373966382420612</v>
      </c>
      <c r="Q82" s="22">
        <f t="shared" si="54"/>
        <v>479.94475478271625</v>
      </c>
      <c r="R82" s="62">
        <f t="shared" si="55"/>
        <v>773.2780881160495</v>
      </c>
      <c r="S82" s="62">
        <f ca="1">AVERAGE(OFFSET($R$3,0,0,'Données projet'!$E$9+1,1))-AVERAGE(OFFSET($H$3,0,0,'Données projet'!$E$9+1,1))</f>
        <v>183.98573418698061</v>
      </c>
      <c r="T82" s="62">
        <f t="shared" si="88"/>
        <v>158.42298722045609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8.875</v>
      </c>
      <c r="AI82" s="14">
        <f>IF('Données projet'!$A$62&gt;35,AI81+AH82-AQ81,IF(A82&lt;'Données projet'!$A$62,$AF$205^A82,IF(A82='Données projet'!$A$62,'Données projet'!$B$62,AI81+AH82-AQ81)))</f>
        <v>540.375</v>
      </c>
      <c r="AJ82" s="14">
        <f>AI82*VLOOKUP('Données projet'!$B$10,Paramètres!$A$1:$I$89,3,0)*VLOOKUP('Données projet'!$B$10,Paramètres!$A$1:$I$89,5,0)</f>
        <v>323.14425000000006</v>
      </c>
      <c r="AK82" s="14">
        <f t="shared" si="89"/>
        <v>76.007203261088534</v>
      </c>
      <c r="AL82" s="22">
        <f t="shared" si="58"/>
        <v>695.18878109639593</v>
      </c>
      <c r="AM82" s="62">
        <f t="shared" si="59"/>
        <v>988.5221144297293</v>
      </c>
      <c r="AN82" s="62">
        <f ca="1">AVERAGE(OFFSET($AM$3,0,0,'Données projet'!$E$10+1,1))-AVERAGE(OFFSET($H$3,0,0,'Données projet'!$E$10+1,1))</f>
        <v>294.57089926309249</v>
      </c>
      <c r="AO82" s="62">
        <f t="shared" si="90"/>
        <v>221.0956883062172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6</v>
      </c>
      <c r="BD82" s="13">
        <f>IF('Données projet'!$A$88&gt;35,BD81+BC82-BL81,IF(A82&lt;'Données projet'!$A$88,$BA$205^A82,IF(A82='Données projet'!$A$88,'Données projet'!$B$88,BD81+BC82-BL81)))</f>
        <v>275.99999999999989</v>
      </c>
      <c r="BE82" s="14">
        <f>BD82*VLOOKUP('Données projet'!$B$11,Paramètres!$A$1:$I$89,3,0)*VLOOKUP('Données projet'!$B$11,Paramètres!$A$1:$I$89,5,0)</f>
        <v>249.7247999999999</v>
      </c>
      <c r="BF82" s="14">
        <f t="shared" si="91"/>
        <v>60.527007137298092</v>
      </c>
      <c r="BG82" s="22">
        <f t="shared" si="61"/>
        <v>540.35523076412733</v>
      </c>
      <c r="BH82" s="62">
        <f t="shared" si="62"/>
        <v>833.68856409746058</v>
      </c>
      <c r="BI82" s="62">
        <f ca="1">AVERAGE(OFFSET($BH$3,0,0,'Données projet'!$E$11+1,1))-AVERAGE(OFFSET($H$3,0,0,'Données projet'!$E$11+1,1))</f>
        <v>312.29553270286209</v>
      </c>
      <c r="BJ82" s="62">
        <f t="shared" si="92"/>
        <v>175.8423124483154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2.9799999999999955</v>
      </c>
      <c r="BY82" s="13">
        <f>IF('Données projet'!$A$114&gt;35,BY81+BX82-CG81,IF(A82&lt;'Données projet'!$A$114,$BV$205^A82,IF(A82='Données projet'!$A$114,'Données projet'!$B$114,BY81+BX82-CG81)))</f>
        <v>281.62000000000035</v>
      </c>
      <c r="BZ82" s="14">
        <f>BY82*VLOOKUP('Données projet'!$B$12,Paramètres!$A$1:$I$89,3,0)*VLOOKUP('Données projet'!$B$12,Paramètres!$A$1:$I$89,5,0)</f>
        <v>206.48378400000024</v>
      </c>
      <c r="CA82" s="14">
        <f t="shared" si="93"/>
        <v>51.166450544752927</v>
      </c>
      <c r="CB82" s="22">
        <f t="shared" si="64"/>
        <v>448.74082516544513</v>
      </c>
      <c r="CC82" s="62">
        <f t="shared" si="65"/>
        <v>742.07415849877839</v>
      </c>
      <c r="CD82" s="62">
        <f ca="1">AVERAGE(OFFSET($CC$3,0,0,'Données projet'!$E$12+1,1))-AVERAGE(OFFSET($H$3,0,0,'Données projet'!$E$12+1,1))</f>
        <v>217.14170654868826</v>
      </c>
      <c r="CE82" s="62">
        <f t="shared" si="94"/>
        <v>202.59844364241644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39.519999999999989</v>
      </c>
      <c r="D83" s="12">
        <f t="shared" si="86"/>
        <v>11.87133360121544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396.70503130762791</v>
      </c>
      <c r="H83" s="70">
        <f t="shared" si="56"/>
        <v>382.83990602211685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395</v>
      </c>
      <c r="L83" s="13">
        <f>VLOOKUP(A83,'Données projet'!$A$35:$I$55,9,0)</f>
        <v>8.3000000000000007</v>
      </c>
      <c r="M83" s="13">
        <f t="array" ref="M83">INDEX(L:L,MIN(IF(ISNUMBER(L83:L279),ROW(L83:L279),"")))</f>
        <v>8.3000000000000007</v>
      </c>
      <c r="N83" s="14">
        <f>IF('Données projet'!$A$36&gt;35,N82+M83-V82,IF(A83&lt;'Données projet'!$A$36,$K$205^A83,IF(A83='Données projet'!$A$36,'Données projet'!$B$36,N82+M83-V82)))</f>
        <v>395.0000000000004</v>
      </c>
      <c r="O83" s="14">
        <f>N83*VLOOKUP('Données projet'!$B$9,Paramètres!$A$1:$I$89,3,0)*VLOOKUP('Données projet'!$B$9,Paramètres!$A$1:$I$89,5,0)</f>
        <v>225.94000000000025</v>
      </c>
      <c r="P83" s="14">
        <f t="shared" si="87"/>
        <v>55.403906745636547</v>
      </c>
      <c r="Q83" s="22">
        <f t="shared" si="54"/>
        <v>490.00730424865066</v>
      </c>
      <c r="R83" s="62">
        <f t="shared" si="55"/>
        <v>783.34063758198397</v>
      </c>
      <c r="S83" s="62">
        <f ca="1">AVERAGE(OFFSET($R$3,0,0,'Données projet'!$E$9+1,1))-AVERAGE(OFFSET($H$3,0,0,'Données projet'!$E$9+1,1))</f>
        <v>183.98573418698061</v>
      </c>
      <c r="T83" s="62">
        <f t="shared" si="88"/>
        <v>158.42298722045609</v>
      </c>
      <c r="U83" s="16">
        <f>IF(ISNA(VLOOKUP(A83,'Données projet'!$A$35:$I$55,3,0)),0,VLOOKUP(A83,'Données projet'!$A$35:$I$55,3,0))</f>
        <v>7</v>
      </c>
      <c r="V83" s="16">
        <f>IF(ISNA(VLOOKUP(A83,'Données projet'!$A$35:$I$55,4,0)),0,VLOOKUP(A83,'Données projet'!$A$35:$I$55,4,0))</f>
        <v>395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8.875</v>
      </c>
      <c r="AI83" s="14">
        <f>IF('Données projet'!$A$62&gt;35,AI82+AH83-AQ82,IF(A83&lt;'Données projet'!$A$62,$AF$205^A83,IF(A83='Données projet'!$A$62,'Données projet'!$B$62,AI82+AH83-AQ82)))</f>
        <v>549.25</v>
      </c>
      <c r="AJ83" s="14">
        <f>AI83*VLOOKUP('Données projet'!$B$10,Paramètres!$A$1:$I$89,3,0)*VLOOKUP('Données projet'!$B$10,Paramètres!$A$1:$I$89,5,0)</f>
        <v>328.45150000000001</v>
      </c>
      <c r="AK83" s="14">
        <f t="shared" si="89"/>
        <v>77.109175784158708</v>
      </c>
      <c r="AL83" s="22">
        <f t="shared" si="58"/>
        <v>706.35151032407646</v>
      </c>
      <c r="AM83" s="62">
        <f t="shared" si="59"/>
        <v>999.68484365740983</v>
      </c>
      <c r="AN83" s="62">
        <f ca="1">AVERAGE(OFFSET($AM$3,0,0,'Données projet'!$E$10+1,1))-AVERAGE(OFFSET($H$3,0,0,'Données projet'!$E$10+1,1))</f>
        <v>294.57089926309249</v>
      </c>
      <c r="AO83" s="62">
        <f t="shared" si="90"/>
        <v>221.0956883062172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282</v>
      </c>
      <c r="BB83" s="13">
        <f>VLOOKUP(A83,'Données projet'!$A$87:$I$107,9,0)</f>
        <v>6</v>
      </c>
      <c r="BC83" s="13">
        <f t="array" ref="BC83">INDEX(BB:BB,MIN(IF(ISNUMBER(BB83:BB279),ROW(BB83:BB279),"")))</f>
        <v>6</v>
      </c>
      <c r="BD83" s="13">
        <f>IF('Données projet'!$A$88&gt;35,BD82+BC83-BL82,IF(A83&lt;'Données projet'!$A$88,$BA$205^A83,IF(A83='Données projet'!$A$88,'Données projet'!$B$88,BD82+BC83-BL82)))</f>
        <v>281.99999999999989</v>
      </c>
      <c r="BE83" s="14">
        <f>BD83*VLOOKUP('Données projet'!$B$11,Paramètres!$A$1:$I$89,3,0)*VLOOKUP('Données projet'!$B$11,Paramètres!$A$1:$I$89,5,0)</f>
        <v>255.15359999999987</v>
      </c>
      <c r="BF83" s="14">
        <f t="shared" si="91"/>
        <v>61.688192762754376</v>
      </c>
      <c r="BG83" s="22">
        <f t="shared" si="61"/>
        <v>551.83278906179692</v>
      </c>
      <c r="BH83" s="62">
        <f t="shared" si="62"/>
        <v>845.16612239513029</v>
      </c>
      <c r="BI83" s="62">
        <f ca="1">AVERAGE(OFFSET($BH$3,0,0,'Données projet'!$E$11+1,1))-AVERAGE(OFFSET($H$3,0,0,'Données projet'!$E$11+1,1))</f>
        <v>312.29553270286209</v>
      </c>
      <c r="BJ83" s="62">
        <f t="shared" si="92"/>
        <v>175.8423124483154</v>
      </c>
      <c r="BK83" s="16">
        <f>IF(ISNA(VLOOKUP(A83,'Données projet'!$A$87:$I$107,3,0)),0,VLOOKUP(A83,'Données projet'!$A$87:$I$107,3,0))</f>
        <v>6</v>
      </c>
      <c r="BL83" s="23">
        <f>IF(ISNA(VLOOKUP(A83,'Données projet'!$A$87:$I$107,4,0)),0,VLOOKUP(A83,'Données projet'!$A$87:$I$107,4,0))</f>
        <v>42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284.60000000000002</v>
      </c>
      <c r="BW83" s="13">
        <f>VLOOKUP(A83,'Données projet'!$A$113:$I$133,9,0)</f>
        <v>2.9799999999999955</v>
      </c>
      <c r="BX83" s="13">
        <f t="array" ref="BX83">INDEX(BW:BW,MIN(IF(ISNUMBER(BW83:BW279),ROW(BW83:BW279),"")))</f>
        <v>2.9799999999999955</v>
      </c>
      <c r="BY83" s="13">
        <f>IF('Données projet'!$A$114&gt;35,BY82+BX83-CG82,IF(A83&lt;'Données projet'!$A$114,$BV$205^A83,IF(A83='Données projet'!$A$114,'Données projet'!$B$114,BY82+BX83-CG82)))</f>
        <v>284.60000000000036</v>
      </c>
      <c r="BZ83" s="14">
        <f>BY83*VLOOKUP('Données projet'!$B$12,Paramètres!$A$1:$I$89,3,0)*VLOOKUP('Données projet'!$B$12,Paramètres!$A$1:$I$89,5,0)</f>
        <v>208.66872000000026</v>
      </c>
      <c r="CA83" s="14">
        <f t="shared" si="93"/>
        <v>51.644559934074373</v>
      </c>
      <c r="CB83" s="22">
        <f t="shared" si="64"/>
        <v>453.3789625518466</v>
      </c>
      <c r="CC83" s="62">
        <f t="shared" si="65"/>
        <v>746.71229588517986</v>
      </c>
      <c r="CD83" s="62">
        <f ca="1">AVERAGE(OFFSET($CC$3,0,0,'Données projet'!$E$12+1,1))-AVERAGE(OFFSET($H$3,0,0,'Données projet'!$E$12+1,1))</f>
        <v>217.14170654868826</v>
      </c>
      <c r="CE83" s="62">
        <f t="shared" si="94"/>
        <v>202.59844364241644</v>
      </c>
      <c r="CF83" s="16">
        <f>IF(ISNA(VLOOKUP(A83,'Données projet'!$A$113:$I$133,3,0)),0,VLOOKUP(A83,'Données projet'!$A$113:$I$133,3,0))</f>
        <v>7</v>
      </c>
      <c r="CG83" s="16">
        <f>IF(ISNA(VLOOKUP(A83,'Données projet'!$A$113:$I$133,4,0)),0,VLOOKUP(A83,'Données projet'!$A$113:$I$133,4,0))</f>
        <v>284.60000000000002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40.013999999999989</v>
      </c>
      <c r="D84" s="12">
        <f t="shared" si="86"/>
        <v>12.002357532661732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401.52977744510804</v>
      </c>
      <c r="H84" s="70">
        <f t="shared" si="56"/>
        <v>383.92848936938583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3.979039320256561E-13</v>
      </c>
      <c r="O84" s="14">
        <f>N84*VLOOKUP('Données projet'!$B$9,Paramètres!$A$1:$I$89,3,0)*VLOOKUP('Données projet'!$B$9,Paramètres!$A$1:$I$89,5,0)</f>
        <v>2.2760104911867532E-13</v>
      </c>
      <c r="P84" s="14">
        <f t="shared" si="87"/>
        <v>3.1070714519279848E-12</v>
      </c>
      <c r="Q84" s="22">
        <f t="shared" si="54"/>
        <v>5.8078879393229322E-12</v>
      </c>
      <c r="R84" s="62">
        <f t="shared" si="55"/>
        <v>293.33333333333911</v>
      </c>
      <c r="S84" s="62">
        <f ca="1">AVERAGE(OFFSET($R$3,0,0,'Données projet'!$E$9+1,1))-AVERAGE(OFFSET($H$3,0,0,'Données projet'!$E$9+1,1))</f>
        <v>183.98573418698061</v>
      </c>
      <c r="T84" s="62">
        <f t="shared" si="88"/>
        <v>158.42298722045609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8.875</v>
      </c>
      <c r="AI84" s="14">
        <f>IF('Données projet'!$A$62&gt;35,AI83+AH84-AQ83,IF(A84&lt;'Données projet'!$A$62,$AF$205^A84,IF(A84='Données projet'!$A$62,'Données projet'!$B$62,AI83+AH84-AQ83)))</f>
        <v>558.125</v>
      </c>
      <c r="AJ84" s="14">
        <f>AI84*VLOOKUP('Données projet'!$B$10,Paramètres!$A$1:$I$89,3,0)*VLOOKUP('Données projet'!$B$10,Paramètres!$A$1:$I$89,5,0)</f>
        <v>333.75875000000002</v>
      </c>
      <c r="AK84" s="14">
        <f t="shared" si="89"/>
        <v>78.209077528625059</v>
      </c>
      <c r="AL84" s="22">
        <f t="shared" si="58"/>
        <v>717.5106329456886</v>
      </c>
      <c r="AM84" s="62">
        <f t="shared" si="59"/>
        <v>1010.843966279022</v>
      </c>
      <c r="AN84" s="62">
        <f ca="1">AVERAGE(OFFSET($AM$3,0,0,'Données projet'!$E$10+1,1))-AVERAGE(OFFSET($H$3,0,0,'Données projet'!$E$10+1,1))</f>
        <v>294.57089926309249</v>
      </c>
      <c r="AO84" s="62">
        <f t="shared" si="90"/>
        <v>221.0956883062172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5.6</v>
      </c>
      <c r="BD84" s="13">
        <f>IF('Données projet'!$A$88&gt;35,BD83+BC84-BL83,IF(A84&lt;'Données projet'!$A$88,$BA$205^A84,IF(A84='Données projet'!$A$88,'Données projet'!$B$88,BD83+BC84-BL83)))</f>
        <v>245.59999999999991</v>
      </c>
      <c r="BE84" s="14">
        <f>BD84*VLOOKUP('Données projet'!$B$11,Paramètres!$A$1:$I$89,3,0)*VLOOKUP('Données projet'!$B$11,Paramètres!$A$1:$I$89,5,0)</f>
        <v>222.21887999999993</v>
      </c>
      <c r="BF84" s="14">
        <f t="shared" si="91"/>
        <v>54.596866296848852</v>
      </c>
      <c r="BG84" s="22">
        <f t="shared" si="61"/>
        <v>482.12075813367829</v>
      </c>
      <c r="BH84" s="62">
        <f t="shared" si="62"/>
        <v>775.45409146701161</v>
      </c>
      <c r="BI84" s="62">
        <f ca="1">AVERAGE(OFFSET($BH$3,0,0,'Données projet'!$E$11+1,1))-AVERAGE(OFFSET($H$3,0,0,'Données projet'!$E$11+1,1))</f>
        <v>312.29553270286209</v>
      </c>
      <c r="BJ84" s="62">
        <f t="shared" si="92"/>
        <v>175.8423124483154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3.4106051316484809E-13</v>
      </c>
      <c r="BZ84" s="14">
        <f>BY84*VLOOKUP('Données projet'!$B$12,Paramètres!$A$1:$I$89,3,0)*VLOOKUP('Données projet'!$B$12,Paramètres!$A$1:$I$89,5,0)</f>
        <v>2.5006556825246659E-13</v>
      </c>
      <c r="CA84" s="14">
        <f t="shared" si="93"/>
        <v>3.3765445850268018E-12</v>
      </c>
      <c r="CB84" s="22">
        <f t="shared" si="64"/>
        <v>6.3163460169613921E-12</v>
      </c>
      <c r="CC84" s="62">
        <f t="shared" si="65"/>
        <v>293.33333333333962</v>
      </c>
      <c r="CD84" s="62">
        <f ca="1">AVERAGE(OFFSET($CC$3,0,0,'Données projet'!$E$12+1,1))-AVERAGE(OFFSET($H$3,0,0,'Données projet'!$E$12+1,1))</f>
        <v>217.14170654868826</v>
      </c>
      <c r="CE84" s="62">
        <f t="shared" si="94"/>
        <v>202.59844364241644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40.507999999999988</v>
      </c>
      <c r="D85" s="12">
        <f t="shared" si="86"/>
        <v>12.133193308033777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406.35307114973438</v>
      </c>
      <c r="H85" s="70">
        <f t="shared" si="56"/>
        <v>385.01674501149211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3.979039320256561E-13</v>
      </c>
      <c r="O85" s="14">
        <f>N85*VLOOKUP('Données projet'!$B$9,Paramètres!$A$1:$I$89,3,0)*VLOOKUP('Données projet'!$B$9,Paramètres!$A$1:$I$89,5,0)</f>
        <v>2.2760104911867532E-13</v>
      </c>
      <c r="P85" s="14">
        <f t="shared" si="87"/>
        <v>3.1070714519279848E-12</v>
      </c>
      <c r="Q85" s="22">
        <f t="shared" si="54"/>
        <v>5.8078879393229322E-12</v>
      </c>
      <c r="R85" s="62">
        <f t="shared" si="55"/>
        <v>293.33333333333911</v>
      </c>
      <c r="S85" s="62">
        <f ca="1">AVERAGE(OFFSET($R$3,0,0,'Données projet'!$E$9+1,1))-AVERAGE(OFFSET($H$3,0,0,'Données projet'!$E$9+1,1))</f>
        <v>183.98573418698061</v>
      </c>
      <c r="T85" s="62">
        <f t="shared" si="88"/>
        <v>158.42298722045609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>
        <f>VLOOKUP(A85,'Données projet'!$A$61:$I$81,2,0)</f>
        <v>567</v>
      </c>
      <c r="AG85" s="13">
        <f>VLOOKUP(A85,'Données projet'!$A$61:$I$81,9,0)</f>
        <v>8.875</v>
      </c>
      <c r="AH85" s="13">
        <f t="array" ref="AH85">INDEX(AG:AG,MIN(IF(ISNUMBER(AG85:AG281),ROW(AG85:AG281),"")))</f>
        <v>8.875</v>
      </c>
      <c r="AI85" s="14">
        <f>IF('Données projet'!$A$62&gt;35,AI84+AH85-AQ84,IF(A85&lt;'Données projet'!$A$62,$AF$205^A85,IF(A85='Données projet'!$A$62,'Données projet'!$B$62,AI84+AH85-AQ84)))</f>
        <v>567</v>
      </c>
      <c r="AJ85" s="14">
        <f>AI85*VLOOKUP('Données projet'!$B$10,Paramètres!$A$1:$I$89,3,0)*VLOOKUP('Données projet'!$B$10,Paramètres!$A$1:$I$89,5,0)</f>
        <v>339.06600000000003</v>
      </c>
      <c r="AK85" s="14">
        <f t="shared" si="89"/>
        <v>79.30694522486489</v>
      </c>
      <c r="AL85" s="22">
        <f t="shared" si="58"/>
        <v>728.66621293330627</v>
      </c>
      <c r="AM85" s="62">
        <f t="shared" si="59"/>
        <v>1021.9995462666395</v>
      </c>
      <c r="AN85" s="62">
        <f ca="1">AVERAGE(OFFSET($AM$3,0,0,'Données projet'!$E$10+1,1))-AVERAGE(OFFSET($H$3,0,0,'Données projet'!$E$10+1,1))</f>
        <v>294.57089926309249</v>
      </c>
      <c r="AO85" s="62">
        <f t="shared" si="90"/>
        <v>221.0956883062172</v>
      </c>
      <c r="AP85" s="16">
        <f>IF(ISNA(VLOOKUP(A85,'Données projet'!$A$61:$I$81,3,0)),0,VLOOKUP(A85,'Données projet'!$A$61:$I$81,3,0))</f>
        <v>10</v>
      </c>
      <c r="AQ85" s="16">
        <f>IF(ISNA(VLOOKUP(A85,'Données projet'!$A$61:$I$81,4,0)),0,VLOOKUP(A85,'Données projet'!$A$61:$I$81,4,0))</f>
        <v>567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5.6</v>
      </c>
      <c r="BD85" s="13">
        <f>IF('Données projet'!$A$88&gt;35,BD84+BC85-BL84,IF(A85&lt;'Données projet'!$A$88,$BA$205^A85,IF(A85='Données projet'!$A$88,'Données projet'!$B$88,BD84+BC85-BL84)))</f>
        <v>251.1999999999999</v>
      </c>
      <c r="BE85" s="14">
        <f>BD85*VLOOKUP('Données projet'!$B$11,Paramètres!$A$1:$I$89,3,0)*VLOOKUP('Données projet'!$B$11,Paramètres!$A$1:$I$89,5,0)</f>
        <v>227.28575999999993</v>
      </c>
      <c r="BF85" s="14">
        <f t="shared" si="91"/>
        <v>55.695394520076327</v>
      </c>
      <c r="BG85" s="22">
        <f t="shared" si="61"/>
        <v>492.85884412246605</v>
      </c>
      <c r="BH85" s="62">
        <f t="shared" si="62"/>
        <v>786.19217745579931</v>
      </c>
      <c r="BI85" s="62">
        <f ca="1">AVERAGE(OFFSET($BH$3,0,0,'Données projet'!$E$11+1,1))-AVERAGE(OFFSET($H$3,0,0,'Données projet'!$E$11+1,1))</f>
        <v>312.29553270286209</v>
      </c>
      <c r="BJ85" s="62">
        <f t="shared" si="92"/>
        <v>175.8423124483154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3.4106051316484809E-13</v>
      </c>
      <c r="BZ85" s="14">
        <f>BY85*VLOOKUP('Données projet'!$B$12,Paramètres!$A$1:$I$89,3,0)*VLOOKUP('Données projet'!$B$12,Paramètres!$A$1:$I$89,5,0)</f>
        <v>2.5006556825246659E-13</v>
      </c>
      <c r="CA85" s="14">
        <f t="shared" si="93"/>
        <v>3.3765445850268018E-12</v>
      </c>
      <c r="CB85" s="22">
        <f t="shared" si="64"/>
        <v>6.3163460169613921E-12</v>
      </c>
      <c r="CC85" s="62">
        <f t="shared" si="65"/>
        <v>293.33333333333962</v>
      </c>
      <c r="CD85" s="62">
        <f ca="1">AVERAGE(OFFSET($CC$3,0,0,'Données projet'!$E$12+1,1))-AVERAGE(OFFSET($H$3,0,0,'Données projet'!$E$12+1,1))</f>
        <v>217.14170654868826</v>
      </c>
      <c r="CE85" s="62">
        <f t="shared" si="94"/>
        <v>202.59844364241644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41.001999999999988</v>
      </c>
      <c r="D86" s="12">
        <f t="shared" si="86"/>
        <v>12.263843487317986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411.17493218280543</v>
      </c>
      <c r="H86" s="70">
        <f t="shared" si="56"/>
        <v>386.10467740707878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3.979039320256561E-13</v>
      </c>
      <c r="O86" s="14">
        <f>N86*VLOOKUP('Données projet'!$B$9,Paramètres!$A$1:$I$89,3,0)*VLOOKUP('Données projet'!$B$9,Paramètres!$A$1:$I$89,5,0)</f>
        <v>2.2760104911867532E-13</v>
      </c>
      <c r="P86" s="14">
        <f t="shared" si="87"/>
        <v>3.1070714519279848E-12</v>
      </c>
      <c r="Q86" s="22">
        <f t="shared" si="54"/>
        <v>5.8078879393229322E-12</v>
      </c>
      <c r="R86" s="62">
        <f t="shared" si="55"/>
        <v>293.33333333333911</v>
      </c>
      <c r="S86" s="62">
        <f ca="1">AVERAGE(OFFSET($R$3,0,0,'Données projet'!$E$9+1,1))-AVERAGE(OFFSET($H$3,0,0,'Données projet'!$E$9+1,1))</f>
        <v>183.98573418698061</v>
      </c>
      <c r="T86" s="62">
        <f t="shared" si="88"/>
        <v>158.42298722045609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294.57089926309249</v>
      </c>
      <c r="AO86" s="62">
        <f t="shared" si="90"/>
        <v>221.0956883062172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5.6</v>
      </c>
      <c r="BD86" s="13">
        <f>IF('Données projet'!$A$88&gt;35,BD85+BC86-BL85,IF(A86&lt;'Données projet'!$A$88,$BA$205^A86,IF(A86='Données projet'!$A$88,'Données projet'!$B$88,BD85+BC86-BL85)))</f>
        <v>256.7999999999999</v>
      </c>
      <c r="BE86" s="14">
        <f>BD86*VLOOKUP('Données projet'!$B$11,Paramètres!$A$1:$I$89,3,0)*VLOOKUP('Données projet'!$B$11,Paramètres!$A$1:$I$89,5,0)</f>
        <v>232.35263999999989</v>
      </c>
      <c r="BF86" s="14">
        <f t="shared" si="91"/>
        <v>56.791075613550255</v>
      </c>
      <c r="BG86" s="22">
        <f t="shared" si="61"/>
        <v>503.59197136026643</v>
      </c>
      <c r="BH86" s="62">
        <f t="shared" si="62"/>
        <v>796.92530469359974</v>
      </c>
      <c r="BI86" s="62">
        <f ca="1">AVERAGE(OFFSET($BH$3,0,0,'Données projet'!$E$11+1,1))-AVERAGE(OFFSET($H$3,0,0,'Données projet'!$E$11+1,1))</f>
        <v>312.29553270286209</v>
      </c>
      <c r="BJ86" s="62">
        <f t="shared" si="92"/>
        <v>175.8423124483154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3.4106051316484809E-13</v>
      </c>
      <c r="BZ86" s="14">
        <f>BY86*VLOOKUP('Données projet'!$B$12,Paramètres!$A$1:$I$89,3,0)*VLOOKUP('Données projet'!$B$12,Paramètres!$A$1:$I$89,5,0)</f>
        <v>2.5006556825246659E-13</v>
      </c>
      <c r="CA86" s="14">
        <f t="shared" si="93"/>
        <v>3.3765445850268018E-12</v>
      </c>
      <c r="CB86" s="22">
        <f t="shared" si="64"/>
        <v>6.3163460169613921E-12</v>
      </c>
      <c r="CC86" s="62">
        <f t="shared" si="65"/>
        <v>293.33333333333962</v>
      </c>
      <c r="CD86" s="62">
        <f ca="1">AVERAGE(OFFSET($CC$3,0,0,'Données projet'!$E$12+1,1))-AVERAGE(OFFSET($H$3,0,0,'Données projet'!$E$12+1,1))</f>
        <v>217.14170654868826</v>
      </c>
      <c r="CE86" s="62">
        <f t="shared" si="94"/>
        <v>202.59844364241644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41.495999999999988</v>
      </c>
      <c r="D87" s="12">
        <f t="shared" si="86"/>
        <v>12.394310565265267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415.99537980204758</v>
      </c>
      <c r="H87" s="70">
        <f t="shared" si="56"/>
        <v>387.19229090117028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3.979039320256561E-13</v>
      </c>
      <c r="O87" s="14">
        <f>N87*VLOOKUP('Données projet'!$B$9,Paramètres!$A$1:$I$89,3,0)*VLOOKUP('Données projet'!$B$9,Paramètres!$A$1:$I$89,5,0)</f>
        <v>2.2760104911867532E-13</v>
      </c>
      <c r="P87" s="14">
        <f t="shared" si="87"/>
        <v>3.1070714519279848E-12</v>
      </c>
      <c r="Q87" s="22">
        <f t="shared" si="54"/>
        <v>5.8078879393229322E-12</v>
      </c>
      <c r="R87" s="62">
        <f t="shared" si="55"/>
        <v>293.33333333333911</v>
      </c>
      <c r="S87" s="62">
        <f ca="1">AVERAGE(OFFSET($R$3,0,0,'Données projet'!$E$9+1,1))-AVERAGE(OFFSET($H$3,0,0,'Données projet'!$E$9+1,1))</f>
        <v>183.98573418698061</v>
      </c>
      <c r="T87" s="62">
        <f t="shared" si="88"/>
        <v>158.42298722045609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294.57089926309249</v>
      </c>
      <c r="AO87" s="62">
        <f t="shared" si="90"/>
        <v>221.0956883062172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5.6</v>
      </c>
      <c r="BD87" s="13">
        <f>IF('Données projet'!$A$88&gt;35,BD86+BC87-BL86,IF(A87&lt;'Données projet'!$A$88,$BA$205^A87,IF(A87='Données projet'!$A$88,'Données projet'!$B$88,BD86+BC87-BL86)))</f>
        <v>262.39999999999992</v>
      </c>
      <c r="BE87" s="14">
        <f>BD87*VLOOKUP('Données projet'!$B$11,Paramètres!$A$1:$I$89,3,0)*VLOOKUP('Données projet'!$B$11,Paramètres!$A$1:$I$89,5,0)</f>
        <v>237.41951999999992</v>
      </c>
      <c r="BF87" s="14">
        <f t="shared" si="91"/>
        <v>57.883978814320919</v>
      </c>
      <c r="BG87" s="22">
        <f t="shared" si="61"/>
        <v>514.32026043494204</v>
      </c>
      <c r="BH87" s="62">
        <f t="shared" si="62"/>
        <v>807.65359376827541</v>
      </c>
      <c r="BI87" s="62">
        <f ca="1">AVERAGE(OFFSET($BH$3,0,0,'Données projet'!$E$11+1,1))-AVERAGE(OFFSET($H$3,0,0,'Données projet'!$E$11+1,1))</f>
        <v>312.29553270286209</v>
      </c>
      <c r="BJ87" s="62">
        <f t="shared" si="92"/>
        <v>175.8423124483154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3.4106051316484809E-13</v>
      </c>
      <c r="BZ87" s="14">
        <f>BY87*VLOOKUP('Données projet'!$B$12,Paramètres!$A$1:$I$89,3,0)*VLOOKUP('Données projet'!$B$12,Paramètres!$A$1:$I$89,5,0)</f>
        <v>2.5006556825246659E-13</v>
      </c>
      <c r="CA87" s="14">
        <f t="shared" si="93"/>
        <v>3.3765445850268018E-12</v>
      </c>
      <c r="CB87" s="22">
        <f t="shared" si="64"/>
        <v>6.3163460169613921E-12</v>
      </c>
      <c r="CC87" s="62">
        <f t="shared" si="65"/>
        <v>293.33333333333962</v>
      </c>
      <c r="CD87" s="62">
        <f ca="1">AVERAGE(OFFSET($CC$3,0,0,'Données projet'!$E$12+1,1))-AVERAGE(OFFSET($H$3,0,0,'Données projet'!$E$12+1,1))</f>
        <v>217.14170654868826</v>
      </c>
      <c r="CE87" s="62">
        <f t="shared" si="94"/>
        <v>202.59844364241644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41.989999999999988</v>
      </c>
      <c r="D88" s="12">
        <f t="shared" si="86"/>
        <v>12.524596973809777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420.81443278028593</v>
      </c>
      <c r="H88" s="70">
        <f t="shared" si="56"/>
        <v>388.27958972938529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3.979039320256561E-13</v>
      </c>
      <c r="O88" s="14">
        <f>N88*VLOOKUP('Données projet'!$B$9,Paramètres!$A$1:$I$89,3,0)*VLOOKUP('Données projet'!$B$9,Paramètres!$A$1:$I$89,5,0)</f>
        <v>2.2760104911867532E-13</v>
      </c>
      <c r="P88" s="14">
        <f t="shared" si="87"/>
        <v>3.1070714519279848E-12</v>
      </c>
      <c r="Q88" s="22">
        <f t="shared" si="54"/>
        <v>5.8078879393229322E-12</v>
      </c>
      <c r="R88" s="62">
        <f t="shared" si="55"/>
        <v>293.33333333333911</v>
      </c>
      <c r="S88" s="62">
        <f ca="1">AVERAGE(OFFSET($R$3,0,0,'Données projet'!$E$9+1,1))-AVERAGE(OFFSET($H$3,0,0,'Données projet'!$E$9+1,1))</f>
        <v>183.98573418698061</v>
      </c>
      <c r="T88" s="62">
        <f t="shared" si="88"/>
        <v>158.42298722045609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294.57089926309249</v>
      </c>
      <c r="AO88" s="62">
        <f t="shared" si="90"/>
        <v>221.0956883062172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5.6</v>
      </c>
      <c r="BD88" s="13">
        <f>IF('Données projet'!$A$88&gt;35,BD87+BC88-BL87,IF(A88&lt;'Données projet'!$A$88,$BA$205^A88,IF(A88='Données projet'!$A$88,'Données projet'!$B$88,BD87+BC88-BL87)))</f>
        <v>267.99999999999994</v>
      </c>
      <c r="BE88" s="14">
        <f>BD88*VLOOKUP('Données projet'!$B$11,Paramètres!$A$1:$I$89,3,0)*VLOOKUP('Données projet'!$B$11,Paramètres!$A$1:$I$89,5,0)</f>
        <v>242.48639999999995</v>
      </c>
      <c r="BF88" s="14">
        <f t="shared" si="91"/>
        <v>58.974170235372419</v>
      </c>
      <c r="BG88" s="22">
        <f t="shared" si="61"/>
        <v>525.04382649327351</v>
      </c>
      <c r="BH88" s="62">
        <f t="shared" si="62"/>
        <v>818.37715982660688</v>
      </c>
      <c r="BI88" s="62">
        <f ca="1">AVERAGE(OFFSET($BH$3,0,0,'Données projet'!$E$11+1,1))-AVERAGE(OFFSET($H$3,0,0,'Données projet'!$E$11+1,1))</f>
        <v>312.29553270286209</v>
      </c>
      <c r="BJ88" s="62">
        <f t="shared" si="92"/>
        <v>175.8423124483154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3.4106051316484809E-13</v>
      </c>
      <c r="BZ88" s="14">
        <f>BY88*VLOOKUP('Données projet'!$B$12,Paramètres!$A$1:$I$89,3,0)*VLOOKUP('Données projet'!$B$12,Paramètres!$A$1:$I$89,5,0)</f>
        <v>2.5006556825246659E-13</v>
      </c>
      <c r="CA88" s="14">
        <f t="shared" si="93"/>
        <v>3.3765445850268018E-12</v>
      </c>
      <c r="CB88" s="22">
        <f t="shared" si="64"/>
        <v>6.3163460169613921E-12</v>
      </c>
      <c r="CC88" s="62">
        <f t="shared" si="65"/>
        <v>293.33333333333962</v>
      </c>
      <c r="CD88" s="62">
        <f ca="1">AVERAGE(OFFSET($CC$3,0,0,'Données projet'!$E$12+1,1))-AVERAGE(OFFSET($H$3,0,0,'Données projet'!$E$12+1,1))</f>
        <v>217.14170654868826</v>
      </c>
      <c r="CE88" s="62">
        <f t="shared" si="94"/>
        <v>202.59844364241644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42.483999999999988</v>
      </c>
      <c r="D89" s="12">
        <f t="shared" si="86"/>
        <v>12.654705084370677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425.63210942321211</v>
      </c>
      <c r="H89" s="70">
        <f t="shared" si="56"/>
        <v>389.36657802194554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3.979039320256561E-13</v>
      </c>
      <c r="O89" s="14">
        <f>N89*VLOOKUP('Données projet'!$B$9,Paramètres!$A$1:$I$89,3,0)*VLOOKUP('Données projet'!$B$9,Paramètres!$A$1:$I$89,5,0)</f>
        <v>2.2760104911867532E-13</v>
      </c>
      <c r="P89" s="14">
        <f t="shared" si="87"/>
        <v>3.1070714519279848E-12</v>
      </c>
      <c r="Q89" s="22">
        <f t="shared" si="54"/>
        <v>5.8078879393229322E-12</v>
      </c>
      <c r="R89" s="62">
        <f t="shared" si="55"/>
        <v>293.33333333333911</v>
      </c>
      <c r="S89" s="62">
        <f ca="1">AVERAGE(OFFSET($R$3,0,0,'Données projet'!$E$9+1,1))-AVERAGE(OFFSET($H$3,0,0,'Données projet'!$E$9+1,1))</f>
        <v>183.98573418698061</v>
      </c>
      <c r="T89" s="62">
        <f t="shared" si="88"/>
        <v>158.42298722045609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294.57089926309249</v>
      </c>
      <c r="AO89" s="62">
        <f t="shared" si="90"/>
        <v>221.0956883062172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5.6</v>
      </c>
      <c r="BD89" s="13">
        <f>IF('Données projet'!$A$88&gt;35,BD88+BC89-BL88,IF(A89&lt;'Données projet'!$A$88,$BA$205^A89,IF(A89='Données projet'!$A$88,'Données projet'!$B$88,BD88+BC89-BL88)))</f>
        <v>273.59999999999997</v>
      </c>
      <c r="BE89" s="14">
        <f>BD89*VLOOKUP('Données projet'!$B$11,Paramètres!$A$1:$I$89,3,0)*VLOOKUP('Données projet'!$B$11,Paramètres!$A$1:$I$89,5,0)</f>
        <v>247.55327999999994</v>
      </c>
      <c r="BF89" s="14">
        <f t="shared" si="91"/>
        <v>60.061713068870255</v>
      </c>
      <c r="BG89" s="22">
        <f t="shared" si="61"/>
        <v>535.76277959494894</v>
      </c>
      <c r="BH89" s="62">
        <f t="shared" si="62"/>
        <v>829.09611292828231</v>
      </c>
      <c r="BI89" s="62">
        <f ca="1">AVERAGE(OFFSET($BH$3,0,0,'Données projet'!$E$11+1,1))-AVERAGE(OFFSET($H$3,0,0,'Données projet'!$E$11+1,1))</f>
        <v>312.29553270286209</v>
      </c>
      <c r="BJ89" s="62">
        <f t="shared" si="92"/>
        <v>175.8423124483154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3.4106051316484809E-13</v>
      </c>
      <c r="BZ89" s="14">
        <f>BY89*VLOOKUP('Données projet'!$B$12,Paramètres!$A$1:$I$89,3,0)*VLOOKUP('Données projet'!$B$12,Paramètres!$A$1:$I$89,5,0)</f>
        <v>2.5006556825246659E-13</v>
      </c>
      <c r="CA89" s="14">
        <f t="shared" si="93"/>
        <v>3.3765445850268018E-12</v>
      </c>
      <c r="CB89" s="22">
        <f t="shared" si="64"/>
        <v>6.3163460169613921E-12</v>
      </c>
      <c r="CC89" s="62">
        <f t="shared" si="65"/>
        <v>293.33333333333962</v>
      </c>
      <c r="CD89" s="62">
        <f ca="1">AVERAGE(OFFSET($CC$3,0,0,'Données projet'!$E$12+1,1))-AVERAGE(OFFSET($H$3,0,0,'Données projet'!$E$12+1,1))</f>
        <v>217.14170654868826</v>
      </c>
      <c r="CE89" s="62">
        <f t="shared" si="94"/>
        <v>202.59844364241644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42.977999999999987</v>
      </c>
      <c r="D90" s="12">
        <f t="shared" si="86"/>
        <v>12.784637210043719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430.44842758630233</v>
      </c>
      <c r="H90" s="70">
        <f t="shared" si="56"/>
        <v>390.45325980749277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3.979039320256561E-13</v>
      </c>
      <c r="O90" s="14">
        <f>N90*VLOOKUP('Données projet'!$B$9,Paramètres!$A$1:$I$89,3,0)*VLOOKUP('Données projet'!$B$9,Paramètres!$A$1:$I$89,5,0)</f>
        <v>2.2760104911867532E-13</v>
      </c>
      <c r="P90" s="14">
        <f t="shared" si="87"/>
        <v>3.1070714519279848E-12</v>
      </c>
      <c r="Q90" s="22">
        <f t="shared" si="54"/>
        <v>5.8078879393229322E-12</v>
      </c>
      <c r="R90" s="62">
        <f t="shared" si="55"/>
        <v>293.33333333333911</v>
      </c>
      <c r="S90" s="62">
        <f ca="1">AVERAGE(OFFSET($R$3,0,0,'Données projet'!$E$9+1,1))-AVERAGE(OFFSET($H$3,0,0,'Données projet'!$E$9+1,1))</f>
        <v>183.98573418698061</v>
      </c>
      <c r="T90" s="62">
        <f t="shared" si="88"/>
        <v>158.42298722045609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294.57089926309249</v>
      </c>
      <c r="AO90" s="62">
        <f t="shared" si="90"/>
        <v>221.0956883062172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5.6</v>
      </c>
      <c r="BD90" s="13">
        <f>IF('Données projet'!$A$88&gt;35,BD89+BC90-BL89,IF(A90&lt;'Données projet'!$A$88,$BA$205^A90,IF(A90='Données projet'!$A$88,'Données projet'!$B$88,BD89+BC90-BL89)))</f>
        <v>279.2</v>
      </c>
      <c r="BE90" s="14">
        <f>BD90*VLOOKUP('Données projet'!$B$11,Paramètres!$A$1:$I$89,3,0)*VLOOKUP('Données projet'!$B$11,Paramètres!$A$1:$I$89,5,0)</f>
        <v>252.62015999999997</v>
      </c>
      <c r="BF90" s="14">
        <f t="shared" si="91"/>
        <v>61.14666777229877</v>
      </c>
      <c r="BG90" s="22">
        <f t="shared" si="61"/>
        <v>546.47722503675357</v>
      </c>
      <c r="BH90" s="62">
        <f t="shared" si="62"/>
        <v>839.81055837008694</v>
      </c>
      <c r="BI90" s="62">
        <f ca="1">AVERAGE(OFFSET($BH$3,0,0,'Données projet'!$E$11+1,1))-AVERAGE(OFFSET($H$3,0,0,'Données projet'!$E$11+1,1))</f>
        <v>312.29553270286209</v>
      </c>
      <c r="BJ90" s="62">
        <f t="shared" si="92"/>
        <v>175.8423124483154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3.4106051316484809E-13</v>
      </c>
      <c r="BZ90" s="14">
        <f>BY90*VLOOKUP('Données projet'!$B$12,Paramètres!$A$1:$I$89,3,0)*VLOOKUP('Données projet'!$B$12,Paramètres!$A$1:$I$89,5,0)</f>
        <v>2.5006556825246659E-13</v>
      </c>
      <c r="CA90" s="14">
        <f t="shared" si="93"/>
        <v>3.3765445850268018E-12</v>
      </c>
      <c r="CB90" s="22">
        <f t="shared" si="64"/>
        <v>6.3163460169613921E-12</v>
      </c>
      <c r="CC90" s="62">
        <f t="shared" si="65"/>
        <v>293.33333333333962</v>
      </c>
      <c r="CD90" s="62">
        <f ca="1">AVERAGE(OFFSET($CC$3,0,0,'Données projet'!$E$12+1,1))-AVERAGE(OFFSET($H$3,0,0,'Données projet'!$E$12+1,1))</f>
        <v>217.14170654868826</v>
      </c>
      <c r="CE90" s="62">
        <f t="shared" si="94"/>
        <v>202.59844364241644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43.471999999999987</v>
      </c>
      <c r="D91" s="12">
        <f t="shared" si="86"/>
        <v>12.914395607689229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435.26340469093435</v>
      </c>
      <c r="H91" s="70">
        <f t="shared" si="56"/>
        <v>391.53963901672535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3.979039320256561E-13</v>
      </c>
      <c r="O91" s="14">
        <f>N91*VLOOKUP('Données projet'!$B$9,Paramètres!$A$1:$I$89,3,0)*VLOOKUP('Données projet'!$B$9,Paramètres!$A$1:$I$89,5,0)</f>
        <v>2.2760104911867532E-13</v>
      </c>
      <c r="P91" s="14">
        <f t="shared" si="87"/>
        <v>3.1070714519279848E-12</v>
      </c>
      <c r="Q91" s="22">
        <f t="shared" si="54"/>
        <v>5.8078879393229322E-12</v>
      </c>
      <c r="R91" s="62">
        <f t="shared" si="55"/>
        <v>293.33333333333911</v>
      </c>
      <c r="S91" s="62">
        <f ca="1">AVERAGE(OFFSET($R$3,0,0,'Données projet'!$E$9+1,1))-AVERAGE(OFFSET($H$3,0,0,'Données projet'!$E$9+1,1))</f>
        <v>183.98573418698061</v>
      </c>
      <c r="T91" s="62">
        <f t="shared" si="88"/>
        <v>158.42298722045609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294.57089926309249</v>
      </c>
      <c r="AO91" s="62">
        <f t="shared" si="90"/>
        <v>221.0956883062172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5.6</v>
      </c>
      <c r="BD91" s="13">
        <f>IF('Données projet'!$A$88&gt;35,BD90+BC91-BL90,IF(A91&lt;'Données projet'!$A$88,$BA$205^A91,IF(A91='Données projet'!$A$88,'Données projet'!$B$88,BD90+BC91-BL90)))</f>
        <v>284.8</v>
      </c>
      <c r="BE91" s="14">
        <f>BD91*VLOOKUP('Données projet'!$B$11,Paramètres!$A$1:$I$89,3,0)*VLOOKUP('Données projet'!$B$11,Paramètres!$A$1:$I$89,5,0)</f>
        <v>257.68704000000002</v>
      </c>
      <c r="BF91" s="14">
        <f t="shared" si="91"/>
        <v>62.229092239243343</v>
      </c>
      <c r="BG91" s="22">
        <f t="shared" si="61"/>
        <v>557.18726365001555</v>
      </c>
      <c r="BH91" s="62">
        <f t="shared" si="62"/>
        <v>850.52059698334892</v>
      </c>
      <c r="BI91" s="62">
        <f ca="1">AVERAGE(OFFSET($BH$3,0,0,'Données projet'!$E$11+1,1))-AVERAGE(OFFSET($H$3,0,0,'Données projet'!$E$11+1,1))</f>
        <v>312.29553270286209</v>
      </c>
      <c r="BJ91" s="62">
        <f t="shared" si="92"/>
        <v>175.8423124483154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3.4106051316484809E-13</v>
      </c>
      <c r="BZ91" s="14">
        <f>BY91*VLOOKUP('Données projet'!$B$12,Paramètres!$A$1:$I$89,3,0)*VLOOKUP('Données projet'!$B$12,Paramètres!$A$1:$I$89,5,0)</f>
        <v>2.5006556825246659E-13</v>
      </c>
      <c r="CA91" s="14">
        <f t="shared" si="93"/>
        <v>3.3765445850268018E-12</v>
      </c>
      <c r="CB91" s="22">
        <f t="shared" si="64"/>
        <v>6.3163460169613921E-12</v>
      </c>
      <c r="CC91" s="62">
        <f t="shared" si="65"/>
        <v>293.33333333333962</v>
      </c>
      <c r="CD91" s="62">
        <f ca="1">AVERAGE(OFFSET($CC$3,0,0,'Données projet'!$E$12+1,1))-AVERAGE(OFFSET($H$3,0,0,'Données projet'!$E$12+1,1))</f>
        <v>217.14170654868826</v>
      </c>
      <c r="CE91" s="62">
        <f t="shared" si="94"/>
        <v>202.59844364241644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43.965999999999987</v>
      </c>
      <c r="D92" s="12">
        <f t="shared" si="86"/>
        <v>13.043982479922438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440.07705773975209</v>
      </c>
      <c r="H92" s="70">
        <f t="shared" si="56"/>
        <v>392.62571948586486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3.979039320256561E-13</v>
      </c>
      <c r="O92" s="14">
        <f>N92*VLOOKUP('Données projet'!$B$9,Paramètres!$A$1:$I$89,3,0)*VLOOKUP('Données projet'!$B$9,Paramètres!$A$1:$I$89,5,0)</f>
        <v>2.2760104911867532E-13</v>
      </c>
      <c r="P92" s="14">
        <f t="shared" si="87"/>
        <v>3.1070714519279848E-12</v>
      </c>
      <c r="Q92" s="22">
        <f t="shared" si="54"/>
        <v>5.8078879393229322E-12</v>
      </c>
      <c r="R92" s="62">
        <f t="shared" si="55"/>
        <v>293.33333333333911</v>
      </c>
      <c r="S92" s="62">
        <f ca="1">AVERAGE(OFFSET($R$3,0,0,'Données projet'!$E$9+1,1))-AVERAGE(OFFSET($H$3,0,0,'Données projet'!$E$9+1,1))</f>
        <v>183.98573418698061</v>
      </c>
      <c r="T92" s="62">
        <f t="shared" si="88"/>
        <v>158.42298722045609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294.57089926309249</v>
      </c>
      <c r="AO92" s="62">
        <f t="shared" si="90"/>
        <v>221.0956883062172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5.6</v>
      </c>
      <c r="BD92" s="13">
        <f>IF('Données projet'!$A$88&gt;35,BD91+BC92-BL91,IF(A92&lt;'Données projet'!$A$88,$BA$205^A92,IF(A92='Données projet'!$A$88,'Données projet'!$B$88,BD91+BC92-BL91)))</f>
        <v>290.40000000000003</v>
      </c>
      <c r="BE92" s="14">
        <f>BD92*VLOOKUP('Données projet'!$B$11,Paramètres!$A$1:$I$89,3,0)*VLOOKUP('Données projet'!$B$11,Paramètres!$A$1:$I$89,5,0)</f>
        <v>262.75392000000005</v>
      </c>
      <c r="BF92" s="14">
        <f t="shared" si="91"/>
        <v>63.309041956360382</v>
      </c>
      <c r="BG92" s="22">
        <f t="shared" si="61"/>
        <v>567.89299207399438</v>
      </c>
      <c r="BH92" s="62">
        <f t="shared" si="62"/>
        <v>861.22632540732775</v>
      </c>
      <c r="BI92" s="62">
        <f ca="1">AVERAGE(OFFSET($BH$3,0,0,'Données projet'!$E$11+1,1))-AVERAGE(OFFSET($H$3,0,0,'Données projet'!$E$11+1,1))</f>
        <v>312.29553270286209</v>
      </c>
      <c r="BJ92" s="62">
        <f t="shared" si="92"/>
        <v>175.8423124483154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3.4106051316484809E-13</v>
      </c>
      <c r="BZ92" s="14">
        <f>BY92*VLOOKUP('Données projet'!$B$12,Paramètres!$A$1:$I$89,3,0)*VLOOKUP('Données projet'!$B$12,Paramètres!$A$1:$I$89,5,0)</f>
        <v>2.5006556825246659E-13</v>
      </c>
      <c r="CA92" s="14">
        <f t="shared" si="93"/>
        <v>3.3765445850268018E-12</v>
      </c>
      <c r="CB92" s="22">
        <f t="shared" si="64"/>
        <v>6.3163460169613921E-12</v>
      </c>
      <c r="CC92" s="62">
        <f t="shared" si="65"/>
        <v>293.33333333333962</v>
      </c>
      <c r="CD92" s="62">
        <f ca="1">AVERAGE(OFFSET($CC$3,0,0,'Données projet'!$E$12+1,1))-AVERAGE(OFFSET($H$3,0,0,'Données projet'!$E$12+1,1))</f>
        <v>217.14170654868826</v>
      </c>
      <c r="CE92" s="62">
        <f t="shared" si="94"/>
        <v>202.59844364241644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44.459999999999987</v>
      </c>
      <c r="D93" s="12">
        <f t="shared" si="86"/>
        <v>13.173399977011854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444.8894033313195</v>
      </c>
      <c r="H93" s="70">
        <f t="shared" si="56"/>
        <v>393.71150495996227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3.979039320256561E-13</v>
      </c>
      <c r="O93" s="14">
        <f>N93*VLOOKUP('Données projet'!$B$9,Paramètres!$A$1:$I$89,3,0)*VLOOKUP('Données projet'!$B$9,Paramètres!$A$1:$I$89,5,0)</f>
        <v>2.2760104911867532E-13</v>
      </c>
      <c r="P93" s="14">
        <f t="shared" si="87"/>
        <v>3.1070714519279848E-12</v>
      </c>
      <c r="Q93" s="22">
        <f t="shared" si="54"/>
        <v>5.8078879393229322E-12</v>
      </c>
      <c r="R93" s="62">
        <f t="shared" si="55"/>
        <v>293.33333333333911</v>
      </c>
      <c r="S93" s="62">
        <f ca="1">AVERAGE(OFFSET($R$3,0,0,'Données projet'!$E$9+1,1))-AVERAGE(OFFSET($H$3,0,0,'Données projet'!$E$9+1,1))</f>
        <v>183.98573418698061</v>
      </c>
      <c r="T93" s="62">
        <f t="shared" si="88"/>
        <v>158.42298722045609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294.57089926309249</v>
      </c>
      <c r="AO93" s="62">
        <f t="shared" si="90"/>
        <v>221.0956883062172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296</v>
      </c>
      <c r="BB93" s="13">
        <f>VLOOKUP(A93,'Données projet'!$A$87:$I$107,9,0)</f>
        <v>5.6</v>
      </c>
      <c r="BC93" s="13">
        <f t="array" ref="BC93">INDEX(BB:BB,MIN(IF(ISNUMBER(BB93:BB289),ROW(BB93:BB289),"")))</f>
        <v>5.6</v>
      </c>
      <c r="BD93" s="13">
        <f>IF('Données projet'!$A$88&gt;35,BD92+BC93-BL92,IF(A93&lt;'Données projet'!$A$88,$BA$205^A93,IF(A93='Données projet'!$A$88,'Données projet'!$B$88,BD92+BC93-BL92)))</f>
        <v>296.00000000000006</v>
      </c>
      <c r="BE93" s="14">
        <f>BD93*VLOOKUP('Données projet'!$B$11,Paramètres!$A$1:$I$89,3,0)*VLOOKUP('Données projet'!$B$11,Paramètres!$A$1:$I$89,5,0)</f>
        <v>267.82080000000008</v>
      </c>
      <c r="BF93" s="14">
        <f t="shared" si="91"/>
        <v>64.386570147897373</v>
      </c>
      <c r="BG93" s="22">
        <f t="shared" si="61"/>
        <v>578.59450300758806</v>
      </c>
      <c r="BH93" s="62">
        <f t="shared" si="62"/>
        <v>871.92783634092143</v>
      </c>
      <c r="BI93" s="62">
        <f ca="1">AVERAGE(OFFSET($BH$3,0,0,'Données projet'!$E$11+1,1))-AVERAGE(OFFSET($H$3,0,0,'Données projet'!$E$11+1,1))</f>
        <v>312.29553270286209</v>
      </c>
      <c r="BJ93" s="62">
        <f t="shared" si="92"/>
        <v>175.8423124483154</v>
      </c>
      <c r="BK93" s="16">
        <f>IF(ISNA(VLOOKUP(A93,'Données projet'!$A$87:$I$107,3,0)),0,VLOOKUP(A93,'Données projet'!$A$87:$I$107,3,0))</f>
        <v>7</v>
      </c>
      <c r="BL93" s="16">
        <f>IF(ISNA(VLOOKUP(A93,'Données projet'!$A$87:$I$107,4,0)),0,VLOOKUP(A93,'Données projet'!$A$87:$I$107,4,0))</f>
        <v>42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3.4106051316484809E-13</v>
      </c>
      <c r="BZ93" s="14">
        <f>BY93*VLOOKUP('Données projet'!$B$12,Paramètres!$A$1:$I$89,3,0)*VLOOKUP('Données projet'!$B$12,Paramètres!$A$1:$I$89,5,0)</f>
        <v>2.5006556825246659E-13</v>
      </c>
      <c r="CA93" s="14">
        <f t="shared" si="93"/>
        <v>3.3765445850268018E-12</v>
      </c>
      <c r="CB93" s="22">
        <f t="shared" si="64"/>
        <v>6.3163460169613921E-12</v>
      </c>
      <c r="CC93" s="62">
        <f t="shared" si="65"/>
        <v>293.33333333333962</v>
      </c>
      <c r="CD93" s="62">
        <f ca="1">AVERAGE(OFFSET($CC$3,0,0,'Données projet'!$E$12+1,1))-AVERAGE(OFFSET($H$3,0,0,'Données projet'!$E$12+1,1))</f>
        <v>217.14170654868826</v>
      </c>
      <c r="CE93" s="62">
        <f t="shared" si="94"/>
        <v>202.59844364241644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44.953999999999986</v>
      </c>
      <c r="D94" s="12">
        <f t="shared" si="86"/>
        <v>13.302650198690802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449.70045767410437</v>
      </c>
      <c r="H94" s="70">
        <f t="shared" si="56"/>
        <v>394.79699909605313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3.979039320256561E-13</v>
      </c>
      <c r="O94" s="14">
        <f>N94*VLOOKUP('Données projet'!$B$9,Paramètres!$A$1:$I$89,3,0)*VLOOKUP('Données projet'!$B$9,Paramètres!$A$1:$I$89,5,0)</f>
        <v>2.2760104911867532E-13</v>
      </c>
      <c r="P94" s="14">
        <f t="shared" si="87"/>
        <v>3.1070714519279848E-12</v>
      </c>
      <c r="Q94" s="22">
        <f t="shared" si="54"/>
        <v>5.8078879393229322E-12</v>
      </c>
      <c r="R94" s="62">
        <f t="shared" si="55"/>
        <v>293.33333333333911</v>
      </c>
      <c r="S94" s="62">
        <f ca="1">AVERAGE(OFFSET($R$3,0,0,'Données projet'!$E$9+1,1))-AVERAGE(OFFSET($H$3,0,0,'Données projet'!$E$9+1,1))</f>
        <v>183.98573418698061</v>
      </c>
      <c r="T94" s="62">
        <f t="shared" si="88"/>
        <v>158.42298722045609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294.57089926309249</v>
      </c>
      <c r="AO94" s="62">
        <f t="shared" si="90"/>
        <v>221.0956883062172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4.9000000000000004</v>
      </c>
      <c r="BD94" s="13">
        <f>IF('Données projet'!$A$88&gt;35,BD93+BC94-BL93,IF(A94&lt;'Données projet'!$A$88,$BA$205^A94,IF(A94='Données projet'!$A$88,'Données projet'!$B$88,BD93+BC94-BL93)))</f>
        <v>258.90000000000003</v>
      </c>
      <c r="BE94" s="14">
        <f>BD94*VLOOKUP('Données projet'!$B$11,Paramètres!$A$1:$I$89,3,0)*VLOOKUP('Données projet'!$B$11,Paramètres!$A$1:$I$89,5,0)</f>
        <v>234.25272000000001</v>
      </c>
      <c r="BF94" s="14">
        <f t="shared" si="91"/>
        <v>57.201236231171301</v>
      </c>
      <c r="BG94" s="22">
        <f t="shared" si="61"/>
        <v>507.61564043595672</v>
      </c>
      <c r="BH94" s="62">
        <f t="shared" si="62"/>
        <v>800.94897376928998</v>
      </c>
      <c r="BI94" s="62">
        <f ca="1">AVERAGE(OFFSET($BH$3,0,0,'Données projet'!$E$11+1,1))-AVERAGE(OFFSET($H$3,0,0,'Données projet'!$E$11+1,1))</f>
        <v>312.29553270286209</v>
      </c>
      <c r="BJ94" s="62">
        <f t="shared" si="92"/>
        <v>175.8423124483154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3.4106051316484809E-13</v>
      </c>
      <c r="BZ94" s="14">
        <f>BY94*VLOOKUP('Données projet'!$B$12,Paramètres!$A$1:$I$89,3,0)*VLOOKUP('Données projet'!$B$12,Paramètres!$A$1:$I$89,5,0)</f>
        <v>2.5006556825246659E-13</v>
      </c>
      <c r="CA94" s="14">
        <f t="shared" si="93"/>
        <v>3.3765445850268018E-12</v>
      </c>
      <c r="CB94" s="22">
        <f t="shared" si="64"/>
        <v>6.3163460169613921E-12</v>
      </c>
      <c r="CC94" s="62">
        <f t="shared" si="65"/>
        <v>293.33333333333962</v>
      </c>
      <c r="CD94" s="62">
        <f ca="1">AVERAGE(OFFSET($CC$3,0,0,'Données projet'!$E$12+1,1))-AVERAGE(OFFSET($H$3,0,0,'Données projet'!$E$12+1,1))</f>
        <v>217.14170654868826</v>
      </c>
      <c r="CE94" s="62">
        <f t="shared" si="94"/>
        <v>202.59844364241644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45.447999999999986</v>
      </c>
      <c r="D95" s="12">
        <f t="shared" si="86"/>
        <v>13.431735195887134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454.51023659983042</v>
      </c>
      <c r="H95" s="70">
        <f t="shared" si="56"/>
        <v>395.88220546617003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3.979039320256561E-13</v>
      </c>
      <c r="O95" s="14">
        <f>N95*VLOOKUP('Données projet'!$B$9,Paramètres!$A$1:$I$89,3,0)*VLOOKUP('Données projet'!$B$9,Paramètres!$A$1:$I$89,5,0)</f>
        <v>2.2760104911867532E-13</v>
      </c>
      <c r="P95" s="14">
        <f t="shared" si="87"/>
        <v>3.1070714519279848E-12</v>
      </c>
      <c r="Q95" s="22">
        <f t="shared" si="54"/>
        <v>5.8078879393229322E-12</v>
      </c>
      <c r="R95" s="62">
        <f t="shared" si="55"/>
        <v>293.33333333333911</v>
      </c>
      <c r="S95" s="62">
        <f ca="1">AVERAGE(OFFSET($R$3,0,0,'Données projet'!$E$9+1,1))-AVERAGE(OFFSET($H$3,0,0,'Données projet'!$E$9+1,1))</f>
        <v>183.98573418698061</v>
      </c>
      <c r="T95" s="62">
        <f t="shared" si="88"/>
        <v>158.42298722045609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294.57089926309249</v>
      </c>
      <c r="AO95" s="62">
        <f t="shared" si="90"/>
        <v>221.0956883062172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4.9000000000000004</v>
      </c>
      <c r="BD95" s="13">
        <f>IF('Données projet'!$A$88&gt;35,BD94+BC95-BL94,IF(A95&lt;'Données projet'!$A$88,$BA$205^A95,IF(A95='Données projet'!$A$88,'Données projet'!$B$88,BD94+BC95-BL94)))</f>
        <v>263.8</v>
      </c>
      <c r="BE95" s="14">
        <f>BD95*VLOOKUP('Données projet'!$B$11,Paramètres!$A$1:$I$89,3,0)*VLOOKUP('Données projet'!$B$11,Paramètres!$A$1:$I$89,5,0)</f>
        <v>238.68624</v>
      </c>
      <c r="BF95" s="14">
        <f t="shared" si="91"/>
        <v>58.156778382060871</v>
      </c>
      <c r="BG95" s="22">
        <f t="shared" si="61"/>
        <v>517.00159034875594</v>
      </c>
      <c r="BH95" s="62">
        <f t="shared" si="62"/>
        <v>810.33492368208931</v>
      </c>
      <c r="BI95" s="62">
        <f ca="1">AVERAGE(OFFSET($BH$3,0,0,'Données projet'!$E$11+1,1))-AVERAGE(OFFSET($H$3,0,0,'Données projet'!$E$11+1,1))</f>
        <v>312.29553270286209</v>
      </c>
      <c r="BJ95" s="62">
        <f t="shared" si="92"/>
        <v>175.8423124483154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3.4106051316484809E-13</v>
      </c>
      <c r="BZ95" s="14">
        <f>BY95*VLOOKUP('Données projet'!$B$12,Paramètres!$A$1:$I$89,3,0)*VLOOKUP('Données projet'!$B$12,Paramètres!$A$1:$I$89,5,0)</f>
        <v>2.5006556825246659E-13</v>
      </c>
      <c r="CA95" s="14">
        <f t="shared" si="93"/>
        <v>3.3765445850268018E-12</v>
      </c>
      <c r="CB95" s="22">
        <f t="shared" si="64"/>
        <v>6.3163460169613921E-12</v>
      </c>
      <c r="CC95" s="62">
        <f t="shared" si="65"/>
        <v>293.33333333333962</v>
      </c>
      <c r="CD95" s="62">
        <f ca="1">AVERAGE(OFFSET($CC$3,0,0,'Données projet'!$E$12+1,1))-AVERAGE(OFFSET($H$3,0,0,'Données projet'!$E$12+1,1))</f>
        <v>217.14170654868826</v>
      </c>
      <c r="CE95" s="62">
        <f t="shared" si="94"/>
        <v>202.59844364241644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45.941999999999986</v>
      </c>
      <c r="D96" s="12">
        <f t="shared" si="86"/>
        <v>13.560656972375495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459.31875557623181</v>
      </c>
      <c r="H96" s="70">
        <f t="shared" si="56"/>
        <v>396.9671275602206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3.979039320256561E-13</v>
      </c>
      <c r="O96" s="14">
        <f>N96*VLOOKUP('Données projet'!$B$9,Paramètres!$A$1:$I$89,3,0)*VLOOKUP('Données projet'!$B$9,Paramètres!$A$1:$I$89,5,0)</f>
        <v>2.2760104911867532E-13</v>
      </c>
      <c r="P96" s="14">
        <f t="shared" si="87"/>
        <v>3.1070714519279848E-12</v>
      </c>
      <c r="Q96" s="22">
        <f t="shared" si="54"/>
        <v>5.8078879393229322E-12</v>
      </c>
      <c r="R96" s="62">
        <f t="shared" si="55"/>
        <v>293.33333333333911</v>
      </c>
      <c r="S96" s="62">
        <f ca="1">AVERAGE(OFFSET($R$3,0,0,'Données projet'!$E$9+1,1))-AVERAGE(OFFSET($H$3,0,0,'Données projet'!$E$9+1,1))</f>
        <v>183.98573418698061</v>
      </c>
      <c r="T96" s="62">
        <f t="shared" si="88"/>
        <v>158.42298722045609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294.57089926309249</v>
      </c>
      <c r="AO96" s="62">
        <f t="shared" si="90"/>
        <v>221.0956883062172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4.9000000000000004</v>
      </c>
      <c r="BD96" s="13">
        <f>IF('Données projet'!$A$88&gt;35,BD95+BC96-BL95,IF(A96&lt;'Données projet'!$A$88,$BA$205^A96,IF(A96='Données projet'!$A$88,'Données projet'!$B$88,BD95+BC96-BL95)))</f>
        <v>268.7</v>
      </c>
      <c r="BE96" s="14">
        <f>BD96*VLOOKUP('Données projet'!$B$11,Paramètres!$A$1:$I$89,3,0)*VLOOKUP('Données projet'!$B$11,Paramètres!$A$1:$I$89,5,0)</f>
        <v>243.11975999999996</v>
      </c>
      <c r="BF96" s="14">
        <f t="shared" si="91"/>
        <v>59.110256668778533</v>
      </c>
      <c r="BG96" s="22">
        <f t="shared" si="61"/>
        <v>526.3839456981226</v>
      </c>
      <c r="BH96" s="62">
        <f t="shared" si="62"/>
        <v>819.71727903145597</v>
      </c>
      <c r="BI96" s="62">
        <f ca="1">AVERAGE(OFFSET($BH$3,0,0,'Données projet'!$E$11+1,1))-AVERAGE(OFFSET($H$3,0,0,'Données projet'!$E$11+1,1))</f>
        <v>312.29553270286209</v>
      </c>
      <c r="BJ96" s="62">
        <f t="shared" si="92"/>
        <v>175.8423124483154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3.4106051316484809E-13</v>
      </c>
      <c r="BZ96" s="14">
        <f>BY96*VLOOKUP('Données projet'!$B$12,Paramètres!$A$1:$I$89,3,0)*VLOOKUP('Données projet'!$B$12,Paramètres!$A$1:$I$89,5,0)</f>
        <v>2.5006556825246659E-13</v>
      </c>
      <c r="CA96" s="14">
        <f t="shared" si="93"/>
        <v>3.3765445850268018E-12</v>
      </c>
      <c r="CB96" s="22">
        <f t="shared" si="64"/>
        <v>6.3163460169613921E-12</v>
      </c>
      <c r="CC96" s="62">
        <f t="shared" si="65"/>
        <v>293.33333333333962</v>
      </c>
      <c r="CD96" s="62">
        <f ca="1">AVERAGE(OFFSET($CC$3,0,0,'Données projet'!$E$12+1,1))-AVERAGE(OFFSET($H$3,0,0,'Données projet'!$E$12+1,1))</f>
        <v>217.14170654868826</v>
      </c>
      <c r="CE96" s="62">
        <f t="shared" si="94"/>
        <v>202.59844364241644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46.435999999999986</v>
      </c>
      <c r="D97" s="12">
        <f t="shared" si="86"/>
        <v>13.689417486356579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464.12602971924372</v>
      </c>
      <c r="H97" s="70">
        <f t="shared" si="56"/>
        <v>398.05176878873766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3.979039320256561E-13</v>
      </c>
      <c r="O97" s="14">
        <f>N97*VLOOKUP('Données projet'!$B$9,Paramètres!$A$1:$I$89,3,0)*VLOOKUP('Données projet'!$B$9,Paramètres!$A$1:$I$89,5,0)</f>
        <v>2.2760104911867532E-13</v>
      </c>
      <c r="P97" s="14">
        <f t="shared" si="87"/>
        <v>3.1070714519279848E-12</v>
      </c>
      <c r="Q97" s="22">
        <f t="shared" si="54"/>
        <v>5.8078879393229322E-12</v>
      </c>
      <c r="R97" s="62">
        <f t="shared" si="55"/>
        <v>293.33333333333911</v>
      </c>
      <c r="S97" s="62">
        <f ca="1">AVERAGE(OFFSET($R$3,0,0,'Données projet'!$E$9+1,1))-AVERAGE(OFFSET($H$3,0,0,'Données projet'!$E$9+1,1))</f>
        <v>183.98573418698061</v>
      </c>
      <c r="T97" s="62">
        <f t="shared" si="88"/>
        <v>158.42298722045609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294.57089926309249</v>
      </c>
      <c r="AO97" s="62">
        <f t="shared" si="90"/>
        <v>221.0956883062172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4.9000000000000004</v>
      </c>
      <c r="BD97" s="13">
        <f>IF('Données projet'!$A$88&gt;35,BD96+BC97-BL96,IF(A97&lt;'Données projet'!$A$88,$BA$205^A97,IF(A97='Données projet'!$A$88,'Données projet'!$B$88,BD96+BC97-BL96)))</f>
        <v>273.59999999999997</v>
      </c>
      <c r="BE97" s="14">
        <f>BD97*VLOOKUP('Données projet'!$B$11,Paramètres!$A$1:$I$89,3,0)*VLOOKUP('Données projet'!$B$11,Paramètres!$A$1:$I$89,5,0)</f>
        <v>247.55327999999994</v>
      </c>
      <c r="BF97" s="14">
        <f t="shared" si="91"/>
        <v>60.061713068870255</v>
      </c>
      <c r="BG97" s="22">
        <f t="shared" si="61"/>
        <v>535.76277959494894</v>
      </c>
      <c r="BH97" s="62">
        <f t="shared" si="62"/>
        <v>829.09611292828231</v>
      </c>
      <c r="BI97" s="62">
        <f ca="1">AVERAGE(OFFSET($BH$3,0,0,'Données projet'!$E$11+1,1))-AVERAGE(OFFSET($H$3,0,0,'Données projet'!$E$11+1,1))</f>
        <v>312.29553270286209</v>
      </c>
      <c r="BJ97" s="62">
        <f t="shared" si="92"/>
        <v>175.8423124483154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3.4106051316484809E-13</v>
      </c>
      <c r="BZ97" s="14">
        <f>BY97*VLOOKUP('Données projet'!$B$12,Paramètres!$A$1:$I$89,3,0)*VLOOKUP('Données projet'!$B$12,Paramètres!$A$1:$I$89,5,0)</f>
        <v>2.5006556825246659E-13</v>
      </c>
      <c r="CA97" s="14">
        <f t="shared" si="93"/>
        <v>3.3765445850268018E-12</v>
      </c>
      <c r="CB97" s="22">
        <f t="shared" si="64"/>
        <v>6.3163460169613921E-12</v>
      </c>
      <c r="CC97" s="62">
        <f t="shared" si="65"/>
        <v>293.33333333333962</v>
      </c>
      <c r="CD97" s="62">
        <f ca="1">AVERAGE(OFFSET($CC$3,0,0,'Données projet'!$E$12+1,1))-AVERAGE(OFFSET($H$3,0,0,'Données projet'!$E$12+1,1))</f>
        <v>217.14170654868826</v>
      </c>
      <c r="CE97" s="62">
        <f t="shared" si="94"/>
        <v>202.59844364241644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46.929999999999986</v>
      </c>
      <c r="D98" s="12">
        <f t="shared" si="86"/>
        <v>13.818018651967211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468.93207380465907</v>
      </c>
      <c r="H98" s="70">
        <f t="shared" si="56"/>
        <v>399.13613248550951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3.979039320256561E-13</v>
      </c>
      <c r="O98" s="14">
        <f>N98*VLOOKUP('Données projet'!$B$9,Paramètres!$A$1:$I$89,3,0)*VLOOKUP('Données projet'!$B$9,Paramètres!$A$1:$I$89,5,0)</f>
        <v>2.2760104911867532E-13</v>
      </c>
      <c r="P98" s="14">
        <f t="shared" si="87"/>
        <v>3.1070714519279848E-12</v>
      </c>
      <c r="Q98" s="22">
        <f t="shared" si="54"/>
        <v>5.8078879393229322E-12</v>
      </c>
      <c r="R98" s="62">
        <f t="shared" si="55"/>
        <v>293.33333333333911</v>
      </c>
      <c r="S98" s="62">
        <f ca="1">AVERAGE(OFFSET($R$3,0,0,'Données projet'!$E$9+1,1))-AVERAGE(OFFSET($H$3,0,0,'Données projet'!$E$9+1,1))</f>
        <v>183.98573418698061</v>
      </c>
      <c r="T98" s="62">
        <f t="shared" si="88"/>
        <v>158.42298722045609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294.57089926309249</v>
      </c>
      <c r="AO98" s="62">
        <f t="shared" si="90"/>
        <v>221.0956883062172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4.9000000000000004</v>
      </c>
      <c r="BD98" s="13">
        <f>IF('Données projet'!$A$88&gt;35,BD97+BC98-BL97,IF(A98&lt;'Données projet'!$A$88,$BA$205^A98,IF(A98='Données projet'!$A$88,'Données projet'!$B$88,BD97+BC98-BL97)))</f>
        <v>278.49999999999994</v>
      </c>
      <c r="BE98" s="14">
        <f>BD98*VLOOKUP('Données projet'!$B$11,Paramètres!$A$1:$I$89,3,0)*VLOOKUP('Données projet'!$B$11,Paramètres!$A$1:$I$89,5,0)</f>
        <v>251.98679999999993</v>
      </c>
      <c r="BF98" s="14">
        <f t="shared" si="91"/>
        <v>61.011187970195053</v>
      </c>
      <c r="BG98" s="22">
        <f t="shared" si="61"/>
        <v>545.13816238142283</v>
      </c>
      <c r="BH98" s="62">
        <f t="shared" si="62"/>
        <v>838.4714957147562</v>
      </c>
      <c r="BI98" s="62">
        <f ca="1">AVERAGE(OFFSET($BH$3,0,0,'Données projet'!$E$11+1,1))-AVERAGE(OFFSET($H$3,0,0,'Données projet'!$E$11+1,1))</f>
        <v>312.29553270286209</v>
      </c>
      <c r="BJ98" s="62">
        <f t="shared" si="92"/>
        <v>175.8423124483154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3.4106051316484809E-13</v>
      </c>
      <c r="BZ98" s="14">
        <f>BY98*VLOOKUP('Données projet'!$B$12,Paramètres!$A$1:$I$89,3,0)*VLOOKUP('Données projet'!$B$12,Paramètres!$A$1:$I$89,5,0)</f>
        <v>2.5006556825246659E-13</v>
      </c>
      <c r="CA98" s="14">
        <f t="shared" si="93"/>
        <v>3.3765445850268018E-12</v>
      </c>
      <c r="CB98" s="22">
        <f t="shared" si="64"/>
        <v>6.3163460169613921E-12</v>
      </c>
      <c r="CC98" s="62">
        <f t="shared" si="65"/>
        <v>293.33333333333962</v>
      </c>
      <c r="CD98" s="62">
        <f ca="1">AVERAGE(OFFSET($CC$3,0,0,'Données projet'!$E$12+1,1))-AVERAGE(OFFSET($H$3,0,0,'Données projet'!$E$12+1,1))</f>
        <v>217.14170654868826</v>
      </c>
      <c r="CE98" s="62">
        <f t="shared" si="94"/>
        <v>202.59844364241644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47.423999999999985</v>
      </c>
      <c r="D99" s="12">
        <f t="shared" si="86"/>
        <v>13.946462340725052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473.73690227928097</v>
      </c>
      <c r="H99" s="70">
        <f t="shared" si="56"/>
        <v>400.22022191009609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3.979039320256561E-13</v>
      </c>
      <c r="O99" s="14">
        <f>N99*VLOOKUP('Données projet'!$B$9,Paramètres!$A$1:$I$89,3,0)*VLOOKUP('Données projet'!$B$9,Paramètres!$A$1:$I$89,5,0)</f>
        <v>2.2760104911867532E-13</v>
      </c>
      <c r="P99" s="14">
        <f t="shared" si="87"/>
        <v>3.1070714519279848E-12</v>
      </c>
      <c r="Q99" s="22">
        <f t="shared" ref="Q99:Q130" si="107">(O99+P99)*0.475*44/12</f>
        <v>5.8078879393229322E-12</v>
      </c>
      <c r="R99" s="62">
        <f t="shared" si="55"/>
        <v>293.33333333333911</v>
      </c>
      <c r="S99" s="62">
        <f ca="1">AVERAGE(OFFSET($R$3,0,0,'Données projet'!$E$9+1,1))-AVERAGE(OFFSET($H$3,0,0,'Données projet'!$E$9+1,1))</f>
        <v>183.98573418698061</v>
      </c>
      <c r="T99" s="62">
        <f t="shared" si="88"/>
        <v>158.42298722045609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294.57089926309249</v>
      </c>
      <c r="AO99" s="62">
        <f t="shared" si="90"/>
        <v>221.0956883062172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4.9000000000000004</v>
      </c>
      <c r="BD99" s="13">
        <f>IF('Données projet'!$A$88&gt;35,BD98+BC99-BL98,IF(A99&lt;'Données projet'!$A$88,$BA$205^A99,IF(A99='Données projet'!$A$88,'Données projet'!$B$88,BD98+BC99-BL98)))</f>
        <v>283.39999999999992</v>
      </c>
      <c r="BE99" s="14">
        <f>BD99*VLOOKUP('Données projet'!$B$11,Paramètres!$A$1:$I$89,3,0)*VLOOKUP('Données projet'!$B$11,Paramètres!$A$1:$I$89,5,0)</f>
        <v>256.42031999999989</v>
      </c>
      <c r="BF99" s="14">
        <f t="shared" si="91"/>
        <v>61.958720258016918</v>
      </c>
      <c r="BG99" s="22">
        <f t="shared" si="61"/>
        <v>554.51016178271254</v>
      </c>
      <c r="BH99" s="62">
        <f t="shared" si="62"/>
        <v>847.84349511604591</v>
      </c>
      <c r="BI99" s="62">
        <f ca="1">AVERAGE(OFFSET($BH$3,0,0,'Données projet'!$E$11+1,1))-AVERAGE(OFFSET($H$3,0,0,'Données projet'!$E$11+1,1))</f>
        <v>312.29553270286209</v>
      </c>
      <c r="BJ99" s="62">
        <f t="shared" si="92"/>
        <v>175.8423124483154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3.4106051316484809E-13</v>
      </c>
      <c r="BZ99" s="14">
        <f>BY99*VLOOKUP('Données projet'!$B$12,Paramètres!$A$1:$I$89,3,0)*VLOOKUP('Données projet'!$B$12,Paramètres!$A$1:$I$89,5,0)</f>
        <v>2.5006556825246659E-13</v>
      </c>
      <c r="CA99" s="14">
        <f t="shared" si="93"/>
        <v>3.3765445850268018E-12</v>
      </c>
      <c r="CB99" s="22">
        <f t="shared" si="64"/>
        <v>6.3163460169613921E-12</v>
      </c>
      <c r="CC99" s="62">
        <f t="shared" si="65"/>
        <v>293.33333333333962</v>
      </c>
      <c r="CD99" s="62">
        <f ca="1">AVERAGE(OFFSET($CC$3,0,0,'Données projet'!$E$12+1,1))-AVERAGE(OFFSET($H$3,0,0,'Données projet'!$E$12+1,1))</f>
        <v>217.14170654868826</v>
      </c>
      <c r="CE99" s="62">
        <f t="shared" si="94"/>
        <v>202.59844364241644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47.917999999999985</v>
      </c>
      <c r="D100" s="12">
        <f t="shared" si="86"/>
        <v>14.074750382911397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478.5405292715966</v>
      </c>
      <c r="H100" s="70">
        <f t="shared" si="56"/>
        <v>401.30404025023728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3.979039320256561E-13</v>
      </c>
      <c r="O100" s="14">
        <f>N100*VLOOKUP('Données projet'!$B$9,Paramètres!$A$1:$I$89,3,0)*VLOOKUP('Données projet'!$B$9,Paramètres!$A$1:$I$89,5,0)</f>
        <v>2.2760104911867532E-13</v>
      </c>
      <c r="P100" s="14">
        <f t="shared" si="87"/>
        <v>3.1070714519279848E-12</v>
      </c>
      <c r="Q100" s="22">
        <f t="shared" si="107"/>
        <v>5.8078879393229322E-12</v>
      </c>
      <c r="R100" s="62">
        <f t="shared" si="55"/>
        <v>293.33333333333911</v>
      </c>
      <c r="S100" s="62">
        <f ca="1">AVERAGE(OFFSET($R$3,0,0,'Données projet'!$E$9+1,1))-AVERAGE(OFFSET($H$3,0,0,'Données projet'!$E$9+1,1))</f>
        <v>183.98573418698061</v>
      </c>
      <c r="T100" s="62">
        <f t="shared" si="88"/>
        <v>158.42298722045609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294.57089926309249</v>
      </c>
      <c r="AO100" s="62">
        <f t="shared" si="90"/>
        <v>221.0956883062172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4.9000000000000004</v>
      </c>
      <c r="BD100" s="13">
        <f>IF('Données projet'!$A$88&gt;35,BD99+BC100-BL99,IF(A100&lt;'Données projet'!$A$88,$BA$205^A100,IF(A100='Données projet'!$A$88,'Données projet'!$B$88,BD99+BC100-BL99)))</f>
        <v>288.2999999999999</v>
      </c>
      <c r="BE100" s="14">
        <f>BD100*VLOOKUP('Données projet'!$B$11,Paramètres!$A$1:$I$89,3,0)*VLOOKUP('Données projet'!$B$11,Paramètres!$A$1:$I$89,5,0)</f>
        <v>260.85383999999993</v>
      </c>
      <c r="BF100" s="14">
        <f t="shared" si="91"/>
        <v>62.904347395903763</v>
      </c>
      <c r="BG100" s="22">
        <f t="shared" si="61"/>
        <v>563.87884304786564</v>
      </c>
      <c r="BH100" s="62">
        <f t="shared" si="62"/>
        <v>857.21217638119901</v>
      </c>
      <c r="BI100" s="62">
        <f ca="1">AVERAGE(OFFSET($BH$3,0,0,'Données projet'!$E$11+1,1))-AVERAGE(OFFSET($H$3,0,0,'Données projet'!$E$11+1,1))</f>
        <v>312.29553270286209</v>
      </c>
      <c r="BJ100" s="62">
        <f t="shared" si="92"/>
        <v>175.8423124483154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3.4106051316484809E-13</v>
      </c>
      <c r="BZ100" s="14">
        <f>BY100*VLOOKUP('Données projet'!$B$12,Paramètres!$A$1:$I$89,3,0)*VLOOKUP('Données projet'!$B$12,Paramètres!$A$1:$I$89,5,0)</f>
        <v>2.5006556825246659E-13</v>
      </c>
      <c r="CA100" s="14">
        <f t="shared" si="93"/>
        <v>3.3765445850268018E-12</v>
      </c>
      <c r="CB100" s="22">
        <f t="shared" si="64"/>
        <v>6.3163460169613921E-12</v>
      </c>
      <c r="CC100" s="62">
        <f t="shared" si="65"/>
        <v>293.33333333333962</v>
      </c>
      <c r="CD100" s="62">
        <f ca="1">AVERAGE(OFFSET($CC$3,0,0,'Données projet'!$E$12+1,1))-AVERAGE(OFFSET($H$3,0,0,'Données projet'!$E$12+1,1))</f>
        <v>217.14170654868826</v>
      </c>
      <c r="CE100" s="62">
        <f t="shared" si="94"/>
        <v>202.59844364241644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48.411999999999985</v>
      </c>
      <c r="D101" s="12">
        <f t="shared" si="86"/>
        <v>14.202884568895271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483.34296860199851</v>
      </c>
      <c r="H101" s="70">
        <f t="shared" si="56"/>
        <v>402.3875906241592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3.979039320256561E-13</v>
      </c>
      <c r="O101" s="14">
        <f>N101*VLOOKUP('Données projet'!$B$9,Paramètres!$A$1:$I$89,3,0)*VLOOKUP('Données projet'!$B$9,Paramètres!$A$1:$I$89,5,0)</f>
        <v>2.2760104911867532E-13</v>
      </c>
      <c r="P101" s="14">
        <f t="shared" si="87"/>
        <v>3.1070714519279848E-12</v>
      </c>
      <c r="Q101" s="22">
        <f t="shared" si="107"/>
        <v>5.8078879393229322E-12</v>
      </c>
      <c r="R101" s="62">
        <f t="shared" si="55"/>
        <v>293.33333333333911</v>
      </c>
      <c r="S101" s="62">
        <f ca="1">AVERAGE(OFFSET($R$3,0,0,'Données projet'!$E$9+1,1))-AVERAGE(OFFSET($H$3,0,0,'Données projet'!$E$9+1,1))</f>
        <v>183.98573418698061</v>
      </c>
      <c r="T101" s="62">
        <f t="shared" si="88"/>
        <v>158.42298722045609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294.57089926309249</v>
      </c>
      <c r="AO101" s="62">
        <f t="shared" si="90"/>
        <v>221.0956883062172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4.9000000000000004</v>
      </c>
      <c r="BD101" s="13">
        <f>IF('Données projet'!$A$88&gt;35,BD100+BC101-BL100,IF(A101&lt;'Données projet'!$A$88,$BA$205^A101,IF(A101='Données projet'!$A$88,'Données projet'!$B$88,BD100+BC101-BL100)))</f>
        <v>293.19999999999987</v>
      </c>
      <c r="BE101" s="14">
        <f>BD101*VLOOKUP('Données projet'!$B$11,Paramètres!$A$1:$I$89,3,0)*VLOOKUP('Données projet'!$B$11,Paramètres!$A$1:$I$89,5,0)</f>
        <v>265.28735999999992</v>
      </c>
      <c r="BF101" s="14">
        <f t="shared" si="91"/>
        <v>63.84810550096995</v>
      </c>
      <c r="BG101" s="22">
        <f t="shared" si="61"/>
        <v>573.24426908085582</v>
      </c>
      <c r="BH101" s="62">
        <f t="shared" si="62"/>
        <v>866.57760241418919</v>
      </c>
      <c r="BI101" s="62">
        <f ca="1">AVERAGE(OFFSET($BH$3,0,0,'Données projet'!$E$11+1,1))-AVERAGE(OFFSET($H$3,0,0,'Données projet'!$E$11+1,1))</f>
        <v>312.29553270286209</v>
      </c>
      <c r="BJ101" s="62">
        <f t="shared" si="92"/>
        <v>175.8423124483154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3.4106051316484809E-13</v>
      </c>
      <c r="BZ101" s="14">
        <f>BY101*VLOOKUP('Données projet'!$B$12,Paramètres!$A$1:$I$89,3,0)*VLOOKUP('Données projet'!$B$12,Paramètres!$A$1:$I$89,5,0)</f>
        <v>2.5006556825246659E-13</v>
      </c>
      <c r="CA101" s="14">
        <f t="shared" si="93"/>
        <v>3.3765445850268018E-12</v>
      </c>
      <c r="CB101" s="22">
        <f t="shared" si="64"/>
        <v>6.3163460169613921E-12</v>
      </c>
      <c r="CC101" s="62">
        <f t="shared" si="65"/>
        <v>293.33333333333962</v>
      </c>
      <c r="CD101" s="62">
        <f ca="1">AVERAGE(OFFSET($CC$3,0,0,'Données projet'!$E$12+1,1))-AVERAGE(OFFSET($H$3,0,0,'Données projet'!$E$12+1,1))</f>
        <v>217.14170654868826</v>
      </c>
      <c r="CE101" s="62">
        <f t="shared" si="94"/>
        <v>202.59844364241644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48.905999999999985</v>
      </c>
      <c r="D102" s="12">
        <f t="shared" si="86"/>
        <v>14.330866650402021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488.14423379257687</v>
      </c>
      <c r="H102" s="70">
        <f t="shared" si="56"/>
        <v>403.47087608278349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3.979039320256561E-13</v>
      </c>
      <c r="O102" s="14">
        <f>N102*VLOOKUP('Données projet'!$B$9,Paramètres!$A$1:$I$89,3,0)*VLOOKUP('Données projet'!$B$9,Paramètres!$A$1:$I$89,5,0)</f>
        <v>2.2760104911867532E-13</v>
      </c>
      <c r="P102" s="14">
        <f t="shared" si="87"/>
        <v>3.1070714519279848E-12</v>
      </c>
      <c r="Q102" s="22">
        <f t="shared" si="107"/>
        <v>5.8078879393229322E-12</v>
      </c>
      <c r="R102" s="62">
        <f t="shared" si="55"/>
        <v>293.33333333333911</v>
      </c>
      <c r="S102" s="62">
        <f ca="1">AVERAGE(OFFSET($R$3,0,0,'Données projet'!$E$9+1,1))-AVERAGE(OFFSET($H$3,0,0,'Données projet'!$E$9+1,1))</f>
        <v>183.98573418698061</v>
      </c>
      <c r="T102" s="62">
        <f t="shared" si="88"/>
        <v>158.42298722045609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294.57089926309249</v>
      </c>
      <c r="AO102" s="62">
        <f t="shared" si="90"/>
        <v>221.0956883062172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4.9000000000000004</v>
      </c>
      <c r="BD102" s="13">
        <f>IF('Données projet'!$A$88&gt;35,BD101+BC102-BL101,IF(A102&lt;'Données projet'!$A$88,$BA$205^A102,IF(A102='Données projet'!$A$88,'Données projet'!$B$88,BD101+BC102-BL101)))</f>
        <v>298.09999999999985</v>
      </c>
      <c r="BE102" s="14">
        <f>BD102*VLOOKUP('Données projet'!$B$11,Paramètres!$A$1:$I$89,3,0)*VLOOKUP('Données projet'!$B$11,Paramètres!$A$1:$I$89,5,0)</f>
        <v>269.72087999999985</v>
      </c>
      <c r="BF102" s="14">
        <f t="shared" si="91"/>
        <v>64.790029413946939</v>
      </c>
      <c r="BG102" s="22">
        <f t="shared" si="61"/>
        <v>582.60650056262409</v>
      </c>
      <c r="BH102" s="62">
        <f t="shared" si="62"/>
        <v>875.93983389595746</v>
      </c>
      <c r="BI102" s="62">
        <f ca="1">AVERAGE(OFFSET($BH$3,0,0,'Données projet'!$E$11+1,1))-AVERAGE(OFFSET($H$3,0,0,'Données projet'!$E$11+1,1))</f>
        <v>312.29553270286209</v>
      </c>
      <c r="BJ102" s="62">
        <f t="shared" si="92"/>
        <v>175.8423124483154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3.4106051316484809E-13</v>
      </c>
      <c r="BZ102" s="14">
        <f>BY102*VLOOKUP('Données projet'!$B$12,Paramètres!$A$1:$I$89,3,0)*VLOOKUP('Données projet'!$B$12,Paramètres!$A$1:$I$89,5,0)</f>
        <v>2.5006556825246659E-13</v>
      </c>
      <c r="CA102" s="14">
        <f t="shared" si="93"/>
        <v>3.3765445850268018E-12</v>
      </c>
      <c r="CB102" s="22">
        <f t="shared" si="64"/>
        <v>6.3163460169613921E-12</v>
      </c>
      <c r="CC102" s="62">
        <f t="shared" si="65"/>
        <v>293.33333333333962</v>
      </c>
      <c r="CD102" s="62">
        <f ca="1">AVERAGE(OFFSET($CC$3,0,0,'Données projet'!$E$12+1,1))-AVERAGE(OFFSET($H$3,0,0,'Données projet'!$E$12+1,1))</f>
        <v>217.14170654868826</v>
      </c>
      <c r="CE102" s="62">
        <f t="shared" si="94"/>
        <v>202.59844364241644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49.399999999999984</v>
      </c>
      <c r="D103" s="12">
        <f t="shared" si="86"/>
        <v>14.458698341729095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492.94433807650518</v>
      </c>
      <c r="H103" s="70">
        <f t="shared" si="56"/>
        <v>404.55389961184477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3.979039320256561E-13</v>
      </c>
      <c r="O103" s="14">
        <f>N103*VLOOKUP('Données projet'!$B$9,Paramètres!$A$1:$I$89,3,0)*VLOOKUP('Données projet'!$B$9,Paramètres!$A$1:$I$89,5,0)</f>
        <v>2.2760104911867532E-13</v>
      </c>
      <c r="P103" s="14">
        <f t="shared" si="87"/>
        <v>3.1070714519279848E-12</v>
      </c>
      <c r="Q103" s="22">
        <f t="shared" si="107"/>
        <v>5.8078879393229322E-12</v>
      </c>
      <c r="R103" s="62">
        <f t="shared" si="55"/>
        <v>293.33333333333911</v>
      </c>
      <c r="S103" s="62">
        <f ca="1">AVERAGE(OFFSET($R$3,0,0,'Données projet'!$E$9+1,1))-AVERAGE(OFFSET($H$3,0,0,'Données projet'!$E$9+1,1))</f>
        <v>183.98573418698061</v>
      </c>
      <c r="T103" s="62">
        <f t="shared" si="88"/>
        <v>158.42298722045609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294.57089926309249</v>
      </c>
      <c r="AO103" s="62">
        <f t="shared" si="90"/>
        <v>221.0956883062172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303</v>
      </c>
      <c r="BB103" s="13">
        <f>VLOOKUP(A103,'Données projet'!$A$87:$I$107,9,0)</f>
        <v>4.9000000000000004</v>
      </c>
      <c r="BC103" s="13">
        <f t="array" ref="BC103">INDEX(BB:BB,MIN(IF(ISNUMBER(BB103:BB299),ROW(BB103:BB299),"")))</f>
        <v>4.9000000000000004</v>
      </c>
      <c r="BD103" s="13">
        <f>IF('Données projet'!$A$88&gt;35,BD102+BC103-BL102,IF(A103&lt;'Données projet'!$A$88,$BA$205^A103,IF(A103='Données projet'!$A$88,'Données projet'!$B$88,BD102+BC103-BL102)))</f>
        <v>302.99999999999983</v>
      </c>
      <c r="BE103" s="14">
        <f>BD103*VLOOKUP('Données projet'!$B$11,Paramètres!$A$1:$I$89,3,0)*VLOOKUP('Données projet'!$B$11,Paramètres!$A$1:$I$89,5,0)</f>
        <v>274.15439999999984</v>
      </c>
      <c r="BF103" s="14">
        <f t="shared" si="91"/>
        <v>65.730152764515779</v>
      </c>
      <c r="BG103" s="22">
        <f t="shared" si="61"/>
        <v>591.9655960648646</v>
      </c>
      <c r="BH103" s="62">
        <f t="shared" si="62"/>
        <v>885.29892939819797</v>
      </c>
      <c r="BI103" s="62">
        <f ca="1">AVERAGE(OFFSET($BH$3,0,0,'Données projet'!$E$11+1,1))-AVERAGE(OFFSET($H$3,0,0,'Données projet'!$E$11+1,1))</f>
        <v>312.29553270286209</v>
      </c>
      <c r="BJ103" s="62">
        <f t="shared" si="92"/>
        <v>175.8423124483154</v>
      </c>
      <c r="BK103" s="16">
        <f>IF(ISNA(VLOOKUP(A103,'Données projet'!$A$87:$I$107,3,0)),0,VLOOKUP(A103,'Données projet'!$A$87:$I$107,3,0))</f>
        <v>8</v>
      </c>
      <c r="BL103" s="16">
        <f>IF(ISNA(VLOOKUP(A103,'Données projet'!$A$87:$I$107,4,0)),0,VLOOKUP(A103,'Données projet'!$A$87:$I$107,4,0))</f>
        <v>42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3.4106051316484809E-13</v>
      </c>
      <c r="BZ103" s="14">
        <f>BY103*VLOOKUP('Données projet'!$B$12,Paramètres!$A$1:$I$89,3,0)*VLOOKUP('Données projet'!$B$12,Paramètres!$A$1:$I$89,5,0)</f>
        <v>2.5006556825246659E-13</v>
      </c>
      <c r="CA103" s="14">
        <f t="shared" si="93"/>
        <v>3.3765445850268018E-12</v>
      </c>
      <c r="CB103" s="22">
        <f t="shared" si="64"/>
        <v>6.3163460169613921E-12</v>
      </c>
      <c r="CC103" s="62">
        <f t="shared" si="65"/>
        <v>293.33333333333962</v>
      </c>
      <c r="CD103" s="62">
        <f ca="1">AVERAGE(OFFSET($CC$3,0,0,'Données projet'!$E$12+1,1))-AVERAGE(OFFSET($H$3,0,0,'Données projet'!$E$12+1,1))</f>
        <v>217.14170654868826</v>
      </c>
      <c r="CE103" s="62">
        <f t="shared" si="94"/>
        <v>202.59844364241644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49.893999999999984</v>
      </c>
      <c r="D104" s="12">
        <f t="shared" si="86"/>
        <v>14.586381320911869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497.74329440703883</v>
      </c>
      <c r="H104" s="70">
        <f t="shared" si="56"/>
        <v>405.63666413392144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3.979039320256561E-13</v>
      </c>
      <c r="O104" s="14">
        <f>N104*VLOOKUP('Données projet'!$B$9,Paramètres!$A$1:$I$89,3,0)*VLOOKUP('Données projet'!$B$9,Paramètres!$A$1:$I$89,5,0)</f>
        <v>2.2760104911867532E-13</v>
      </c>
      <c r="P104" s="14">
        <f t="shared" si="87"/>
        <v>3.1070714519279848E-12</v>
      </c>
      <c r="Q104" s="22">
        <f t="shared" si="107"/>
        <v>5.8078879393229322E-12</v>
      </c>
      <c r="R104" s="62">
        <f t="shared" si="55"/>
        <v>293.33333333333911</v>
      </c>
      <c r="S104" s="62">
        <f ca="1">AVERAGE(OFFSET($R$3,0,0,'Données projet'!$E$9+1,1))-AVERAGE(OFFSET($H$3,0,0,'Données projet'!$E$9+1,1))</f>
        <v>183.98573418698061</v>
      </c>
      <c r="T104" s="62">
        <f t="shared" si="88"/>
        <v>158.42298722045609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294.57089926309249</v>
      </c>
      <c r="AO104" s="62">
        <f t="shared" si="90"/>
        <v>221.0956883062172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4.4000000000000004</v>
      </c>
      <c r="BD104" s="13">
        <f>IF('Données projet'!$A$88&gt;35,BD103+BC104-BL103,IF(A104&lt;'Données projet'!$A$88,$BA$205^A104,IF(A104='Données projet'!$A$88,'Données projet'!$B$88,BD103+BC104-BL103)))</f>
        <v>265.39999999999981</v>
      </c>
      <c r="BE104" s="14">
        <f>BD104*VLOOKUP('Données projet'!$B$11,Paramètres!$A$1:$I$89,3,0)*VLOOKUP('Données projet'!$B$11,Paramètres!$A$1:$I$89,5,0)</f>
        <v>240.13391999999982</v>
      </c>
      <c r="BF104" s="14">
        <f t="shared" si="91"/>
        <v>58.468343087048559</v>
      </c>
      <c r="BG104" s="22">
        <f t="shared" si="61"/>
        <v>520.06560820994252</v>
      </c>
      <c r="BH104" s="62">
        <f t="shared" si="62"/>
        <v>813.3989415432759</v>
      </c>
      <c r="BI104" s="62">
        <f ca="1">AVERAGE(OFFSET($BH$3,0,0,'Données projet'!$E$11+1,1))-AVERAGE(OFFSET($H$3,0,0,'Données projet'!$E$11+1,1))</f>
        <v>312.29553270286209</v>
      </c>
      <c r="BJ104" s="62">
        <f t="shared" si="92"/>
        <v>175.8423124483154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3.4106051316484809E-13</v>
      </c>
      <c r="BZ104" s="14">
        <f>BY104*VLOOKUP('Données projet'!$B$12,Paramètres!$A$1:$I$89,3,0)*VLOOKUP('Données projet'!$B$12,Paramètres!$A$1:$I$89,5,0)</f>
        <v>2.5006556825246659E-13</v>
      </c>
      <c r="CA104" s="14">
        <f t="shared" si="93"/>
        <v>3.3765445850268018E-12</v>
      </c>
      <c r="CB104" s="22">
        <f t="shared" si="64"/>
        <v>6.3163460169613921E-12</v>
      </c>
      <c r="CC104" s="62">
        <f t="shared" si="65"/>
        <v>293.33333333333962</v>
      </c>
      <c r="CD104" s="62">
        <f ca="1">AVERAGE(OFFSET($CC$3,0,0,'Données projet'!$E$12+1,1))-AVERAGE(OFFSET($H$3,0,0,'Données projet'!$E$12+1,1))</f>
        <v>217.14170654868826</v>
      </c>
      <c r="CE104" s="62">
        <f t="shared" si="94"/>
        <v>202.59844364241644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50.387999999999984</v>
      </c>
      <c r="D105" s="12">
        <f t="shared" si="86"/>
        <v>14.713917230841966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502.54111546614837</v>
      </c>
      <c r="H105" s="70">
        <f t="shared" si="56"/>
        <v>406.71917251038303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3.979039320256561E-13</v>
      </c>
      <c r="O105" s="14">
        <f>N105*VLOOKUP('Données projet'!$B$9,Paramètres!$A$1:$I$89,3,0)*VLOOKUP('Données projet'!$B$9,Paramètres!$A$1:$I$89,5,0)</f>
        <v>2.2760104911867532E-13</v>
      </c>
      <c r="P105" s="14">
        <f t="shared" si="87"/>
        <v>3.1070714519279848E-12</v>
      </c>
      <c r="Q105" s="22">
        <f t="shared" si="107"/>
        <v>5.8078879393229322E-12</v>
      </c>
      <c r="R105" s="62">
        <f t="shared" si="55"/>
        <v>293.33333333333911</v>
      </c>
      <c r="S105" s="62">
        <f ca="1">AVERAGE(OFFSET($R$3,0,0,'Données projet'!$E$9+1,1))-AVERAGE(OFFSET($H$3,0,0,'Données projet'!$E$9+1,1))</f>
        <v>183.98573418698061</v>
      </c>
      <c r="T105" s="62">
        <f t="shared" si="88"/>
        <v>158.42298722045609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294.57089926309249</v>
      </c>
      <c r="AO105" s="62">
        <f t="shared" si="90"/>
        <v>221.0956883062172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4.4000000000000004</v>
      </c>
      <c r="BD105" s="13">
        <f>IF('Données projet'!$A$88&gt;35,BD104+BC105-BL104,IF(A105&lt;'Données projet'!$A$88,$BA$205^A105,IF(A105='Données projet'!$A$88,'Données projet'!$B$88,BD104+BC105-BL104)))</f>
        <v>269.79999999999978</v>
      </c>
      <c r="BE105" s="14">
        <f>BD105*VLOOKUP('Données projet'!$B$11,Paramètres!$A$1:$I$89,3,0)*VLOOKUP('Données projet'!$B$11,Paramètres!$A$1:$I$89,5,0)</f>
        <v>244.11503999999979</v>
      </c>
      <c r="BF105" s="14">
        <f t="shared" si="91"/>
        <v>59.324023461759012</v>
      </c>
      <c r="BG105" s="22">
        <f t="shared" si="61"/>
        <v>528.48970219589648</v>
      </c>
      <c r="BH105" s="62">
        <f t="shared" si="62"/>
        <v>821.82303552922986</v>
      </c>
      <c r="BI105" s="62">
        <f ca="1">AVERAGE(OFFSET($BH$3,0,0,'Données projet'!$E$11+1,1))-AVERAGE(OFFSET($H$3,0,0,'Données projet'!$E$11+1,1))</f>
        <v>312.29553270286209</v>
      </c>
      <c r="BJ105" s="62">
        <f t="shared" si="92"/>
        <v>175.8423124483154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3.4106051316484809E-13</v>
      </c>
      <c r="BZ105" s="14">
        <f>BY105*VLOOKUP('Données projet'!$B$12,Paramètres!$A$1:$I$89,3,0)*VLOOKUP('Données projet'!$B$12,Paramètres!$A$1:$I$89,5,0)</f>
        <v>2.5006556825246659E-13</v>
      </c>
      <c r="CA105" s="14">
        <f t="shared" si="93"/>
        <v>3.3765445850268018E-12</v>
      </c>
      <c r="CB105" s="22">
        <f t="shared" si="64"/>
        <v>6.3163460169613921E-12</v>
      </c>
      <c r="CC105" s="62">
        <f t="shared" si="65"/>
        <v>293.33333333333962</v>
      </c>
      <c r="CD105" s="62">
        <f ca="1">AVERAGE(OFFSET($CC$3,0,0,'Données projet'!$E$12+1,1))-AVERAGE(OFFSET($H$3,0,0,'Données projet'!$E$12+1,1))</f>
        <v>217.14170654868826</v>
      </c>
      <c r="CE105" s="62">
        <f t="shared" si="94"/>
        <v>202.59844364241644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50.881999999999984</v>
      </c>
      <c r="D106" s="12">
        <f t="shared" si="86"/>
        <v>14.841307680340405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507.33781367280295</v>
      </c>
      <c r="H106" s="70">
        <f t="shared" si="56"/>
        <v>407.80142754325948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3.979039320256561E-13</v>
      </c>
      <c r="O106" s="14">
        <f>N106*VLOOKUP('Données projet'!$B$9,Paramètres!$A$1:$I$89,3,0)*VLOOKUP('Données projet'!$B$9,Paramètres!$A$1:$I$89,5,0)</f>
        <v>2.2760104911867532E-13</v>
      </c>
      <c r="P106" s="14">
        <f t="shared" si="87"/>
        <v>3.1070714519279848E-12</v>
      </c>
      <c r="Q106" s="22">
        <f t="shared" si="107"/>
        <v>5.8078879393229322E-12</v>
      </c>
      <c r="R106" s="62">
        <f t="shared" si="55"/>
        <v>293.33333333333911</v>
      </c>
      <c r="S106" s="62">
        <f ca="1">AVERAGE(OFFSET($R$3,0,0,'Données projet'!$E$9+1,1))-AVERAGE(OFFSET($H$3,0,0,'Données projet'!$E$9+1,1))</f>
        <v>183.98573418698061</v>
      </c>
      <c r="T106" s="62">
        <f t="shared" si="88"/>
        <v>158.42298722045609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294.57089926309249</v>
      </c>
      <c r="AO106" s="62">
        <f t="shared" si="90"/>
        <v>221.0956883062172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4.4000000000000004</v>
      </c>
      <c r="BD106" s="13">
        <f>IF('Données projet'!$A$88&gt;35,BD105+BC106-BL105,IF(A106&lt;'Données projet'!$A$88,$BA$205^A106,IF(A106='Données projet'!$A$88,'Données projet'!$B$88,BD105+BC106-BL105)))</f>
        <v>274.19999999999976</v>
      </c>
      <c r="BE106" s="14">
        <f>BD106*VLOOKUP('Données projet'!$B$11,Paramètres!$A$1:$I$89,3,0)*VLOOKUP('Données projet'!$B$11,Paramètres!$A$1:$I$89,5,0)</f>
        <v>248.0961599999998</v>
      </c>
      <c r="BF106" s="14">
        <f t="shared" si="91"/>
        <v>60.178080967364686</v>
      </c>
      <c r="BG106" s="22">
        <f t="shared" si="61"/>
        <v>536.91096968482657</v>
      </c>
      <c r="BH106" s="62">
        <f t="shared" si="62"/>
        <v>830.24430301815983</v>
      </c>
      <c r="BI106" s="62">
        <f ca="1">AVERAGE(OFFSET($BH$3,0,0,'Données projet'!$E$11+1,1))-AVERAGE(OFFSET($H$3,0,0,'Données projet'!$E$11+1,1))</f>
        <v>312.29553270286209</v>
      </c>
      <c r="BJ106" s="62">
        <f t="shared" si="92"/>
        <v>175.8423124483154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3.4106051316484809E-13</v>
      </c>
      <c r="BZ106" s="14">
        <f>BY106*VLOOKUP('Données projet'!$B$12,Paramètres!$A$1:$I$89,3,0)*VLOOKUP('Données projet'!$B$12,Paramètres!$A$1:$I$89,5,0)</f>
        <v>2.5006556825246659E-13</v>
      </c>
      <c r="CA106" s="14">
        <f t="shared" si="93"/>
        <v>3.3765445850268018E-12</v>
      </c>
      <c r="CB106" s="22">
        <f t="shared" si="64"/>
        <v>6.3163460169613921E-12</v>
      </c>
      <c r="CC106" s="62">
        <f t="shared" si="65"/>
        <v>293.33333333333962</v>
      </c>
      <c r="CD106" s="62">
        <f ca="1">AVERAGE(OFFSET($CC$3,0,0,'Données projet'!$E$12+1,1))-AVERAGE(OFFSET($H$3,0,0,'Données projet'!$E$12+1,1))</f>
        <v>217.14170654868826</v>
      </c>
      <c r="CE106" s="62">
        <f t="shared" si="94"/>
        <v>202.59844364241644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51.375999999999983</v>
      </c>
      <c r="D107" s="12">
        <f t="shared" si="86"/>
        <v>14.968554245188011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512.13340119092493</v>
      </c>
      <c r="H107" s="70">
        <f t="shared" si="56"/>
        <v>408.88343197703574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3.979039320256561E-13</v>
      </c>
      <c r="O107" s="14">
        <f>N107*VLOOKUP('Données projet'!$B$9,Paramètres!$A$1:$I$89,3,0)*VLOOKUP('Données projet'!$B$9,Paramètres!$A$1:$I$89,5,0)</f>
        <v>2.2760104911867532E-13</v>
      </c>
      <c r="P107" s="14">
        <f t="shared" si="87"/>
        <v>3.1070714519279848E-12</v>
      </c>
      <c r="Q107" s="22">
        <f t="shared" si="107"/>
        <v>5.8078879393229322E-12</v>
      </c>
      <c r="R107" s="62">
        <f t="shared" si="55"/>
        <v>293.33333333333911</v>
      </c>
      <c r="S107" s="62">
        <f ca="1">AVERAGE(OFFSET($R$3,0,0,'Données projet'!$E$9+1,1))-AVERAGE(OFFSET($H$3,0,0,'Données projet'!$E$9+1,1))</f>
        <v>183.98573418698061</v>
      </c>
      <c r="T107" s="62">
        <f t="shared" si="88"/>
        <v>158.42298722045609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294.57089926309249</v>
      </c>
      <c r="AO107" s="62">
        <f t="shared" si="90"/>
        <v>221.0956883062172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4.4000000000000004</v>
      </c>
      <c r="BD107" s="13">
        <f>IF('Données projet'!$A$88&gt;35,BD106+BC107-BL106,IF(A107&lt;'Données projet'!$A$88,$BA$205^A107,IF(A107='Données projet'!$A$88,'Données projet'!$B$88,BD106+BC107-BL106)))</f>
        <v>278.59999999999974</v>
      </c>
      <c r="BE107" s="14">
        <f>BD107*VLOOKUP('Données projet'!$B$11,Paramètres!$A$1:$I$89,3,0)*VLOOKUP('Données projet'!$B$11,Paramètres!$A$1:$I$89,5,0)</f>
        <v>252.07727999999975</v>
      </c>
      <c r="BF107" s="14">
        <f t="shared" si="91"/>
        <v>61.03054465215493</v>
      </c>
      <c r="BG107" s="22">
        <f t="shared" si="61"/>
        <v>545.32946126916943</v>
      </c>
      <c r="BH107" s="62">
        <f t="shared" si="62"/>
        <v>838.6627946025028</v>
      </c>
      <c r="BI107" s="62">
        <f ca="1">AVERAGE(OFFSET($BH$3,0,0,'Données projet'!$E$11+1,1))-AVERAGE(OFFSET($H$3,0,0,'Données projet'!$E$11+1,1))</f>
        <v>312.29553270286209</v>
      </c>
      <c r="BJ107" s="62">
        <f t="shared" si="92"/>
        <v>175.8423124483154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3.4106051316484809E-13</v>
      </c>
      <c r="BZ107" s="14">
        <f>BY107*VLOOKUP('Données projet'!$B$12,Paramètres!$A$1:$I$89,3,0)*VLOOKUP('Données projet'!$B$12,Paramètres!$A$1:$I$89,5,0)</f>
        <v>2.5006556825246659E-13</v>
      </c>
      <c r="CA107" s="14">
        <f t="shared" si="93"/>
        <v>3.3765445850268018E-12</v>
      </c>
      <c r="CB107" s="22">
        <f t="shared" si="64"/>
        <v>6.3163460169613921E-12</v>
      </c>
      <c r="CC107" s="62">
        <f t="shared" si="65"/>
        <v>293.33333333333962</v>
      </c>
      <c r="CD107" s="62">
        <f ca="1">AVERAGE(OFFSET($CC$3,0,0,'Données projet'!$E$12+1,1))-AVERAGE(OFFSET($H$3,0,0,'Données projet'!$E$12+1,1))</f>
        <v>217.14170654868826</v>
      </c>
      <c r="CE107" s="62">
        <f t="shared" si="94"/>
        <v>202.59844364241644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51.869999999999983</v>
      </c>
      <c r="D108" s="12">
        <f t="shared" si="86"/>
        <v>15.095658469114912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516.92788993702732</v>
      </c>
      <c r="H108" s="70">
        <f t="shared" si="56"/>
        <v>409.96518850037506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3.979039320256561E-13</v>
      </c>
      <c r="O108" s="14">
        <f>N108*VLOOKUP('Données projet'!$B$9,Paramètres!$A$1:$I$89,3,0)*VLOOKUP('Données projet'!$B$9,Paramètres!$A$1:$I$89,5,0)</f>
        <v>2.2760104911867532E-13</v>
      </c>
      <c r="P108" s="14">
        <f t="shared" si="87"/>
        <v>3.1070714519279848E-12</v>
      </c>
      <c r="Q108" s="22">
        <f t="shared" si="107"/>
        <v>5.8078879393229322E-12</v>
      </c>
      <c r="R108" s="62">
        <f t="shared" si="55"/>
        <v>293.33333333333911</v>
      </c>
      <c r="S108" s="62">
        <f ca="1">AVERAGE(OFFSET($R$3,0,0,'Données projet'!$E$9+1,1))-AVERAGE(OFFSET($H$3,0,0,'Données projet'!$E$9+1,1))</f>
        <v>183.98573418698061</v>
      </c>
      <c r="T108" s="62">
        <f t="shared" si="88"/>
        <v>158.42298722045609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294.57089926309249</v>
      </c>
      <c r="AO108" s="62">
        <f t="shared" si="90"/>
        <v>221.0956883062172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4.4000000000000004</v>
      </c>
      <c r="BD108" s="13">
        <f>IF('Données projet'!$A$88&gt;35,BD107+BC108-BL107,IF(A108&lt;'Données projet'!$A$88,$BA$205^A108,IF(A108='Données projet'!$A$88,'Données projet'!$B$88,BD107+BC108-BL107)))</f>
        <v>282.99999999999972</v>
      </c>
      <c r="BE108" s="14">
        <f>BD108*VLOOKUP('Données projet'!$B$11,Paramètres!$A$1:$I$89,3,0)*VLOOKUP('Données projet'!$B$11,Paramètres!$A$1:$I$89,5,0)</f>
        <v>256.05839999999972</v>
      </c>
      <c r="BF108" s="14">
        <f t="shared" si="91"/>
        <v>61.881442594256434</v>
      </c>
      <c r="BG108" s="22">
        <f t="shared" si="61"/>
        <v>553.74522585166278</v>
      </c>
      <c r="BH108" s="62">
        <f t="shared" si="62"/>
        <v>847.07855918499604</v>
      </c>
      <c r="BI108" s="62">
        <f ca="1">AVERAGE(OFFSET($BH$3,0,0,'Données projet'!$E$11+1,1))-AVERAGE(OFFSET($H$3,0,0,'Données projet'!$E$11+1,1))</f>
        <v>312.29553270286209</v>
      </c>
      <c r="BJ108" s="62">
        <f t="shared" si="92"/>
        <v>175.8423124483154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3.4106051316484809E-13</v>
      </c>
      <c r="BZ108" s="14">
        <f>BY108*VLOOKUP('Données projet'!$B$12,Paramètres!$A$1:$I$89,3,0)*VLOOKUP('Données projet'!$B$12,Paramètres!$A$1:$I$89,5,0)</f>
        <v>2.5006556825246659E-13</v>
      </c>
      <c r="CA108" s="14">
        <f t="shared" si="93"/>
        <v>3.3765445850268018E-12</v>
      </c>
      <c r="CB108" s="22">
        <f t="shared" si="64"/>
        <v>6.3163460169613921E-12</v>
      </c>
      <c r="CC108" s="62">
        <f t="shared" si="65"/>
        <v>293.33333333333962</v>
      </c>
      <c r="CD108" s="62">
        <f ca="1">AVERAGE(OFFSET($CC$3,0,0,'Données projet'!$E$12+1,1))-AVERAGE(OFFSET($H$3,0,0,'Données projet'!$E$12+1,1))</f>
        <v>217.14170654868826</v>
      </c>
      <c r="CE108" s="62">
        <f t="shared" si="94"/>
        <v>202.59844364241644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52.363999999999983</v>
      </c>
      <c r="D109" s="12">
        <f t="shared" si="86"/>
        <v>15.222621864751364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521.72129158755433</v>
      </c>
      <c r="H109" s="70">
        <f t="shared" si="56"/>
        <v>411.04669974777528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3.979039320256561E-13</v>
      </c>
      <c r="O109" s="14">
        <f>N109*VLOOKUP('Données projet'!$B$9,Paramètres!$A$1:$I$89,3,0)*VLOOKUP('Données projet'!$B$9,Paramètres!$A$1:$I$89,5,0)</f>
        <v>2.2760104911867532E-13</v>
      </c>
      <c r="P109" s="14">
        <f t="shared" si="87"/>
        <v>3.1070714519279848E-12</v>
      </c>
      <c r="Q109" s="22">
        <f t="shared" si="107"/>
        <v>5.8078879393229322E-12</v>
      </c>
      <c r="R109" s="62">
        <f t="shared" si="55"/>
        <v>293.33333333333911</v>
      </c>
      <c r="S109" s="62">
        <f ca="1">AVERAGE(OFFSET($R$3,0,0,'Données projet'!$E$9+1,1))-AVERAGE(OFFSET($H$3,0,0,'Données projet'!$E$9+1,1))</f>
        <v>183.98573418698061</v>
      </c>
      <c r="T109" s="62">
        <f t="shared" si="88"/>
        <v>158.42298722045609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294.57089926309249</v>
      </c>
      <c r="AO109" s="62">
        <f t="shared" si="90"/>
        <v>221.0956883062172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4.4000000000000004</v>
      </c>
      <c r="BD109" s="13">
        <f>IF('Données projet'!$A$88&gt;35,BD108+BC109-BL108,IF(A109&lt;'Données projet'!$A$88,$BA$205^A109,IF(A109='Données projet'!$A$88,'Données projet'!$B$88,BD108+BC109-BL108)))</f>
        <v>287.39999999999969</v>
      </c>
      <c r="BE109" s="14">
        <f>BD109*VLOOKUP('Données projet'!$B$11,Paramètres!$A$1:$I$89,3,0)*VLOOKUP('Données projet'!$B$11,Paramètres!$A$1:$I$89,5,0)</f>
        <v>260.0395199999997</v>
      </c>
      <c r="BF109" s="14">
        <f t="shared" si="91"/>
        <v>62.730801948604821</v>
      </c>
      <c r="BG109" s="22">
        <f t="shared" si="61"/>
        <v>562.15831072715287</v>
      </c>
      <c r="BH109" s="62">
        <f t="shared" si="62"/>
        <v>855.49164406048612</v>
      </c>
      <c r="BI109" s="62">
        <f ca="1">AVERAGE(OFFSET($BH$3,0,0,'Données projet'!$E$11+1,1))-AVERAGE(OFFSET($H$3,0,0,'Données projet'!$E$11+1,1))</f>
        <v>312.29553270286209</v>
      </c>
      <c r="BJ109" s="62">
        <f t="shared" si="92"/>
        <v>175.8423124483154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3.4106051316484809E-13</v>
      </c>
      <c r="BZ109" s="14">
        <f>BY109*VLOOKUP('Données projet'!$B$12,Paramètres!$A$1:$I$89,3,0)*VLOOKUP('Données projet'!$B$12,Paramètres!$A$1:$I$89,5,0)</f>
        <v>2.5006556825246659E-13</v>
      </c>
      <c r="CA109" s="14">
        <f t="shared" si="93"/>
        <v>3.3765445850268018E-12</v>
      </c>
      <c r="CB109" s="22">
        <f t="shared" si="64"/>
        <v>6.3163460169613921E-12</v>
      </c>
      <c r="CC109" s="62">
        <f t="shared" si="65"/>
        <v>293.33333333333962</v>
      </c>
      <c r="CD109" s="62">
        <f ca="1">AVERAGE(OFFSET($CC$3,0,0,'Données projet'!$E$12+1,1))-AVERAGE(OFFSET($H$3,0,0,'Données projet'!$E$12+1,1))</f>
        <v>217.14170654868826</v>
      </c>
      <c r="CE109" s="62">
        <f t="shared" si="94"/>
        <v>202.59844364241644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52.857999999999983</v>
      </c>
      <c r="D110" s="12">
        <f t="shared" si="86"/>
        <v>15.349445914541667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526.51361758593555</v>
      </c>
      <c r="H110" s="70">
        <f t="shared" si="56"/>
        <v>412.12796830116002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3.979039320256561E-13</v>
      </c>
      <c r="O110" s="14">
        <f>N110*VLOOKUP('Données projet'!$B$9,Paramètres!$A$1:$I$89,3,0)*VLOOKUP('Données projet'!$B$9,Paramètres!$A$1:$I$89,5,0)</f>
        <v>2.2760104911867532E-13</v>
      </c>
      <c r="P110" s="14">
        <f t="shared" si="87"/>
        <v>3.1070714519279848E-12</v>
      </c>
      <c r="Q110" s="22">
        <f t="shared" si="107"/>
        <v>5.8078879393229322E-12</v>
      </c>
      <c r="R110" s="62">
        <f t="shared" si="55"/>
        <v>293.33333333333911</v>
      </c>
      <c r="S110" s="62">
        <f ca="1">AVERAGE(OFFSET($R$3,0,0,'Données projet'!$E$9+1,1))-AVERAGE(OFFSET($H$3,0,0,'Données projet'!$E$9+1,1))</f>
        <v>183.98573418698061</v>
      </c>
      <c r="T110" s="62">
        <f t="shared" si="88"/>
        <v>158.42298722045609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294.57089926309249</v>
      </c>
      <c r="AO110" s="62">
        <f t="shared" si="90"/>
        <v>221.0956883062172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4.4000000000000004</v>
      </c>
      <c r="BD110" s="13">
        <f>IF('Données projet'!$A$88&gt;35,BD109+BC110-BL109,IF(A110&lt;'Données projet'!$A$88,$BA$205^A110,IF(A110='Données projet'!$A$88,'Données projet'!$B$88,BD109+BC110-BL109)))</f>
        <v>291.79999999999967</v>
      </c>
      <c r="BE110" s="14">
        <f>BD110*VLOOKUP('Données projet'!$B$11,Paramètres!$A$1:$I$89,3,0)*VLOOKUP('Données projet'!$B$11,Paramètres!$A$1:$I$89,5,0)</f>
        <v>264.02063999999967</v>
      </c>
      <c r="BF110" s="14">
        <f t="shared" si="91"/>
        <v>63.57864899095906</v>
      </c>
      <c r="BG110" s="22">
        <f t="shared" si="61"/>
        <v>570.56876165925303</v>
      </c>
      <c r="BH110" s="62">
        <f t="shared" si="62"/>
        <v>863.9020949925864</v>
      </c>
      <c r="BI110" s="62">
        <f ca="1">AVERAGE(OFFSET($BH$3,0,0,'Données projet'!$E$11+1,1))-AVERAGE(OFFSET($H$3,0,0,'Données projet'!$E$11+1,1))</f>
        <v>312.29553270286209</v>
      </c>
      <c r="BJ110" s="62">
        <f t="shared" si="92"/>
        <v>175.8423124483154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3.4106051316484809E-13</v>
      </c>
      <c r="BZ110" s="14">
        <f>BY110*VLOOKUP('Données projet'!$B$12,Paramètres!$A$1:$I$89,3,0)*VLOOKUP('Données projet'!$B$12,Paramètres!$A$1:$I$89,5,0)</f>
        <v>2.5006556825246659E-13</v>
      </c>
      <c r="CA110" s="14">
        <f t="shared" si="93"/>
        <v>3.3765445850268018E-12</v>
      </c>
      <c r="CB110" s="22">
        <f t="shared" si="64"/>
        <v>6.3163460169613921E-12</v>
      </c>
      <c r="CC110" s="62">
        <f t="shared" si="65"/>
        <v>293.33333333333962</v>
      </c>
      <c r="CD110" s="62">
        <f ca="1">AVERAGE(OFFSET($CC$3,0,0,'Données projet'!$E$12+1,1))-AVERAGE(OFFSET($H$3,0,0,'Données projet'!$E$12+1,1))</f>
        <v>217.14170654868826</v>
      </c>
      <c r="CE110" s="62">
        <f t="shared" si="94"/>
        <v>202.59844364241644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53.351999999999983</v>
      </c>
      <c r="D111" s="12">
        <f t="shared" si="86"/>
        <v>15.476132071622835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531.30487914936919</v>
      </c>
      <c r="H111" s="70">
        <f t="shared" si="56"/>
        <v>413.20899669140971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3.979039320256561E-13</v>
      </c>
      <c r="O111" s="14">
        <f>N111*VLOOKUP('Données projet'!$B$9,Paramètres!$A$1:$I$89,3,0)*VLOOKUP('Données projet'!$B$9,Paramètres!$A$1:$I$89,5,0)</f>
        <v>2.2760104911867532E-13</v>
      </c>
      <c r="P111" s="14">
        <f t="shared" si="87"/>
        <v>3.1070714519279848E-12</v>
      </c>
      <c r="Q111" s="22">
        <f t="shared" si="107"/>
        <v>5.8078879393229322E-12</v>
      </c>
      <c r="R111" s="62">
        <f t="shared" si="55"/>
        <v>293.33333333333911</v>
      </c>
      <c r="S111" s="62">
        <f ca="1">AVERAGE(OFFSET($R$3,0,0,'Données projet'!$E$9+1,1))-AVERAGE(OFFSET($H$3,0,0,'Données projet'!$E$9+1,1))</f>
        <v>183.98573418698061</v>
      </c>
      <c r="T111" s="62">
        <f t="shared" si="88"/>
        <v>158.42298722045609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294.57089926309249</v>
      </c>
      <c r="AO111" s="62">
        <f t="shared" si="90"/>
        <v>221.0956883062172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4.4000000000000004</v>
      </c>
      <c r="BD111" s="13">
        <f>IF('Données projet'!$A$88&gt;35,BD110+BC111-BL110,IF(A111&lt;'Données projet'!$A$88,$BA$205^A111,IF(A111='Données projet'!$A$88,'Données projet'!$B$88,BD110+BC111-BL110)))</f>
        <v>296.19999999999965</v>
      </c>
      <c r="BE111" s="14">
        <f>BD111*VLOOKUP('Données projet'!$B$11,Paramètres!$A$1:$I$89,3,0)*VLOOKUP('Données projet'!$B$11,Paramètres!$A$1:$I$89,5,0)</f>
        <v>268.00175999999971</v>
      </c>
      <c r="BF111" s="14">
        <f t="shared" si="91"/>
        <v>64.425009159185521</v>
      </c>
      <c r="BG111" s="22">
        <f t="shared" si="61"/>
        <v>578.97662295224757</v>
      </c>
      <c r="BH111" s="62">
        <f t="shared" si="62"/>
        <v>872.30995628558094</v>
      </c>
      <c r="BI111" s="62">
        <f ca="1">AVERAGE(OFFSET($BH$3,0,0,'Données projet'!$E$11+1,1))-AVERAGE(OFFSET($H$3,0,0,'Données projet'!$E$11+1,1))</f>
        <v>312.29553270286209</v>
      </c>
      <c r="BJ111" s="62">
        <f t="shared" si="92"/>
        <v>175.8423124483154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3.4106051316484809E-13</v>
      </c>
      <c r="BZ111" s="14">
        <f>BY111*VLOOKUP('Données projet'!$B$12,Paramètres!$A$1:$I$89,3,0)*VLOOKUP('Données projet'!$B$12,Paramètres!$A$1:$I$89,5,0)</f>
        <v>2.5006556825246659E-13</v>
      </c>
      <c r="CA111" s="14">
        <f t="shared" si="93"/>
        <v>3.3765445850268018E-12</v>
      </c>
      <c r="CB111" s="22">
        <f t="shared" si="64"/>
        <v>6.3163460169613921E-12</v>
      </c>
      <c r="CC111" s="62">
        <f t="shared" si="65"/>
        <v>293.33333333333962</v>
      </c>
      <c r="CD111" s="62">
        <f ca="1">AVERAGE(OFFSET($CC$3,0,0,'Données projet'!$E$12+1,1))-AVERAGE(OFFSET($H$3,0,0,'Données projet'!$E$12+1,1))</f>
        <v>217.14170654868826</v>
      </c>
      <c r="CE111" s="62">
        <f t="shared" si="94"/>
        <v>202.59844364241644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53.845999999999982</v>
      </c>
      <c r="D112" s="12">
        <f t="shared" si="86"/>
        <v>15.602681760669958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536.09508727534694</v>
      </c>
      <c r="H112" s="70">
        <f t="shared" si="56"/>
        <v>414.28978739983347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3.979039320256561E-13</v>
      </c>
      <c r="O112" s="14">
        <f>N112*VLOOKUP('Données projet'!$B$9,Paramètres!$A$1:$I$89,3,0)*VLOOKUP('Données projet'!$B$9,Paramètres!$A$1:$I$89,5,0)</f>
        <v>2.2760104911867532E-13</v>
      </c>
      <c r="P112" s="14">
        <f t="shared" si="87"/>
        <v>3.1070714519279848E-12</v>
      </c>
      <c r="Q112" s="22">
        <f t="shared" si="107"/>
        <v>5.8078879393229322E-12</v>
      </c>
      <c r="R112" s="62">
        <f t="shared" si="55"/>
        <v>293.33333333333911</v>
      </c>
      <c r="S112" s="62">
        <f ca="1">AVERAGE(OFFSET($R$3,0,0,'Données projet'!$E$9+1,1))-AVERAGE(OFFSET($H$3,0,0,'Données projet'!$E$9+1,1))</f>
        <v>183.98573418698061</v>
      </c>
      <c r="T112" s="62">
        <f t="shared" si="88"/>
        <v>158.42298722045609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294.57089926309249</v>
      </c>
      <c r="AO112" s="62">
        <f t="shared" si="90"/>
        <v>221.0956883062172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4.4000000000000004</v>
      </c>
      <c r="BD112" s="13">
        <f>IF('Données projet'!$A$88&gt;35,BD111+BC112-BL111,IF(A112&lt;'Données projet'!$A$88,$BA$205^A112,IF(A112='Données projet'!$A$88,'Données projet'!$B$88,BD111+BC112-BL111)))</f>
        <v>300.59999999999962</v>
      </c>
      <c r="BE112" s="14">
        <f>BD112*VLOOKUP('Données projet'!$B$11,Paramètres!$A$1:$I$89,3,0)*VLOOKUP('Données projet'!$B$11,Paramètres!$A$1:$I$89,5,0)</f>
        <v>271.98287999999962</v>
      </c>
      <c r="BF112" s="14">
        <f t="shared" si="91"/>
        <v>65.269907092018684</v>
      </c>
      <c r="BG112" s="22">
        <f t="shared" si="61"/>
        <v>587.38193751859842</v>
      </c>
      <c r="BH112" s="62">
        <f t="shared" si="62"/>
        <v>880.71527085193179</v>
      </c>
      <c r="BI112" s="62">
        <f ca="1">AVERAGE(OFFSET($BH$3,0,0,'Données projet'!$E$11+1,1))-AVERAGE(OFFSET($H$3,0,0,'Données projet'!$E$11+1,1))</f>
        <v>312.29553270286209</v>
      </c>
      <c r="BJ112" s="62">
        <f t="shared" si="92"/>
        <v>175.8423124483154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3.4106051316484809E-13</v>
      </c>
      <c r="BZ112" s="14">
        <f>BY112*VLOOKUP('Données projet'!$B$12,Paramètres!$A$1:$I$89,3,0)*VLOOKUP('Données projet'!$B$12,Paramètres!$A$1:$I$89,5,0)</f>
        <v>2.5006556825246659E-13</v>
      </c>
      <c r="CA112" s="14">
        <f t="shared" si="93"/>
        <v>3.3765445850268018E-12</v>
      </c>
      <c r="CB112" s="22">
        <f t="shared" si="64"/>
        <v>6.3163460169613921E-12</v>
      </c>
      <c r="CC112" s="62">
        <f t="shared" si="65"/>
        <v>293.33333333333962</v>
      </c>
      <c r="CD112" s="62">
        <f ca="1">AVERAGE(OFFSET($CC$3,0,0,'Données projet'!$E$12+1,1))-AVERAGE(OFFSET($H$3,0,0,'Données projet'!$E$12+1,1))</f>
        <v>217.14170654868826</v>
      </c>
      <c r="CE112" s="62">
        <f t="shared" si="94"/>
        <v>202.59844364241644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54.339999999999982</v>
      </c>
      <c r="D113" s="12">
        <f t="shared" si="86"/>
        <v>15.729096378709464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540.88425274793258</v>
      </c>
      <c r="H113" s="70">
        <f t="shared" si="56"/>
        <v>415.37034285958561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3.979039320256561E-13</v>
      </c>
      <c r="O113" s="14">
        <f>N113*VLOOKUP('Données projet'!$B$9,Paramètres!$A$1:$I$89,3,0)*VLOOKUP('Données projet'!$B$9,Paramètres!$A$1:$I$89,5,0)</f>
        <v>2.2760104911867532E-13</v>
      </c>
      <c r="P113" s="14">
        <f t="shared" si="87"/>
        <v>3.1070714519279848E-12</v>
      </c>
      <c r="Q113" s="22">
        <f t="shared" si="107"/>
        <v>5.8078879393229322E-12</v>
      </c>
      <c r="R113" s="62">
        <f t="shared" si="55"/>
        <v>293.33333333333911</v>
      </c>
      <c r="S113" s="62">
        <f ca="1">AVERAGE(OFFSET($R$3,0,0,'Données projet'!$E$9+1,1))-AVERAGE(OFFSET($H$3,0,0,'Données projet'!$E$9+1,1))</f>
        <v>183.98573418698061</v>
      </c>
      <c r="T113" s="62">
        <f t="shared" si="88"/>
        <v>158.42298722045609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294.57089926309249</v>
      </c>
      <c r="AO113" s="62">
        <f t="shared" si="90"/>
        <v>221.0956883062172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305</v>
      </c>
      <c r="BB113" s="13">
        <f>VLOOKUP(A113,'Données projet'!$A$87:$I$107,9,0)</f>
        <v>4.4000000000000004</v>
      </c>
      <c r="BC113" s="13">
        <f t="array" ref="BC113">INDEX(BB:BB,MIN(IF(ISNUMBER(BB113:BB309),ROW(BB113:BB309),"")))</f>
        <v>4.4000000000000004</v>
      </c>
      <c r="BD113" s="13">
        <f>IF('Données projet'!$A$88&gt;35,BD112+BC113-BL112,IF(A113&lt;'Données projet'!$A$88,$BA$205^A113,IF(A113='Données projet'!$A$88,'Données projet'!$B$88,BD112+BC113-BL112)))</f>
        <v>304.9999999999996</v>
      </c>
      <c r="BE113" s="14">
        <f>BD113*VLOOKUP('Données projet'!$B$11,Paramètres!$A$1:$I$89,3,0)*VLOOKUP('Données projet'!$B$11,Paramètres!$A$1:$I$89,5,0)</f>
        <v>275.9639999999996</v>
      </c>
      <c r="BF113" s="14">
        <f t="shared" si="91"/>
        <v>66.113366665488797</v>
      </c>
      <c r="BG113" s="22">
        <f t="shared" si="61"/>
        <v>595.7847469423923</v>
      </c>
      <c r="BH113" s="62">
        <f t="shared" si="62"/>
        <v>889.11808027572556</v>
      </c>
      <c r="BI113" s="62">
        <f ca="1">AVERAGE(OFFSET($BH$3,0,0,'Données projet'!$E$11+1,1))-AVERAGE(OFFSET($H$3,0,0,'Données projet'!$E$11+1,1))</f>
        <v>312.29553270286209</v>
      </c>
      <c r="BJ113" s="62">
        <f t="shared" si="92"/>
        <v>175.8423124483154</v>
      </c>
      <c r="BK113" s="16">
        <f>IF(ISNA(VLOOKUP(A113,'Données projet'!$A$87:$I$107,3,0)),0,VLOOKUP(A113,'Données projet'!$A$87:$I$107,3,0))</f>
        <v>9</v>
      </c>
      <c r="BL113" s="16">
        <f>IF(ISNA(VLOOKUP(A113,'Données projet'!$A$87:$I$107,4,0)),0,VLOOKUP(A113,'Données projet'!$A$87:$I$107,4,0))</f>
        <v>39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3.4106051316484809E-13</v>
      </c>
      <c r="BZ113" s="14">
        <f>BY113*VLOOKUP('Données projet'!$B$12,Paramètres!$A$1:$I$89,3,0)*VLOOKUP('Données projet'!$B$12,Paramètres!$A$1:$I$89,5,0)</f>
        <v>2.5006556825246659E-13</v>
      </c>
      <c r="CA113" s="14">
        <f t="shared" si="93"/>
        <v>3.3765445850268018E-12</v>
      </c>
      <c r="CB113" s="22">
        <f t="shared" si="64"/>
        <v>6.3163460169613921E-12</v>
      </c>
      <c r="CC113" s="62">
        <f t="shared" si="65"/>
        <v>293.33333333333962</v>
      </c>
      <c r="CD113" s="62">
        <f ca="1">AVERAGE(OFFSET($CC$3,0,0,'Données projet'!$E$12+1,1))-AVERAGE(OFFSET($H$3,0,0,'Données projet'!$E$12+1,1))</f>
        <v>217.14170654868826</v>
      </c>
      <c r="CE113" s="62">
        <f t="shared" si="94"/>
        <v>202.59844364241644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54.833999999999982</v>
      </c>
      <c r="D114" s="12">
        <f t="shared" si="86"/>
        <v>15.85537729590216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545.67238614380619</v>
      </c>
      <c r="H114" s="70">
        <f t="shared" si="56"/>
        <v>416.45066545702952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3.979039320256561E-13</v>
      </c>
      <c r="O114" s="14">
        <f>N114*VLOOKUP('Données projet'!$B$9,Paramètres!$A$1:$I$89,3,0)*VLOOKUP('Données projet'!$B$9,Paramètres!$A$1:$I$89,5,0)</f>
        <v>2.2760104911867532E-13</v>
      </c>
      <c r="P114" s="14">
        <f t="shared" si="87"/>
        <v>3.1070714519279848E-12</v>
      </c>
      <c r="Q114" s="22">
        <f t="shared" si="107"/>
        <v>5.8078879393229322E-12</v>
      </c>
      <c r="R114" s="62">
        <f t="shared" si="55"/>
        <v>293.33333333333911</v>
      </c>
      <c r="S114" s="62">
        <f ca="1">AVERAGE(OFFSET($R$3,0,0,'Données projet'!$E$9+1,1))-AVERAGE(OFFSET($H$3,0,0,'Données projet'!$E$9+1,1))</f>
        <v>183.98573418698061</v>
      </c>
      <c r="T114" s="62">
        <f t="shared" si="88"/>
        <v>158.42298722045609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294.57089926309249</v>
      </c>
      <c r="AO114" s="62">
        <f t="shared" si="90"/>
        <v>221.0956883062172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3.7</v>
      </c>
      <c r="BD114" s="13">
        <f>IF('Données projet'!$A$88&gt;35,BD113+BC114-BL113,IF(A114&lt;'Données projet'!$A$88,$BA$205^A114,IF(A114='Données projet'!$A$88,'Données projet'!$B$88,BD113+BC114-BL113)))</f>
        <v>269.69999999999959</v>
      </c>
      <c r="BE114" s="14">
        <f>BD114*VLOOKUP('Données projet'!$B$11,Paramètres!$A$1:$I$89,3,0)*VLOOKUP('Données projet'!$B$11,Paramètres!$A$1:$I$89,5,0)</f>
        <v>244.02455999999964</v>
      </c>
      <c r="BF114" s="14">
        <f t="shared" si="91"/>
        <v>59.304594314969229</v>
      </c>
      <c r="BG114" s="22">
        <f t="shared" si="61"/>
        <v>528.29827709857079</v>
      </c>
      <c r="BH114" s="62">
        <f t="shared" si="62"/>
        <v>821.63161043190416</v>
      </c>
      <c r="BI114" s="62">
        <f ca="1">AVERAGE(OFFSET($BH$3,0,0,'Données projet'!$E$11+1,1))-AVERAGE(OFFSET($H$3,0,0,'Données projet'!$E$11+1,1))</f>
        <v>312.29553270286209</v>
      </c>
      <c r="BJ114" s="62">
        <f t="shared" si="92"/>
        <v>175.8423124483154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3.4106051316484809E-13</v>
      </c>
      <c r="BZ114" s="14">
        <f>BY114*VLOOKUP('Données projet'!$B$12,Paramètres!$A$1:$I$89,3,0)*VLOOKUP('Données projet'!$B$12,Paramètres!$A$1:$I$89,5,0)</f>
        <v>2.5006556825246659E-13</v>
      </c>
      <c r="CA114" s="14">
        <f t="shared" si="93"/>
        <v>3.3765445850268018E-12</v>
      </c>
      <c r="CB114" s="22">
        <f t="shared" si="64"/>
        <v>6.3163460169613921E-12</v>
      </c>
      <c r="CC114" s="62">
        <f t="shared" si="65"/>
        <v>293.33333333333962</v>
      </c>
      <c r="CD114" s="62">
        <f ca="1">AVERAGE(OFFSET($CC$3,0,0,'Données projet'!$E$12+1,1))-AVERAGE(OFFSET($H$3,0,0,'Données projet'!$E$12+1,1))</f>
        <v>217.14170654868826</v>
      </c>
      <c r="CE114" s="62">
        <f t="shared" si="94"/>
        <v>202.59844364241644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55.327999999999982</v>
      </c>
      <c r="D115" s="12">
        <f t="shared" si="86"/>
        <v>15.981525856297083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550.4594978380826</v>
      </c>
      <c r="H115" s="70">
        <f t="shared" si="56"/>
        <v>417.53075753305069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3.979039320256561E-13</v>
      </c>
      <c r="O115" s="14">
        <f>N115*VLOOKUP('Données projet'!$B$9,Paramètres!$A$1:$I$89,3,0)*VLOOKUP('Données projet'!$B$9,Paramètres!$A$1:$I$89,5,0)</f>
        <v>2.2760104911867532E-13</v>
      </c>
      <c r="P115" s="14">
        <f t="shared" si="87"/>
        <v>3.1070714519279848E-12</v>
      </c>
      <c r="Q115" s="22">
        <f t="shared" si="107"/>
        <v>5.8078879393229322E-12</v>
      </c>
      <c r="R115" s="62">
        <f t="shared" si="55"/>
        <v>293.33333333333911</v>
      </c>
      <c r="S115" s="62">
        <f ca="1">AVERAGE(OFFSET($R$3,0,0,'Données projet'!$E$9+1,1))-AVERAGE(OFFSET($H$3,0,0,'Données projet'!$E$9+1,1))</f>
        <v>183.98573418698061</v>
      </c>
      <c r="T115" s="62">
        <f t="shared" si="88"/>
        <v>158.42298722045609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294.57089926309249</v>
      </c>
      <c r="AO115" s="62">
        <f t="shared" si="90"/>
        <v>221.0956883062172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3.7</v>
      </c>
      <c r="BD115" s="13">
        <f>IF('Données projet'!$A$88&gt;35,BD114+BC115-BL114,IF(A115&lt;'Données projet'!$A$88,$BA$205^A115,IF(A115='Données projet'!$A$88,'Données projet'!$B$88,BD114+BC115-BL114)))</f>
        <v>273.39999999999958</v>
      </c>
      <c r="BE115" s="14">
        <f>BD115*VLOOKUP('Données projet'!$B$11,Paramètres!$A$1:$I$89,3,0)*VLOOKUP('Données projet'!$B$11,Paramètres!$A$1:$I$89,5,0)</f>
        <v>247.3723199999996</v>
      </c>
      <c r="BF115" s="14">
        <f t="shared" si="91"/>
        <v>60.022917171130942</v>
      </c>
      <c r="BG115" s="22">
        <f t="shared" si="61"/>
        <v>535.38003807305233</v>
      </c>
      <c r="BH115" s="62">
        <f t="shared" si="62"/>
        <v>828.7133714063857</v>
      </c>
      <c r="BI115" s="62">
        <f ca="1">AVERAGE(OFFSET($BH$3,0,0,'Données projet'!$E$11+1,1))-AVERAGE(OFFSET($H$3,0,0,'Données projet'!$E$11+1,1))</f>
        <v>312.29553270286209</v>
      </c>
      <c r="BJ115" s="62">
        <f t="shared" si="92"/>
        <v>175.8423124483154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3.4106051316484809E-13</v>
      </c>
      <c r="BZ115" s="14">
        <f>BY115*VLOOKUP('Données projet'!$B$12,Paramètres!$A$1:$I$89,3,0)*VLOOKUP('Données projet'!$B$12,Paramètres!$A$1:$I$89,5,0)</f>
        <v>2.5006556825246659E-13</v>
      </c>
      <c r="CA115" s="14">
        <f t="shared" si="93"/>
        <v>3.3765445850268018E-12</v>
      </c>
      <c r="CB115" s="22">
        <f t="shared" si="64"/>
        <v>6.3163460169613921E-12</v>
      </c>
      <c r="CC115" s="62">
        <f t="shared" si="65"/>
        <v>293.33333333333962</v>
      </c>
      <c r="CD115" s="62">
        <f ca="1">AVERAGE(OFFSET($CC$3,0,0,'Données projet'!$E$12+1,1))-AVERAGE(OFFSET($H$3,0,0,'Données projet'!$E$12+1,1))</f>
        <v>217.14170654868826</v>
      </c>
      <c r="CE115" s="62">
        <f t="shared" si="94"/>
        <v>202.59844364241644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55.821999999999981</v>
      </c>
      <c r="D116" s="12">
        <f t="shared" si="86"/>
        <v>16.107543378557729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555.24559800991926</v>
      </c>
      <c r="H116" s="70">
        <f t="shared" si="56"/>
        <v>418.61062138432129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3.979039320256561E-13</v>
      </c>
      <c r="O116" s="14">
        <f>N116*VLOOKUP('Données projet'!$B$9,Paramètres!$A$1:$I$89,3,0)*VLOOKUP('Données projet'!$B$9,Paramètres!$A$1:$I$89,5,0)</f>
        <v>2.2760104911867532E-13</v>
      </c>
      <c r="P116" s="14">
        <f t="shared" si="87"/>
        <v>3.1070714519279848E-12</v>
      </c>
      <c r="Q116" s="22">
        <f t="shared" si="107"/>
        <v>5.8078879393229322E-12</v>
      </c>
      <c r="R116" s="62">
        <f t="shared" si="55"/>
        <v>293.33333333333911</v>
      </c>
      <c r="S116" s="62">
        <f ca="1">AVERAGE(OFFSET($R$3,0,0,'Données projet'!$E$9+1,1))-AVERAGE(OFFSET($H$3,0,0,'Données projet'!$E$9+1,1))</f>
        <v>183.98573418698061</v>
      </c>
      <c r="T116" s="62">
        <f t="shared" si="88"/>
        <v>158.42298722045609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294.57089926309249</v>
      </c>
      <c r="AO116" s="62">
        <f t="shared" si="90"/>
        <v>221.0956883062172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3.7</v>
      </c>
      <c r="BD116" s="13">
        <f>IF('Données projet'!$A$88&gt;35,BD115+BC116-BL115,IF(A116&lt;'Données projet'!$A$88,$BA$205^A116,IF(A116='Données projet'!$A$88,'Données projet'!$B$88,BD115+BC116-BL115)))</f>
        <v>277.09999999999957</v>
      </c>
      <c r="BE116" s="14">
        <f>BD116*VLOOKUP('Données projet'!$B$11,Paramètres!$A$1:$I$89,3,0)*VLOOKUP('Données projet'!$B$11,Paramètres!$A$1:$I$89,5,0)</f>
        <v>250.7200799999996</v>
      </c>
      <c r="BF116" s="14">
        <f t="shared" si="91"/>
        <v>60.740109326032709</v>
      </c>
      <c r="BG116" s="22">
        <f t="shared" si="61"/>
        <v>542.45982974283959</v>
      </c>
      <c r="BH116" s="62">
        <f t="shared" si="62"/>
        <v>835.79316307617296</v>
      </c>
      <c r="BI116" s="62">
        <f ca="1">AVERAGE(OFFSET($BH$3,0,0,'Données projet'!$E$11+1,1))-AVERAGE(OFFSET($H$3,0,0,'Données projet'!$E$11+1,1))</f>
        <v>312.29553270286209</v>
      </c>
      <c r="BJ116" s="62">
        <f t="shared" si="92"/>
        <v>175.8423124483154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3.4106051316484809E-13</v>
      </c>
      <c r="BZ116" s="14">
        <f>BY116*VLOOKUP('Données projet'!$B$12,Paramètres!$A$1:$I$89,3,0)*VLOOKUP('Données projet'!$B$12,Paramètres!$A$1:$I$89,5,0)</f>
        <v>2.5006556825246659E-13</v>
      </c>
      <c r="CA116" s="14">
        <f t="shared" si="93"/>
        <v>3.3765445850268018E-12</v>
      </c>
      <c r="CB116" s="22">
        <f t="shared" si="64"/>
        <v>6.3163460169613921E-12</v>
      </c>
      <c r="CC116" s="62">
        <f t="shared" si="65"/>
        <v>293.33333333333962</v>
      </c>
      <c r="CD116" s="62">
        <f ca="1">AVERAGE(OFFSET($CC$3,0,0,'Données projet'!$E$12+1,1))-AVERAGE(OFFSET($H$3,0,0,'Données projet'!$E$12+1,1))</f>
        <v>217.14170654868826</v>
      </c>
      <c r="CE116" s="62">
        <f t="shared" si="94"/>
        <v>202.59844364241644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56.315999999999981</v>
      </c>
      <c r="D117" s="12">
        <f t="shared" si="86"/>
        <v>16.233431156661826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560.03069664791576</v>
      </c>
      <c r="H117" s="70">
        <f t="shared" si="56"/>
        <v>419.69025926451928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3.979039320256561E-13</v>
      </c>
      <c r="O117" s="14">
        <f>N117*VLOOKUP('Données projet'!$B$9,Paramètres!$A$1:$I$89,3,0)*VLOOKUP('Données projet'!$B$9,Paramètres!$A$1:$I$89,5,0)</f>
        <v>2.2760104911867532E-13</v>
      </c>
      <c r="P117" s="14">
        <f t="shared" si="87"/>
        <v>3.1070714519279848E-12</v>
      </c>
      <c r="Q117" s="22">
        <f t="shared" si="107"/>
        <v>5.8078879393229322E-12</v>
      </c>
      <c r="R117" s="62">
        <f t="shared" si="55"/>
        <v>293.33333333333911</v>
      </c>
      <c r="S117" s="62">
        <f ca="1">AVERAGE(OFFSET($R$3,0,0,'Données projet'!$E$9+1,1))-AVERAGE(OFFSET($H$3,0,0,'Données projet'!$E$9+1,1))</f>
        <v>183.98573418698061</v>
      </c>
      <c r="T117" s="62">
        <f t="shared" si="88"/>
        <v>158.42298722045609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294.57089926309249</v>
      </c>
      <c r="AO117" s="62">
        <f t="shared" si="90"/>
        <v>221.0956883062172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3.7</v>
      </c>
      <c r="BD117" s="13">
        <f>IF('Données projet'!$A$88&gt;35,BD116+BC117-BL116,IF(A117&lt;'Données projet'!$A$88,$BA$205^A117,IF(A117='Données projet'!$A$88,'Données projet'!$B$88,BD116+BC117-BL116)))</f>
        <v>280.79999999999956</v>
      </c>
      <c r="BE117" s="14">
        <f>BD117*VLOOKUP('Données projet'!$B$11,Paramètres!$A$1:$I$89,3,0)*VLOOKUP('Données projet'!$B$11,Paramètres!$A$1:$I$89,5,0)</f>
        <v>254.06783999999956</v>
      </c>
      <c r="BF117" s="14">
        <f t="shared" si="91"/>
        <v>61.456187622750669</v>
      </c>
      <c r="BG117" s="22">
        <f t="shared" si="61"/>
        <v>549.53768144295657</v>
      </c>
      <c r="BH117" s="62">
        <f t="shared" si="62"/>
        <v>842.87101477628994</v>
      </c>
      <c r="BI117" s="62">
        <f ca="1">AVERAGE(OFFSET($BH$3,0,0,'Données projet'!$E$11+1,1))-AVERAGE(OFFSET($H$3,0,0,'Données projet'!$E$11+1,1))</f>
        <v>312.29553270286209</v>
      </c>
      <c r="BJ117" s="62">
        <f t="shared" si="92"/>
        <v>175.8423124483154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3.4106051316484809E-13</v>
      </c>
      <c r="BZ117" s="14">
        <f>BY117*VLOOKUP('Données projet'!$B$12,Paramètres!$A$1:$I$89,3,0)*VLOOKUP('Données projet'!$B$12,Paramètres!$A$1:$I$89,5,0)</f>
        <v>2.5006556825246659E-13</v>
      </c>
      <c r="CA117" s="14">
        <f t="shared" si="93"/>
        <v>3.3765445850268018E-12</v>
      </c>
      <c r="CB117" s="22">
        <f t="shared" si="64"/>
        <v>6.3163460169613921E-12</v>
      </c>
      <c r="CC117" s="62">
        <f t="shared" si="65"/>
        <v>293.33333333333962</v>
      </c>
      <c r="CD117" s="62">
        <f ca="1">AVERAGE(OFFSET($CC$3,0,0,'Données projet'!$E$12+1,1))-AVERAGE(OFFSET($H$3,0,0,'Données projet'!$E$12+1,1))</f>
        <v>217.14170654868826</v>
      </c>
      <c r="CE117" s="62">
        <f t="shared" si="94"/>
        <v>202.59844364241644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56.809999999999981</v>
      </c>
      <c r="D118" s="12">
        <f t="shared" si="86"/>
        <v>16.359190460575888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564.81480355532244</v>
      </c>
      <c r="H118" s="70">
        <f t="shared" si="56"/>
        <v>420.76967338550293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3.979039320256561E-13</v>
      </c>
      <c r="O118" s="14">
        <f>N118*VLOOKUP('Données projet'!$B$9,Paramètres!$A$1:$I$89,3,0)*VLOOKUP('Données projet'!$B$9,Paramètres!$A$1:$I$89,5,0)</f>
        <v>2.2760104911867532E-13</v>
      </c>
      <c r="P118" s="14">
        <f t="shared" si="87"/>
        <v>3.1070714519279848E-12</v>
      </c>
      <c r="Q118" s="22">
        <f t="shared" si="107"/>
        <v>5.8078879393229322E-12</v>
      </c>
      <c r="R118" s="62">
        <f t="shared" si="55"/>
        <v>293.33333333333911</v>
      </c>
      <c r="S118" s="62">
        <f ca="1">AVERAGE(OFFSET($R$3,0,0,'Données projet'!$E$9+1,1))-AVERAGE(OFFSET($H$3,0,0,'Données projet'!$E$9+1,1))</f>
        <v>183.98573418698061</v>
      </c>
      <c r="T118" s="62">
        <f t="shared" si="88"/>
        <v>158.42298722045609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294.57089926309249</v>
      </c>
      <c r="AO118" s="62">
        <f t="shared" si="90"/>
        <v>221.0956883062172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3.7</v>
      </c>
      <c r="BD118" s="13">
        <f>IF('Données projet'!$A$88&gt;35,BD117+BC118-BL117,IF(A118&lt;'Données projet'!$A$88,$BA$205^A118,IF(A118='Données projet'!$A$88,'Données projet'!$B$88,BD117+BC118-BL117)))</f>
        <v>284.49999999999955</v>
      </c>
      <c r="BE118" s="14">
        <f>BD118*VLOOKUP('Données projet'!$B$11,Paramètres!$A$1:$I$89,3,0)*VLOOKUP('Données projet'!$B$11,Paramètres!$A$1:$I$89,5,0)</f>
        <v>257.41559999999959</v>
      </c>
      <c r="BF118" s="14">
        <f t="shared" si="91"/>
        <v>62.171168434977062</v>
      </c>
      <c r="BG118" s="22">
        <f t="shared" si="61"/>
        <v>556.61362169091774</v>
      </c>
      <c r="BH118" s="62">
        <f t="shared" si="62"/>
        <v>849.94695502425111</v>
      </c>
      <c r="BI118" s="62">
        <f ca="1">AVERAGE(OFFSET($BH$3,0,0,'Données projet'!$E$11+1,1))-AVERAGE(OFFSET($H$3,0,0,'Données projet'!$E$11+1,1))</f>
        <v>312.29553270286209</v>
      </c>
      <c r="BJ118" s="62">
        <f t="shared" si="92"/>
        <v>175.8423124483154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3.4106051316484809E-13</v>
      </c>
      <c r="BZ118" s="14">
        <f>BY118*VLOOKUP('Données projet'!$B$12,Paramètres!$A$1:$I$89,3,0)*VLOOKUP('Données projet'!$B$12,Paramètres!$A$1:$I$89,5,0)</f>
        <v>2.5006556825246659E-13</v>
      </c>
      <c r="CA118" s="14">
        <f t="shared" si="93"/>
        <v>3.3765445850268018E-12</v>
      </c>
      <c r="CB118" s="22">
        <f t="shared" si="64"/>
        <v>6.3163460169613921E-12</v>
      </c>
      <c r="CC118" s="62">
        <f t="shared" si="65"/>
        <v>293.33333333333962</v>
      </c>
      <c r="CD118" s="62">
        <f ca="1">AVERAGE(OFFSET($CC$3,0,0,'Données projet'!$E$12+1,1))-AVERAGE(OFFSET($H$3,0,0,'Données projet'!$E$12+1,1))</f>
        <v>217.14170654868826</v>
      </c>
      <c r="CE118" s="62">
        <f t="shared" si="94"/>
        <v>202.59844364241644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57.303999999999981</v>
      </c>
      <c r="D119" s="12">
        <f t="shared" si="86"/>
        <v>16.484822536905565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569.59792835506039</v>
      </c>
      <c r="H119" s="70">
        <f t="shared" si="56"/>
        <v>421.84886591844383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3.979039320256561E-13</v>
      </c>
      <c r="O119" s="14">
        <f>N119*VLOOKUP('Données projet'!$B$9,Paramètres!$A$1:$I$89,3,0)*VLOOKUP('Données projet'!$B$9,Paramètres!$A$1:$I$89,5,0)</f>
        <v>2.2760104911867532E-13</v>
      </c>
      <c r="P119" s="14">
        <f t="shared" si="87"/>
        <v>3.1070714519279848E-12</v>
      </c>
      <c r="Q119" s="22">
        <f t="shared" si="107"/>
        <v>5.8078879393229322E-12</v>
      </c>
      <c r="R119" s="62">
        <f t="shared" si="55"/>
        <v>293.33333333333911</v>
      </c>
      <c r="S119" s="62">
        <f ca="1">AVERAGE(OFFSET($R$3,0,0,'Données projet'!$E$9+1,1))-AVERAGE(OFFSET($H$3,0,0,'Données projet'!$E$9+1,1))</f>
        <v>183.98573418698061</v>
      </c>
      <c r="T119" s="62">
        <f t="shared" si="88"/>
        <v>158.42298722045609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294.57089926309249</v>
      </c>
      <c r="AO119" s="62">
        <f t="shared" si="90"/>
        <v>221.0956883062172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3.7</v>
      </c>
      <c r="BD119" s="13">
        <f>IF('Données projet'!$A$88&gt;35,BD118+BC119-BL118,IF(A119&lt;'Données projet'!$A$88,$BA$205^A119,IF(A119='Données projet'!$A$88,'Données projet'!$B$88,BD118+BC119-BL118)))</f>
        <v>288.19999999999953</v>
      </c>
      <c r="BE119" s="14">
        <f>BD119*VLOOKUP('Données projet'!$B$11,Paramètres!$A$1:$I$89,3,0)*VLOOKUP('Données projet'!$B$11,Paramètres!$A$1:$I$89,5,0)</f>
        <v>260.76335999999958</v>
      </c>
      <c r="BF119" s="14">
        <f t="shared" si="91"/>
        <v>62.885067686031896</v>
      </c>
      <c r="BG119" s="22">
        <f t="shared" si="61"/>
        <v>563.68767821983818</v>
      </c>
      <c r="BH119" s="62">
        <f t="shared" si="62"/>
        <v>857.02101155317155</v>
      </c>
      <c r="BI119" s="62">
        <f ca="1">AVERAGE(OFFSET($BH$3,0,0,'Données projet'!$E$11+1,1))-AVERAGE(OFFSET($H$3,0,0,'Données projet'!$E$11+1,1))</f>
        <v>312.29553270286209</v>
      </c>
      <c r="BJ119" s="62">
        <f t="shared" si="92"/>
        <v>175.8423124483154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3.4106051316484809E-13</v>
      </c>
      <c r="BZ119" s="14">
        <f>BY119*VLOOKUP('Données projet'!$B$12,Paramètres!$A$1:$I$89,3,0)*VLOOKUP('Données projet'!$B$12,Paramètres!$A$1:$I$89,5,0)</f>
        <v>2.5006556825246659E-13</v>
      </c>
      <c r="CA119" s="14">
        <f t="shared" si="93"/>
        <v>3.3765445850268018E-12</v>
      </c>
      <c r="CB119" s="22">
        <f t="shared" si="64"/>
        <v>6.3163460169613921E-12</v>
      </c>
      <c r="CC119" s="62">
        <f t="shared" si="65"/>
        <v>293.33333333333962</v>
      </c>
      <c r="CD119" s="62">
        <f ca="1">AVERAGE(OFFSET($CC$3,0,0,'Données projet'!$E$12+1,1))-AVERAGE(OFFSET($H$3,0,0,'Données projet'!$E$12+1,1))</f>
        <v>217.14170654868826</v>
      </c>
      <c r="CE119" s="62">
        <f t="shared" si="94"/>
        <v>202.59844364241644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57.797999999999981</v>
      </c>
      <c r="D120" s="12">
        <f t="shared" si="86"/>
        <v>16.610328609522991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574.38008049456323</v>
      </c>
      <c r="H120" s="70">
        <f t="shared" si="56"/>
        <v>422.92783899491917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3.979039320256561E-13</v>
      </c>
      <c r="O120" s="14">
        <f>N120*VLOOKUP('Données projet'!$B$9,Paramètres!$A$1:$I$89,3,0)*VLOOKUP('Données projet'!$B$9,Paramètres!$A$1:$I$89,5,0)</f>
        <v>2.2760104911867532E-13</v>
      </c>
      <c r="P120" s="14">
        <f t="shared" si="87"/>
        <v>3.1070714519279848E-12</v>
      </c>
      <c r="Q120" s="22">
        <f t="shared" si="107"/>
        <v>5.8078879393229322E-12</v>
      </c>
      <c r="R120" s="62">
        <f t="shared" si="55"/>
        <v>293.33333333333911</v>
      </c>
      <c r="S120" s="62">
        <f ca="1">AVERAGE(OFFSET($R$3,0,0,'Données projet'!$E$9+1,1))-AVERAGE(OFFSET($H$3,0,0,'Données projet'!$E$9+1,1))</f>
        <v>183.98573418698061</v>
      </c>
      <c r="T120" s="62">
        <f t="shared" si="88"/>
        <v>158.42298722045609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294.57089926309249</v>
      </c>
      <c r="AO120" s="62">
        <f t="shared" si="90"/>
        <v>221.0956883062172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3.7</v>
      </c>
      <c r="BD120" s="13">
        <f>IF('Données projet'!$A$88&gt;35,BD119+BC120-BL119,IF(A120&lt;'Données projet'!$A$88,$BA$205^A120,IF(A120='Données projet'!$A$88,'Données projet'!$B$88,BD119+BC120-BL119)))</f>
        <v>291.89999999999952</v>
      </c>
      <c r="BE120" s="14">
        <f>BD120*VLOOKUP('Données projet'!$B$11,Paramètres!$A$1:$I$89,3,0)*VLOOKUP('Données projet'!$B$11,Paramètres!$A$1:$I$89,5,0)</f>
        <v>264.11111999999957</v>
      </c>
      <c r="BF120" s="14">
        <f t="shared" si="91"/>
        <v>63.597900866870546</v>
      </c>
      <c r="BG120" s="22">
        <f t="shared" si="61"/>
        <v>570.75987800979885</v>
      </c>
      <c r="BH120" s="62">
        <f t="shared" si="62"/>
        <v>864.09321134313223</v>
      </c>
      <c r="BI120" s="62">
        <f ca="1">AVERAGE(OFFSET($BH$3,0,0,'Données projet'!$E$11+1,1))-AVERAGE(OFFSET($H$3,0,0,'Données projet'!$E$11+1,1))</f>
        <v>312.29553270286209</v>
      </c>
      <c r="BJ120" s="62">
        <f t="shared" si="92"/>
        <v>175.8423124483154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3.4106051316484809E-13</v>
      </c>
      <c r="BZ120" s="14">
        <f>BY120*VLOOKUP('Données projet'!$B$12,Paramètres!$A$1:$I$89,3,0)*VLOOKUP('Données projet'!$B$12,Paramètres!$A$1:$I$89,5,0)</f>
        <v>2.5006556825246659E-13</v>
      </c>
      <c r="CA120" s="14">
        <f t="shared" si="93"/>
        <v>3.3765445850268018E-12</v>
      </c>
      <c r="CB120" s="22">
        <f t="shared" si="64"/>
        <v>6.3163460169613921E-12</v>
      </c>
      <c r="CC120" s="62">
        <f t="shared" si="65"/>
        <v>293.33333333333962</v>
      </c>
      <c r="CD120" s="62">
        <f ca="1">AVERAGE(OFFSET($CC$3,0,0,'Données projet'!$E$12+1,1))-AVERAGE(OFFSET($H$3,0,0,'Données projet'!$E$12+1,1))</f>
        <v>217.14170654868826</v>
      </c>
      <c r="CE120" s="62">
        <f t="shared" si="94"/>
        <v>202.59844364241644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58.29199999999998</v>
      </c>
      <c r="D121" s="12">
        <f t="shared" si="86"/>
        <v>16.735709880171999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579.16126925045035</v>
      </c>
      <c r="H121" s="70">
        <f t="shared" si="56"/>
        <v>424.0065947079662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3.979039320256561E-13</v>
      </c>
      <c r="O121" s="14">
        <f>N121*VLOOKUP('Données projet'!$B$9,Paramètres!$A$1:$I$89,3,0)*VLOOKUP('Données projet'!$B$9,Paramètres!$A$1:$I$89,5,0)</f>
        <v>2.2760104911867532E-13</v>
      </c>
      <c r="P121" s="14">
        <f t="shared" si="87"/>
        <v>3.1070714519279848E-12</v>
      </c>
      <c r="Q121" s="22">
        <f t="shared" si="107"/>
        <v>5.8078879393229322E-12</v>
      </c>
      <c r="R121" s="62">
        <f t="shared" si="55"/>
        <v>293.33333333333911</v>
      </c>
      <c r="S121" s="62">
        <f ca="1">AVERAGE(OFFSET($R$3,0,0,'Données projet'!$E$9+1,1))-AVERAGE(OFFSET($H$3,0,0,'Données projet'!$E$9+1,1))</f>
        <v>183.98573418698061</v>
      </c>
      <c r="T121" s="62">
        <f t="shared" si="88"/>
        <v>158.42298722045609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294.57089926309249</v>
      </c>
      <c r="AO121" s="62">
        <f t="shared" si="90"/>
        <v>221.0956883062172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3.7</v>
      </c>
      <c r="BD121" s="13">
        <f>IF('Données projet'!$A$88&gt;35,BD120+BC121-BL120,IF(A121&lt;'Données projet'!$A$88,$BA$205^A121,IF(A121='Données projet'!$A$88,'Données projet'!$B$88,BD120+BC121-BL120)))</f>
        <v>295.59999999999951</v>
      </c>
      <c r="BE121" s="14">
        <f>BD121*VLOOKUP('Données projet'!$B$11,Paramètres!$A$1:$I$89,3,0)*VLOOKUP('Données projet'!$B$11,Paramètres!$A$1:$I$89,5,0)</f>
        <v>267.45887999999951</v>
      </c>
      <c r="BF121" s="14">
        <f t="shared" si="91"/>
        <v>64.309683053152327</v>
      </c>
      <c r="BG121" s="22">
        <f t="shared" si="61"/>
        <v>577.8302473175728</v>
      </c>
      <c r="BH121" s="62">
        <f t="shared" si="62"/>
        <v>871.16358065090617</v>
      </c>
      <c r="BI121" s="62">
        <f ca="1">AVERAGE(OFFSET($BH$3,0,0,'Données projet'!$E$11+1,1))-AVERAGE(OFFSET($H$3,0,0,'Données projet'!$E$11+1,1))</f>
        <v>312.29553270286209</v>
      </c>
      <c r="BJ121" s="62">
        <f t="shared" si="92"/>
        <v>175.8423124483154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3.4106051316484809E-13</v>
      </c>
      <c r="BZ121" s="14">
        <f>BY121*VLOOKUP('Données projet'!$B$12,Paramètres!$A$1:$I$89,3,0)*VLOOKUP('Données projet'!$B$12,Paramètres!$A$1:$I$89,5,0)</f>
        <v>2.5006556825246659E-13</v>
      </c>
      <c r="CA121" s="14">
        <f t="shared" si="93"/>
        <v>3.3765445850268018E-12</v>
      </c>
      <c r="CB121" s="22">
        <f t="shared" si="64"/>
        <v>6.3163460169613921E-12</v>
      </c>
      <c r="CC121" s="62">
        <f t="shared" si="65"/>
        <v>293.33333333333962</v>
      </c>
      <c r="CD121" s="62">
        <f ca="1">AVERAGE(OFFSET($CC$3,0,0,'Données projet'!$E$12+1,1))-AVERAGE(OFFSET($H$3,0,0,'Données projet'!$E$12+1,1))</f>
        <v>217.14170654868826</v>
      </c>
      <c r="CE121" s="62">
        <f t="shared" si="94"/>
        <v>202.59844364241644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58.78599999999998</v>
      </c>
      <c r="D122" s="12">
        <f t="shared" si="86"/>
        <v>16.860967529052314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583.94150373303523</v>
      </c>
      <c r="H122" s="70">
        <f t="shared" si="56"/>
        <v>425.08513511309934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3.979039320256561E-13</v>
      </c>
      <c r="O122" s="14">
        <f>N122*VLOOKUP('Données projet'!$B$9,Paramètres!$A$1:$I$89,3,0)*VLOOKUP('Données projet'!$B$9,Paramètres!$A$1:$I$89,5,0)</f>
        <v>2.2760104911867532E-13</v>
      </c>
      <c r="P122" s="14">
        <f t="shared" si="87"/>
        <v>3.1070714519279848E-12</v>
      </c>
      <c r="Q122" s="22">
        <f t="shared" si="107"/>
        <v>5.8078879393229322E-12</v>
      </c>
      <c r="R122" s="62">
        <f t="shared" si="55"/>
        <v>293.33333333333911</v>
      </c>
      <c r="S122" s="62">
        <f ca="1">AVERAGE(OFFSET($R$3,0,0,'Données projet'!$E$9+1,1))-AVERAGE(OFFSET($H$3,0,0,'Données projet'!$E$9+1,1))</f>
        <v>183.98573418698061</v>
      </c>
      <c r="T122" s="62">
        <f t="shared" si="88"/>
        <v>158.42298722045609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294.57089926309249</v>
      </c>
      <c r="AO122" s="62">
        <f t="shared" si="90"/>
        <v>221.0956883062172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3.7</v>
      </c>
      <c r="BD122" s="13">
        <f>IF('Données projet'!$A$88&gt;35,BD121+BC122-BL121,IF(A122&lt;'Données projet'!$A$88,$BA$205^A122,IF(A122='Données projet'!$A$88,'Données projet'!$B$88,BD121+BC122-BL121)))</f>
        <v>299.2999999999995</v>
      </c>
      <c r="BE122" s="14">
        <f>BD122*VLOOKUP('Données projet'!$B$11,Paramètres!$A$1:$I$89,3,0)*VLOOKUP('Données projet'!$B$11,Paramètres!$A$1:$I$89,5,0)</f>
        <v>270.80663999999956</v>
      </c>
      <c r="BF122" s="14">
        <f t="shared" si="91"/>
        <v>65.020428921429911</v>
      </c>
      <c r="BG122" s="22">
        <f t="shared" si="61"/>
        <v>584.89881170482306</v>
      </c>
      <c r="BH122" s="62">
        <f t="shared" si="62"/>
        <v>878.23214503815643</v>
      </c>
      <c r="BI122" s="62">
        <f ca="1">AVERAGE(OFFSET($BH$3,0,0,'Données projet'!$E$11+1,1))-AVERAGE(OFFSET($H$3,0,0,'Données projet'!$E$11+1,1))</f>
        <v>312.29553270286209</v>
      </c>
      <c r="BJ122" s="62">
        <f t="shared" si="92"/>
        <v>175.8423124483154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3.4106051316484809E-13</v>
      </c>
      <c r="BZ122" s="14">
        <f>BY122*VLOOKUP('Données projet'!$B$12,Paramètres!$A$1:$I$89,3,0)*VLOOKUP('Données projet'!$B$12,Paramètres!$A$1:$I$89,5,0)</f>
        <v>2.5006556825246659E-13</v>
      </c>
      <c r="CA122" s="14">
        <f t="shared" si="93"/>
        <v>3.3765445850268018E-12</v>
      </c>
      <c r="CB122" s="22">
        <f t="shared" si="64"/>
        <v>6.3163460169613921E-12</v>
      </c>
      <c r="CC122" s="62">
        <f t="shared" si="65"/>
        <v>293.33333333333962</v>
      </c>
      <c r="CD122" s="62">
        <f ca="1">AVERAGE(OFFSET($CC$3,0,0,'Données projet'!$E$12+1,1))-AVERAGE(OFFSET($H$3,0,0,'Données projet'!$E$12+1,1))</f>
        <v>217.14170654868826</v>
      </c>
      <c r="CE122" s="62">
        <f t="shared" si="94"/>
        <v>202.59844364241644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59.27999999999998</v>
      </c>
      <c r="D123" s="12">
        <f t="shared" si="86"/>
        <v>16.986102715383467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588.72079289067926</v>
      </c>
      <c r="H123" s="70">
        <f t="shared" si="56"/>
        <v>426.1634622292928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3.979039320256561E-13</v>
      </c>
      <c r="O123" s="14">
        <f>N123*VLOOKUP('Données projet'!$B$9,Paramètres!$A$1:$I$89,3,0)*VLOOKUP('Données projet'!$B$9,Paramètres!$A$1:$I$89,5,0)</f>
        <v>2.2760104911867532E-13</v>
      </c>
      <c r="P123" s="14">
        <f t="shared" si="87"/>
        <v>3.1070714519279848E-12</v>
      </c>
      <c r="Q123" s="22">
        <f t="shared" si="107"/>
        <v>5.8078879393229322E-12</v>
      </c>
      <c r="R123" s="62">
        <f t="shared" si="55"/>
        <v>293.33333333333911</v>
      </c>
      <c r="S123" s="62">
        <f ca="1">AVERAGE(OFFSET($R$3,0,0,'Données projet'!$E$9+1,1))-AVERAGE(OFFSET($H$3,0,0,'Données projet'!$E$9+1,1))</f>
        <v>183.98573418698061</v>
      </c>
      <c r="T123" s="62">
        <f t="shared" si="88"/>
        <v>158.42298722045609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294.57089926309249</v>
      </c>
      <c r="AO123" s="62">
        <f t="shared" si="90"/>
        <v>221.0956883062172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>
        <f>VLOOKUP(A123,'Données projet'!$A$87:$I$107,2,0)</f>
        <v>303</v>
      </c>
      <c r="BB123" s="13">
        <f>VLOOKUP(A123,'Données projet'!$A$87:$I$107,9,0)</f>
        <v>3.7</v>
      </c>
      <c r="BC123" s="13">
        <f t="array" ref="BC123">INDEX(BB:BB,MIN(IF(ISNUMBER(BB123:BB319),ROW(BB123:BB319),"")))</f>
        <v>3.7</v>
      </c>
      <c r="BD123" s="13">
        <f>IF('Données projet'!$A$88&gt;35,BD122+BC123-BL122,IF(A123&lt;'Données projet'!$A$88,$BA$205^A123,IF(A123='Données projet'!$A$88,'Données projet'!$B$88,BD122+BC123-BL122)))</f>
        <v>302.99999999999949</v>
      </c>
      <c r="BE123" s="14">
        <f>BD123*VLOOKUP('Données projet'!$B$11,Paramètres!$A$1:$I$89,3,0)*VLOOKUP('Données projet'!$B$11,Paramètres!$A$1:$I$89,5,0)</f>
        <v>274.15439999999955</v>
      </c>
      <c r="BF123" s="14">
        <f t="shared" si="91"/>
        <v>65.730152764515779</v>
      </c>
      <c r="BG123" s="22">
        <f t="shared" si="61"/>
        <v>591.96559606486414</v>
      </c>
      <c r="BH123" s="62">
        <f t="shared" si="62"/>
        <v>885.29892939819752</v>
      </c>
      <c r="BI123" s="62">
        <f ca="1">AVERAGE(OFFSET($BH$3,0,0,'Données projet'!$E$11+1,1))-AVERAGE(OFFSET($H$3,0,0,'Données projet'!$E$11+1,1))</f>
        <v>312.29553270286209</v>
      </c>
      <c r="BJ123" s="62">
        <f t="shared" si="92"/>
        <v>175.8423124483154</v>
      </c>
      <c r="BK123" s="16">
        <f>IF(ISNA(VLOOKUP(A123,'Données projet'!$A$87:$I$107,3,0)),0,VLOOKUP(A123,'Données projet'!$A$87:$I$107,3,0))</f>
        <v>10</v>
      </c>
      <c r="BL123" s="16">
        <f>IF(ISNA(VLOOKUP(A123,'Données projet'!$A$87:$I$107,4,0)),0,VLOOKUP(A123,'Données projet'!$A$87:$I$107,4,0))</f>
        <v>35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3.4106051316484809E-13</v>
      </c>
      <c r="BZ123" s="14">
        <f>BY123*VLOOKUP('Données projet'!$B$12,Paramètres!$A$1:$I$89,3,0)*VLOOKUP('Données projet'!$B$12,Paramètres!$A$1:$I$89,5,0)</f>
        <v>2.5006556825246659E-13</v>
      </c>
      <c r="CA123" s="14">
        <f t="shared" si="93"/>
        <v>3.3765445850268018E-12</v>
      </c>
      <c r="CB123" s="22">
        <f t="shared" si="64"/>
        <v>6.3163460169613921E-12</v>
      </c>
      <c r="CC123" s="62">
        <f t="shared" si="65"/>
        <v>293.33333333333962</v>
      </c>
      <c r="CD123" s="62">
        <f ca="1">AVERAGE(OFFSET($CC$3,0,0,'Données projet'!$E$12+1,1))-AVERAGE(OFFSET($H$3,0,0,'Données projet'!$E$12+1,1))</f>
        <v>217.14170654868826</v>
      </c>
      <c r="CE123" s="62">
        <f t="shared" si="94"/>
        <v>202.59844364241644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59.77399999999998</v>
      </c>
      <c r="D124" s="12">
        <f t="shared" si="86"/>
        <v>17.111116577949474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593.49914551399581</v>
      </c>
      <c r="H124" s="70">
        <f t="shared" si="56"/>
        <v>427.24157803992864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3.979039320256561E-13</v>
      </c>
      <c r="O124" s="14">
        <f>N124*VLOOKUP('Données projet'!$B$9,Paramètres!$A$1:$I$89,3,0)*VLOOKUP('Données projet'!$B$9,Paramètres!$A$1:$I$89,5,0)</f>
        <v>2.2760104911867532E-13</v>
      </c>
      <c r="P124" s="14">
        <f t="shared" si="87"/>
        <v>3.1070714519279848E-12</v>
      </c>
      <c r="Q124" s="22">
        <f t="shared" si="107"/>
        <v>5.8078879393229322E-12</v>
      </c>
      <c r="R124" s="62">
        <f t="shared" si="55"/>
        <v>293.33333333333911</v>
      </c>
      <c r="S124" s="62">
        <f ca="1">AVERAGE(OFFSET($R$3,0,0,'Données projet'!$E$9+1,1))-AVERAGE(OFFSET($H$3,0,0,'Données projet'!$E$9+1,1))</f>
        <v>183.98573418698061</v>
      </c>
      <c r="T124" s="62">
        <f t="shared" si="88"/>
        <v>158.42298722045609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294.57089926309249</v>
      </c>
      <c r="AO124" s="62">
        <f t="shared" si="90"/>
        <v>221.0956883062172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3.2</v>
      </c>
      <c r="BD124" s="13">
        <f>IF('Données projet'!$A$88&gt;35,BD123+BC124-BL123,IF(A124&lt;'Données projet'!$A$88,$BA$205^A124,IF(A124='Données projet'!$A$88,'Données projet'!$B$88,BD123+BC124-BL123)))</f>
        <v>271.19999999999948</v>
      </c>
      <c r="BE124" s="14">
        <f>BD124*VLOOKUP('Données projet'!$B$11,Paramètres!$A$1:$I$89,3,0)*VLOOKUP('Données projet'!$B$11,Paramètres!$A$1:$I$89,5,0)</f>
        <v>245.3817599999995</v>
      </c>
      <c r="BF124" s="14">
        <f t="shared" si="91"/>
        <v>59.595943661626663</v>
      </c>
      <c r="BG124" s="22">
        <f t="shared" si="61"/>
        <v>531.16950054399888</v>
      </c>
      <c r="BH124" s="62">
        <f t="shared" si="62"/>
        <v>824.50283387733225</v>
      </c>
      <c r="BI124" s="62">
        <f ca="1">AVERAGE(OFFSET($BH$3,0,0,'Données projet'!$E$11+1,1))-AVERAGE(OFFSET($H$3,0,0,'Données projet'!$E$11+1,1))</f>
        <v>312.29553270286209</v>
      </c>
      <c r="BJ124" s="62">
        <f t="shared" si="92"/>
        <v>175.8423124483154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3.4106051316484809E-13</v>
      </c>
      <c r="BZ124" s="14">
        <f>BY124*VLOOKUP('Données projet'!$B$12,Paramètres!$A$1:$I$89,3,0)*VLOOKUP('Données projet'!$B$12,Paramètres!$A$1:$I$89,5,0)</f>
        <v>2.5006556825246659E-13</v>
      </c>
      <c r="CA124" s="14">
        <f t="shared" si="93"/>
        <v>3.3765445850268018E-12</v>
      </c>
      <c r="CB124" s="22">
        <f t="shared" si="64"/>
        <v>6.3163460169613921E-12</v>
      </c>
      <c r="CC124" s="62">
        <f t="shared" si="65"/>
        <v>293.33333333333962</v>
      </c>
      <c r="CD124" s="62">
        <f ca="1">AVERAGE(OFFSET($CC$3,0,0,'Données projet'!$E$12+1,1))-AVERAGE(OFFSET($H$3,0,0,'Données projet'!$E$12+1,1))</f>
        <v>217.14170654868826</v>
      </c>
      <c r="CE124" s="62">
        <f t="shared" si="94"/>
        <v>202.59844364241644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60.267999999999979</v>
      </c>
      <c r="D125" s="12">
        <f t="shared" si="86"/>
        <v>17.236010235624839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598.27657023991094</v>
      </c>
      <c r="H125" s="70">
        <f t="shared" si="56"/>
        <v>428.31948449371316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3.979039320256561E-13</v>
      </c>
      <c r="O125" s="14">
        <f>N125*VLOOKUP('Données projet'!$B$9,Paramètres!$A$1:$I$89,3,0)*VLOOKUP('Données projet'!$B$9,Paramètres!$A$1:$I$89,5,0)</f>
        <v>2.2760104911867532E-13</v>
      </c>
      <c r="P125" s="14">
        <f t="shared" si="87"/>
        <v>3.1070714519279848E-12</v>
      </c>
      <c r="Q125" s="22">
        <f t="shared" si="107"/>
        <v>5.8078879393229322E-12</v>
      </c>
      <c r="R125" s="62">
        <f t="shared" si="55"/>
        <v>293.33333333333911</v>
      </c>
      <c r="S125" s="62">
        <f ca="1">AVERAGE(OFFSET($R$3,0,0,'Données projet'!$E$9+1,1))-AVERAGE(OFFSET($H$3,0,0,'Données projet'!$E$9+1,1))</f>
        <v>183.98573418698061</v>
      </c>
      <c r="T125" s="62">
        <f t="shared" si="88"/>
        <v>158.42298722045609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294.57089926309249</v>
      </c>
      <c r="AO125" s="62">
        <f t="shared" si="90"/>
        <v>221.0956883062172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3.2</v>
      </c>
      <c r="BD125" s="13">
        <f>IF('Données projet'!$A$88&gt;35,BD124+BC125-BL124,IF(A125&lt;'Données projet'!$A$88,$BA$205^A125,IF(A125='Données projet'!$A$88,'Données projet'!$B$88,BD124+BC125-BL124)))</f>
        <v>274.39999999999947</v>
      </c>
      <c r="BE125" s="14">
        <f>BD125*VLOOKUP('Données projet'!$B$11,Paramètres!$A$1:$I$89,3,0)*VLOOKUP('Données projet'!$B$11,Paramètres!$A$1:$I$89,5,0)</f>
        <v>248.27711999999951</v>
      </c>
      <c r="BF125" s="14">
        <f t="shared" si="91"/>
        <v>60.216863677580257</v>
      </c>
      <c r="BG125" s="22">
        <f t="shared" si="61"/>
        <v>537.29368823845141</v>
      </c>
      <c r="BH125" s="62">
        <f t="shared" si="62"/>
        <v>830.62702157178478</v>
      </c>
      <c r="BI125" s="62">
        <f ca="1">AVERAGE(OFFSET($BH$3,0,0,'Données projet'!$E$11+1,1))-AVERAGE(OFFSET($H$3,0,0,'Données projet'!$E$11+1,1))</f>
        <v>312.29553270286209</v>
      </c>
      <c r="BJ125" s="62">
        <f t="shared" si="92"/>
        <v>175.8423124483154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3.4106051316484809E-13</v>
      </c>
      <c r="BZ125" s="14">
        <f>BY125*VLOOKUP('Données projet'!$B$12,Paramètres!$A$1:$I$89,3,0)*VLOOKUP('Données projet'!$B$12,Paramètres!$A$1:$I$89,5,0)</f>
        <v>2.5006556825246659E-13</v>
      </c>
      <c r="CA125" s="14">
        <f t="shared" si="93"/>
        <v>3.3765445850268018E-12</v>
      </c>
      <c r="CB125" s="22">
        <f t="shared" si="64"/>
        <v>6.3163460169613921E-12</v>
      </c>
      <c r="CC125" s="62">
        <f t="shared" si="65"/>
        <v>293.33333333333962</v>
      </c>
      <c r="CD125" s="62">
        <f ca="1">AVERAGE(OFFSET($CC$3,0,0,'Données projet'!$E$12+1,1))-AVERAGE(OFFSET($H$3,0,0,'Données projet'!$E$12+1,1))</f>
        <v>217.14170654868826</v>
      </c>
      <c r="CE125" s="62">
        <f t="shared" si="94"/>
        <v>202.59844364241644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60.761999999999979</v>
      </c>
      <c r="D126" s="12">
        <f t="shared" si="86"/>
        <v>17.360784787882967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603.05307555558772</v>
      </c>
      <c r="H126" s="70">
        <f t="shared" si="56"/>
        <v>429.39718350556279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3.979039320256561E-13</v>
      </c>
      <c r="O126" s="14">
        <f>N126*VLOOKUP('Données projet'!$B$9,Paramètres!$A$1:$I$89,3,0)*VLOOKUP('Données projet'!$B$9,Paramètres!$A$1:$I$89,5,0)</f>
        <v>2.2760104911867532E-13</v>
      </c>
      <c r="P126" s="14">
        <f t="shared" si="87"/>
        <v>3.1070714519279848E-12</v>
      </c>
      <c r="Q126" s="22">
        <f t="shared" si="107"/>
        <v>5.8078879393229322E-12</v>
      </c>
      <c r="R126" s="62">
        <f t="shared" si="55"/>
        <v>293.33333333333911</v>
      </c>
      <c r="S126" s="62">
        <f ca="1">AVERAGE(OFFSET($R$3,0,0,'Données projet'!$E$9+1,1))-AVERAGE(OFFSET($H$3,0,0,'Données projet'!$E$9+1,1))</f>
        <v>183.98573418698061</v>
      </c>
      <c r="T126" s="62">
        <f t="shared" si="88"/>
        <v>158.42298722045609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294.57089926309249</v>
      </c>
      <c r="AO126" s="62">
        <f t="shared" si="90"/>
        <v>221.0956883062172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3.2</v>
      </c>
      <c r="BD126" s="13">
        <f>IF('Données projet'!$A$88&gt;35,BD125+BC126-BL125,IF(A126&lt;'Données projet'!$A$88,$BA$205^A126,IF(A126='Données projet'!$A$88,'Données projet'!$B$88,BD125+BC126-BL125)))</f>
        <v>277.59999999999945</v>
      </c>
      <c r="BE126" s="14">
        <f>BD126*VLOOKUP('Données projet'!$B$11,Paramètres!$A$1:$I$89,3,0)*VLOOKUP('Données projet'!$B$11,Paramètres!$A$1:$I$89,5,0)</f>
        <v>251.1724799999995</v>
      </c>
      <c r="BF126" s="14">
        <f t="shared" si="91"/>
        <v>60.836941386956575</v>
      </c>
      <c r="BG126" s="22">
        <f t="shared" si="61"/>
        <v>543.41640891561519</v>
      </c>
      <c r="BH126" s="62">
        <f t="shared" si="62"/>
        <v>836.74974224894845</v>
      </c>
      <c r="BI126" s="62">
        <f ca="1">AVERAGE(OFFSET($BH$3,0,0,'Données projet'!$E$11+1,1))-AVERAGE(OFFSET($H$3,0,0,'Données projet'!$E$11+1,1))</f>
        <v>312.29553270286209</v>
      </c>
      <c r="BJ126" s="62">
        <f t="shared" si="92"/>
        <v>175.8423124483154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3.4106051316484809E-13</v>
      </c>
      <c r="BZ126" s="14">
        <f>BY126*VLOOKUP('Données projet'!$B$12,Paramètres!$A$1:$I$89,3,0)*VLOOKUP('Données projet'!$B$12,Paramètres!$A$1:$I$89,5,0)</f>
        <v>2.5006556825246659E-13</v>
      </c>
      <c r="CA126" s="14">
        <f t="shared" si="93"/>
        <v>3.3765445850268018E-12</v>
      </c>
      <c r="CB126" s="22">
        <f t="shared" si="64"/>
        <v>6.3163460169613921E-12</v>
      </c>
      <c r="CC126" s="62">
        <f t="shared" si="65"/>
        <v>293.33333333333962</v>
      </c>
      <c r="CD126" s="62">
        <f ca="1">AVERAGE(OFFSET($CC$3,0,0,'Données projet'!$E$12+1,1))-AVERAGE(OFFSET($H$3,0,0,'Données projet'!$E$12+1,1))</f>
        <v>217.14170654868826</v>
      </c>
      <c r="CE126" s="62">
        <f t="shared" si="94"/>
        <v>202.59844364241644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61.255999999999979</v>
      </c>
      <c r="D127" s="12">
        <f t="shared" si="86"/>
        <v>17.485441315287559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607.82866980221968</v>
      </c>
      <c r="H127" s="70">
        <f t="shared" si="56"/>
        <v>430.47467695745911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3.979039320256561E-13</v>
      </c>
      <c r="O127" s="14">
        <f>N127*VLOOKUP('Données projet'!$B$9,Paramètres!$A$1:$I$89,3,0)*VLOOKUP('Données projet'!$B$9,Paramètres!$A$1:$I$89,5,0)</f>
        <v>2.2760104911867532E-13</v>
      </c>
      <c r="P127" s="14">
        <f t="shared" si="87"/>
        <v>3.1070714519279848E-12</v>
      </c>
      <c r="Q127" s="22">
        <f t="shared" si="107"/>
        <v>5.8078879393229322E-12</v>
      </c>
      <c r="R127" s="62">
        <f t="shared" si="55"/>
        <v>293.33333333333911</v>
      </c>
      <c r="S127" s="62">
        <f ca="1">AVERAGE(OFFSET($R$3,0,0,'Données projet'!$E$9+1,1))-AVERAGE(OFFSET($H$3,0,0,'Données projet'!$E$9+1,1))</f>
        <v>183.98573418698061</v>
      </c>
      <c r="T127" s="62">
        <f t="shared" si="88"/>
        <v>158.42298722045609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294.57089926309249</v>
      </c>
      <c r="AO127" s="62">
        <f t="shared" si="90"/>
        <v>221.0956883062172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3.2</v>
      </c>
      <c r="BD127" s="13">
        <f>IF('Données projet'!$A$88&gt;35,BD126+BC127-BL126,IF(A127&lt;'Données projet'!$A$88,$BA$205^A127,IF(A127='Données projet'!$A$88,'Données projet'!$B$88,BD126+BC127-BL126)))</f>
        <v>280.79999999999944</v>
      </c>
      <c r="BE127" s="14">
        <f>BD127*VLOOKUP('Données projet'!$B$11,Paramètres!$A$1:$I$89,3,0)*VLOOKUP('Données projet'!$B$11,Paramètres!$A$1:$I$89,5,0)</f>
        <v>254.06783999999948</v>
      </c>
      <c r="BF127" s="14">
        <f t="shared" si="91"/>
        <v>61.456187622750612</v>
      </c>
      <c r="BG127" s="22">
        <f t="shared" si="61"/>
        <v>549.53768144295634</v>
      </c>
      <c r="BH127" s="62">
        <f t="shared" si="62"/>
        <v>842.87101477628971</v>
      </c>
      <c r="BI127" s="62">
        <f ca="1">AVERAGE(OFFSET($BH$3,0,0,'Données projet'!$E$11+1,1))-AVERAGE(OFFSET($H$3,0,0,'Données projet'!$E$11+1,1))</f>
        <v>312.29553270286209</v>
      </c>
      <c r="BJ127" s="62">
        <f t="shared" si="92"/>
        <v>175.8423124483154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3.4106051316484809E-13</v>
      </c>
      <c r="BZ127" s="14">
        <f>BY127*VLOOKUP('Données projet'!$B$12,Paramètres!$A$1:$I$89,3,0)*VLOOKUP('Données projet'!$B$12,Paramètres!$A$1:$I$89,5,0)</f>
        <v>2.5006556825246659E-13</v>
      </c>
      <c r="CA127" s="14">
        <f t="shared" si="93"/>
        <v>3.3765445850268018E-12</v>
      </c>
      <c r="CB127" s="22">
        <f t="shared" si="64"/>
        <v>6.3163460169613921E-12</v>
      </c>
      <c r="CC127" s="62">
        <f t="shared" si="65"/>
        <v>293.33333333333962</v>
      </c>
      <c r="CD127" s="62">
        <f ca="1">AVERAGE(OFFSET($CC$3,0,0,'Données projet'!$E$12+1,1))-AVERAGE(OFFSET($H$3,0,0,'Données projet'!$E$12+1,1))</f>
        <v>217.14170654868826</v>
      </c>
      <c r="CE127" s="62">
        <f t="shared" si="94"/>
        <v>202.59844364241644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61.749999999999979</v>
      </c>
      <c r="D128" s="12">
        <f t="shared" si="86"/>
        <v>17.609980879967505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612.60336117869633</v>
      </c>
      <c r="H128" s="70">
        <f t="shared" si="56"/>
        <v>431.5519666992767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3.979039320256561E-13</v>
      </c>
      <c r="O128" s="14">
        <f>N128*VLOOKUP('Données projet'!$B$9,Paramètres!$A$1:$I$89,3,0)*VLOOKUP('Données projet'!$B$9,Paramètres!$A$1:$I$89,5,0)</f>
        <v>2.2760104911867532E-13</v>
      </c>
      <c r="P128" s="14">
        <f t="shared" si="87"/>
        <v>3.1070714519279848E-12</v>
      </c>
      <c r="Q128" s="22">
        <f t="shared" si="107"/>
        <v>5.8078879393229322E-12</v>
      </c>
      <c r="R128" s="62">
        <f t="shared" si="55"/>
        <v>293.33333333333911</v>
      </c>
      <c r="S128" s="62">
        <f ca="1">AVERAGE(OFFSET($R$3,0,0,'Données projet'!$E$9+1,1))-AVERAGE(OFFSET($H$3,0,0,'Données projet'!$E$9+1,1))</f>
        <v>183.98573418698061</v>
      </c>
      <c r="T128" s="62">
        <f t="shared" si="88"/>
        <v>158.42298722045609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294.57089926309249</v>
      </c>
      <c r="AO128" s="62">
        <f t="shared" si="90"/>
        <v>221.0956883062172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3.2</v>
      </c>
      <c r="BD128" s="13">
        <f>IF('Données projet'!$A$88&gt;35,BD127+BC128-BL127,IF(A128&lt;'Données projet'!$A$88,$BA$205^A128,IF(A128='Données projet'!$A$88,'Données projet'!$B$88,BD127+BC128-BL127)))</f>
        <v>283.99999999999943</v>
      </c>
      <c r="BE128" s="14">
        <f>BD128*VLOOKUP('Données projet'!$B$11,Paramètres!$A$1:$I$89,3,0)*VLOOKUP('Données projet'!$B$11,Paramètres!$A$1:$I$89,5,0)</f>
        <v>256.96319999999946</v>
      </c>
      <c r="BF128" s="14">
        <f t="shared" si="91"/>
        <v>62.07461295683791</v>
      </c>
      <c r="BG128" s="22">
        <f t="shared" si="61"/>
        <v>555.65752423315837</v>
      </c>
      <c r="BH128" s="62">
        <f t="shared" si="62"/>
        <v>848.99085756649174</v>
      </c>
      <c r="BI128" s="62">
        <f ca="1">AVERAGE(OFFSET($BH$3,0,0,'Données projet'!$E$11+1,1))-AVERAGE(OFFSET($H$3,0,0,'Données projet'!$E$11+1,1))</f>
        <v>312.29553270286209</v>
      </c>
      <c r="BJ128" s="62">
        <f t="shared" si="92"/>
        <v>175.8423124483154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3.4106051316484809E-13</v>
      </c>
      <c r="BZ128" s="14">
        <f>BY128*VLOOKUP('Données projet'!$B$12,Paramètres!$A$1:$I$89,3,0)*VLOOKUP('Données projet'!$B$12,Paramètres!$A$1:$I$89,5,0)</f>
        <v>2.5006556825246659E-13</v>
      </c>
      <c r="CA128" s="14">
        <f t="shared" si="93"/>
        <v>3.3765445850268018E-12</v>
      </c>
      <c r="CB128" s="22">
        <f t="shared" si="64"/>
        <v>6.3163460169613921E-12</v>
      </c>
      <c r="CC128" s="62">
        <f t="shared" si="65"/>
        <v>293.33333333333962</v>
      </c>
      <c r="CD128" s="62">
        <f ca="1">AVERAGE(OFFSET($CC$3,0,0,'Données projet'!$E$12+1,1))-AVERAGE(OFFSET($H$3,0,0,'Données projet'!$E$12+1,1))</f>
        <v>217.14170654868826</v>
      </c>
      <c r="CE128" s="62">
        <f t="shared" si="94"/>
        <v>202.59844364241644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62.243999999999978</v>
      </c>
      <c r="D129" s="12">
        <f t="shared" si="86"/>
        <v>17.734404526076432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617.37715774515129</v>
      </c>
      <c r="H129" s="70">
        <f t="shared" si="56"/>
        <v>432.62905454958309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3.979039320256561E-13</v>
      </c>
      <c r="O129" s="14">
        <f>N129*VLOOKUP('Données projet'!$B$9,Paramètres!$A$1:$I$89,3,0)*VLOOKUP('Données projet'!$B$9,Paramètres!$A$1:$I$89,5,0)</f>
        <v>2.2760104911867532E-13</v>
      </c>
      <c r="P129" s="14">
        <f t="shared" si="87"/>
        <v>3.1070714519279848E-12</v>
      </c>
      <c r="Q129" s="22">
        <f t="shared" si="107"/>
        <v>5.8078879393229322E-12</v>
      </c>
      <c r="R129" s="62">
        <f t="shared" si="55"/>
        <v>293.33333333333911</v>
      </c>
      <c r="S129" s="62">
        <f ca="1">AVERAGE(OFFSET($R$3,0,0,'Données projet'!$E$9+1,1))-AVERAGE(OFFSET($H$3,0,0,'Données projet'!$E$9+1,1))</f>
        <v>183.98573418698061</v>
      </c>
      <c r="T129" s="62">
        <f t="shared" si="88"/>
        <v>158.42298722045609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294.57089926309249</v>
      </c>
      <c r="AO129" s="62">
        <f t="shared" si="90"/>
        <v>221.0956883062172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3.2</v>
      </c>
      <c r="BD129" s="13">
        <f>IF('Données projet'!$A$88&gt;35,BD128+BC129-BL128,IF(A129&lt;'Données projet'!$A$88,$BA$205^A129,IF(A129='Données projet'!$A$88,'Données projet'!$B$88,BD128+BC129-BL128)))</f>
        <v>287.19999999999942</v>
      </c>
      <c r="BE129" s="14">
        <f>BD129*VLOOKUP('Données projet'!$B$11,Paramètres!$A$1:$I$89,3,0)*VLOOKUP('Données projet'!$B$11,Paramètres!$A$1:$I$89,5,0)</f>
        <v>259.85855999999944</v>
      </c>
      <c r="BF129" s="14">
        <f t="shared" si="91"/>
        <v>62.692227709138365</v>
      </c>
      <c r="BG129" s="22">
        <f t="shared" si="61"/>
        <v>561.77595526008167</v>
      </c>
      <c r="BH129" s="62">
        <f t="shared" si="62"/>
        <v>855.10928859341493</v>
      </c>
      <c r="BI129" s="62">
        <f ca="1">AVERAGE(OFFSET($BH$3,0,0,'Données projet'!$E$11+1,1))-AVERAGE(OFFSET($H$3,0,0,'Données projet'!$E$11+1,1))</f>
        <v>312.29553270286209</v>
      </c>
      <c r="BJ129" s="62">
        <f t="shared" si="92"/>
        <v>175.8423124483154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3.4106051316484809E-13</v>
      </c>
      <c r="BZ129" s="14">
        <f>BY129*VLOOKUP('Données projet'!$B$12,Paramètres!$A$1:$I$89,3,0)*VLOOKUP('Données projet'!$B$12,Paramètres!$A$1:$I$89,5,0)</f>
        <v>2.5006556825246659E-13</v>
      </c>
      <c r="CA129" s="14">
        <f t="shared" si="93"/>
        <v>3.3765445850268018E-12</v>
      </c>
      <c r="CB129" s="22">
        <f t="shared" si="64"/>
        <v>6.3163460169613921E-12</v>
      </c>
      <c r="CC129" s="62">
        <f t="shared" si="65"/>
        <v>293.33333333333962</v>
      </c>
      <c r="CD129" s="62">
        <f ca="1">AVERAGE(OFFSET($CC$3,0,0,'Données projet'!$E$12+1,1))-AVERAGE(OFFSET($H$3,0,0,'Données projet'!$E$12+1,1))</f>
        <v>217.14170654868826</v>
      </c>
      <c r="CE129" s="62">
        <f t="shared" si="94"/>
        <v>202.59844364241644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62.737999999999978</v>
      </c>
      <c r="D130" s="12">
        <f t="shared" si="86"/>
        <v>17.858713280237058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622.15006742639116</v>
      </c>
      <c r="H130" s="70">
        <f t="shared" si="56"/>
        <v>433.70594229641279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3.979039320256561E-13</v>
      </c>
      <c r="O130" s="14">
        <f>N130*VLOOKUP('Données projet'!$B$9,Paramètres!$A$1:$I$89,3,0)*VLOOKUP('Données projet'!$B$9,Paramètres!$A$1:$I$89,5,0)</f>
        <v>2.2760104911867532E-13</v>
      </c>
      <c r="P130" s="14">
        <f t="shared" si="87"/>
        <v>3.1070714519279848E-12</v>
      </c>
      <c r="Q130" s="22">
        <f t="shared" si="107"/>
        <v>5.8078879393229322E-12</v>
      </c>
      <c r="R130" s="62">
        <f t="shared" si="55"/>
        <v>293.33333333333911</v>
      </c>
      <c r="S130" s="62">
        <f ca="1">AVERAGE(OFFSET($R$3,0,0,'Données projet'!$E$9+1,1))-AVERAGE(OFFSET($H$3,0,0,'Données projet'!$E$9+1,1))</f>
        <v>183.98573418698061</v>
      </c>
      <c r="T130" s="62">
        <f t="shared" si="88"/>
        <v>158.42298722045609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294.57089926309249</v>
      </c>
      <c r="AO130" s="62">
        <f t="shared" si="90"/>
        <v>221.0956883062172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3.2</v>
      </c>
      <c r="BD130" s="13">
        <f>IF('Données projet'!$A$88&gt;35,BD129+BC130-BL129,IF(A130&lt;'Données projet'!$A$88,$BA$205^A130,IF(A130='Données projet'!$A$88,'Données projet'!$B$88,BD129+BC130-BL129)))</f>
        <v>290.39999999999941</v>
      </c>
      <c r="BE130" s="14">
        <f>BD130*VLOOKUP('Données projet'!$B$11,Paramètres!$A$1:$I$89,3,0)*VLOOKUP('Données projet'!$B$11,Paramètres!$A$1:$I$89,5,0)</f>
        <v>262.75391999999948</v>
      </c>
      <c r="BF130" s="14">
        <f t="shared" si="91"/>
        <v>63.309041956360211</v>
      </c>
      <c r="BG130" s="22">
        <f t="shared" si="61"/>
        <v>567.89299207399313</v>
      </c>
      <c r="BH130" s="62">
        <f t="shared" si="62"/>
        <v>861.22632540732639</v>
      </c>
      <c r="BI130" s="62">
        <f ca="1">AVERAGE(OFFSET($BH$3,0,0,'Données projet'!$E$11+1,1))-AVERAGE(OFFSET($H$3,0,0,'Données projet'!$E$11+1,1))</f>
        <v>312.29553270286209</v>
      </c>
      <c r="BJ130" s="62">
        <f t="shared" si="92"/>
        <v>175.8423124483154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3.4106051316484809E-13</v>
      </c>
      <c r="BZ130" s="14">
        <f>BY130*VLOOKUP('Données projet'!$B$12,Paramètres!$A$1:$I$89,3,0)*VLOOKUP('Données projet'!$B$12,Paramètres!$A$1:$I$89,5,0)</f>
        <v>2.5006556825246659E-13</v>
      </c>
      <c r="CA130" s="14">
        <f t="shared" si="93"/>
        <v>3.3765445850268018E-12</v>
      </c>
      <c r="CB130" s="22">
        <f t="shared" si="64"/>
        <v>6.3163460169613921E-12</v>
      </c>
      <c r="CC130" s="62">
        <f t="shared" si="65"/>
        <v>293.33333333333962</v>
      </c>
      <c r="CD130" s="62">
        <f ca="1">AVERAGE(OFFSET($CC$3,0,0,'Données projet'!$E$12+1,1))-AVERAGE(OFFSET($H$3,0,0,'Données projet'!$E$12+1,1))</f>
        <v>217.14170654868826</v>
      </c>
      <c r="CE130" s="62">
        <f t="shared" si="94"/>
        <v>202.59844364241644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63.231999999999978</v>
      </c>
      <c r="D131" s="12">
        <f t="shared" si="86"/>
        <v>17.982908151971163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626.92209801521585</v>
      </c>
      <c r="H131" s="70">
        <f t="shared" si="56"/>
        <v>434.78263169801642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3.979039320256561E-13</v>
      </c>
      <c r="O131" s="14">
        <f>N131*VLOOKUP('Données projet'!$B$9,Paramètres!$A$1:$I$89,3,0)*VLOOKUP('Données projet'!$B$9,Paramètres!$A$1:$I$89,5,0)</f>
        <v>2.2760104911867532E-13</v>
      </c>
      <c r="P131" s="14">
        <f t="shared" si="87"/>
        <v>3.1070714519279848E-12</v>
      </c>
      <c r="Q131" s="22">
        <f t="shared" ref="Q131:Q153" si="108">(O131+P131)*0.475*44/12</f>
        <v>5.8078879393229322E-12</v>
      </c>
      <c r="R131" s="62">
        <f t="shared" ref="R131:R194" si="109">Q131+(I131+J131)*44/12</f>
        <v>293.33333333333911</v>
      </c>
      <c r="S131" s="62">
        <f ca="1">AVERAGE(OFFSET($R$3,0,0,'Données projet'!$E$9+1,1))-AVERAGE(OFFSET($H$3,0,0,'Données projet'!$E$9+1,1))</f>
        <v>183.98573418698061</v>
      </c>
      <c r="T131" s="62">
        <f t="shared" si="88"/>
        <v>158.42298722045609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294.57089926309249</v>
      </c>
      <c r="AO131" s="62">
        <f t="shared" si="90"/>
        <v>221.0956883062172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3.2</v>
      </c>
      <c r="BD131" s="13">
        <f>IF('Données projet'!$A$88&gt;35,BD130+BC131-BL130,IF(A131&lt;'Données projet'!$A$88,$BA$205^A131,IF(A131='Données projet'!$A$88,'Données projet'!$B$88,BD130+BC131-BL130)))</f>
        <v>293.5999999999994</v>
      </c>
      <c r="BE131" s="14">
        <f>BD131*VLOOKUP('Données projet'!$B$11,Paramètres!$A$1:$I$89,3,0)*VLOOKUP('Données projet'!$B$11,Paramètres!$A$1:$I$89,5,0)</f>
        <v>265.64927999999946</v>
      </c>
      <c r="BF131" s="14">
        <f t="shared" si="91"/>
        <v>63.925065540346907</v>
      </c>
      <c r="BG131" s="22">
        <f t="shared" si="61"/>
        <v>574.00865181610322</v>
      </c>
      <c r="BH131" s="62">
        <f t="shared" si="62"/>
        <v>867.3419851494366</v>
      </c>
      <c r="BI131" s="62">
        <f ca="1">AVERAGE(OFFSET($BH$3,0,0,'Données projet'!$E$11+1,1))-AVERAGE(OFFSET($H$3,0,0,'Données projet'!$E$11+1,1))</f>
        <v>312.29553270286209</v>
      </c>
      <c r="BJ131" s="62">
        <f t="shared" si="92"/>
        <v>175.8423124483154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3.4106051316484809E-13</v>
      </c>
      <c r="BZ131" s="14">
        <f>BY131*VLOOKUP('Données projet'!$B$12,Paramètres!$A$1:$I$89,3,0)*VLOOKUP('Données projet'!$B$12,Paramètres!$A$1:$I$89,5,0)</f>
        <v>2.5006556825246659E-13</v>
      </c>
      <c r="CA131" s="14">
        <f t="shared" si="93"/>
        <v>3.3765445850268018E-12</v>
      </c>
      <c r="CB131" s="22">
        <f t="shared" si="64"/>
        <v>6.3163460169613921E-12</v>
      </c>
      <c r="CC131" s="62">
        <f t="shared" si="65"/>
        <v>293.33333333333962</v>
      </c>
      <c r="CD131" s="62">
        <f ca="1">AVERAGE(OFFSET($CC$3,0,0,'Données projet'!$E$12+1,1))-AVERAGE(OFFSET($H$3,0,0,'Données projet'!$E$12+1,1))</f>
        <v>217.14170654868826</v>
      </c>
      <c r="CE131" s="62">
        <f t="shared" si="94"/>
        <v>202.59844364241644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63.725999999999978</v>
      </c>
      <c r="D132" s="12">
        <f t="shared" si="86"/>
        <v>18.106990134115833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631.69325717563095</v>
      </c>
      <c r="H132" s="70">
        <f t="shared" ref="H132:H195" si="110">(B132+E132+F132)*44/12+(C132+D132)*0.475*44/12</f>
        <v>435.85912448358499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3.979039320256561E-13</v>
      </c>
      <c r="O132" s="14">
        <f>N132*VLOOKUP('Données projet'!$B$9,Paramètres!$A$1:$I$89,3,0)*VLOOKUP('Données projet'!$B$9,Paramètres!$A$1:$I$89,5,0)</f>
        <v>2.2760104911867532E-13</v>
      </c>
      <c r="P132" s="14">
        <f t="shared" si="87"/>
        <v>3.1070714519279848E-12</v>
      </c>
      <c r="Q132" s="22">
        <f t="shared" si="108"/>
        <v>5.8078879393229322E-12</v>
      </c>
      <c r="R132" s="62">
        <f t="shared" si="109"/>
        <v>293.33333333333911</v>
      </c>
      <c r="S132" s="62">
        <f ca="1">AVERAGE(OFFSET($R$3,0,0,'Données projet'!$E$9+1,1))-AVERAGE(OFFSET($H$3,0,0,'Données projet'!$E$9+1,1))</f>
        <v>183.98573418698061</v>
      </c>
      <c r="T132" s="62">
        <f t="shared" si="88"/>
        <v>158.42298722045609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294.57089926309249</v>
      </c>
      <c r="AO132" s="62">
        <f t="shared" si="90"/>
        <v>221.0956883062172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3.2</v>
      </c>
      <c r="BD132" s="13">
        <f>IF('Données projet'!$A$88&gt;35,BD131+BC132-BL131,IF(A132&lt;'Données projet'!$A$88,$BA$205^A132,IF(A132='Données projet'!$A$88,'Données projet'!$B$88,BD131+BC132-BL131)))</f>
        <v>296.79999999999939</v>
      </c>
      <c r="BE132" s="14">
        <f>BD132*VLOOKUP('Données projet'!$B$11,Paramètres!$A$1:$I$89,3,0)*VLOOKUP('Données projet'!$B$11,Paramètres!$A$1:$I$89,5,0)</f>
        <v>268.54463999999945</v>
      </c>
      <c r="BF132" s="14">
        <f t="shared" si="91"/>
        <v>64.540308076050593</v>
      </c>
      <c r="BG132" s="22">
        <f t="shared" ref="BG132:BG153" si="115">(BE132+BF132)*0.475*44/12</f>
        <v>580.12295123245383</v>
      </c>
      <c r="BH132" s="62">
        <f t="shared" ref="BH132:BH195" si="116">BG132+(AY132+AZ132)*44/12</f>
        <v>873.4562845657872</v>
      </c>
      <c r="BI132" s="62">
        <f ca="1">AVERAGE(OFFSET($BH$3,0,0,'Données projet'!$E$11+1,1))-AVERAGE(OFFSET($H$3,0,0,'Données projet'!$E$11+1,1))</f>
        <v>312.29553270286209</v>
      </c>
      <c r="BJ132" s="62">
        <f t="shared" si="92"/>
        <v>175.8423124483154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3.4106051316484809E-13</v>
      </c>
      <c r="BZ132" s="14">
        <f>BY132*VLOOKUP('Données projet'!$B$12,Paramètres!$A$1:$I$89,3,0)*VLOOKUP('Données projet'!$B$12,Paramètres!$A$1:$I$89,5,0)</f>
        <v>2.5006556825246659E-13</v>
      </c>
      <c r="CA132" s="14">
        <f t="shared" si="93"/>
        <v>3.3765445850268018E-12</v>
      </c>
      <c r="CB132" s="22">
        <f t="shared" ref="CB132:CB153" si="118">(BZ132+CA132)*0.475*44/12</f>
        <v>6.3163460169613921E-12</v>
      </c>
      <c r="CC132" s="62">
        <f t="shared" ref="CC132:CC195" si="119">CB132+(BT132+BU132)*44/12</f>
        <v>293.33333333333962</v>
      </c>
      <c r="CD132" s="62">
        <f ca="1">AVERAGE(OFFSET($CC$3,0,0,'Données projet'!$E$12+1,1))-AVERAGE(OFFSET($H$3,0,0,'Données projet'!$E$12+1,1))</f>
        <v>217.14170654868826</v>
      </c>
      <c r="CE132" s="62">
        <f t="shared" si="94"/>
        <v>202.59844364241644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64.219999999999985</v>
      </c>
      <c r="D133" s="12">
        <f t="shared" ref="D133:D196" si="140">IFERROR(EXP(-1.0587+0.8836*LN(C133)+0.284),0)</f>
        <v>18.230960203226296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636.46355244595725</v>
      </c>
      <c r="H133" s="70">
        <f t="shared" si="110"/>
        <v>436.93542235395239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3.979039320256561E-13</v>
      </c>
      <c r="O133" s="14">
        <f>N133*VLOOKUP('Données projet'!$B$9,Paramètres!$A$1:$I$89,3,0)*VLOOKUP('Données projet'!$B$9,Paramètres!$A$1:$I$89,5,0)</f>
        <v>2.2760104911867532E-13</v>
      </c>
      <c r="P133" s="14">
        <f t="shared" ref="P133:P196" si="141">EXP(-1.0587+0.8836*LN(O133)+0.284)</f>
        <v>3.1070714519279848E-12</v>
      </c>
      <c r="Q133" s="22">
        <f t="shared" si="108"/>
        <v>5.8078879393229322E-12</v>
      </c>
      <c r="R133" s="62">
        <f t="shared" si="109"/>
        <v>293.33333333333911</v>
      </c>
      <c r="S133" s="62">
        <f ca="1">AVERAGE(OFFSET($R$3,0,0,'Données projet'!$E$9+1,1))-AVERAGE(OFFSET($H$3,0,0,'Données projet'!$E$9+1,1))</f>
        <v>183.98573418698061</v>
      </c>
      <c r="T133" s="62">
        <f t="shared" ref="T133:T196" si="142">$T$3</f>
        <v>158.42298722045609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294.57089926309249</v>
      </c>
      <c r="AO133" s="62">
        <f t="shared" ref="AO133:AO196" si="144">$AO$3</f>
        <v>221.0956883062172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>
        <f>VLOOKUP(A133,'Données projet'!$A$87:$I$107,2,0)</f>
        <v>300</v>
      </c>
      <c r="BB133" s="13">
        <f>VLOOKUP(A133,'Données projet'!$A$87:$I$107,9,0)</f>
        <v>3.2</v>
      </c>
      <c r="BC133" s="13">
        <f t="array" ref="BC133">INDEX(BB:BB,MIN(IF(ISNUMBER(BB133:BB329),ROW(BB133:BB329),"")))</f>
        <v>3.2</v>
      </c>
      <c r="BD133" s="13">
        <f>IF('Données projet'!$A$88&gt;35,BD132+BC133-BL132,IF(A133&lt;'Données projet'!$A$88,$BA$205^A133,IF(A133='Données projet'!$A$88,'Données projet'!$B$88,BD132+BC133-BL132)))</f>
        <v>299.99999999999937</v>
      </c>
      <c r="BE133" s="14">
        <f>BD133*VLOOKUP('Données projet'!$B$11,Paramètres!$A$1:$I$89,3,0)*VLOOKUP('Données projet'!$B$11,Paramètres!$A$1:$I$89,5,0)</f>
        <v>271.43999999999943</v>
      </c>
      <c r="BF133" s="14">
        <f t="shared" ref="BF133:BF153" si="145">EXP(-1.0587+0.8836*LN(BE133)+0.284)</f>
        <v>65.154778959151116</v>
      </c>
      <c r="BG133" s="22">
        <f t="shared" si="115"/>
        <v>586.23590668718714</v>
      </c>
      <c r="BH133" s="62">
        <f t="shared" si="116"/>
        <v>879.56924002052051</v>
      </c>
      <c r="BI133" s="62">
        <f ca="1">AVERAGE(OFFSET($BH$3,0,0,'Données projet'!$E$11+1,1))-AVERAGE(OFFSET($H$3,0,0,'Données projet'!$E$11+1,1))</f>
        <v>312.29553270286209</v>
      </c>
      <c r="BJ133" s="62">
        <f t="shared" ref="BJ133:BJ196" si="146">$BJ$3</f>
        <v>175.8423124483154</v>
      </c>
      <c r="BK133" s="16">
        <f>IF(ISNA(VLOOKUP(A133,'Données projet'!$A$87:$I$107,3,0)),0,VLOOKUP(A133,'Données projet'!$A$87:$I$107,3,0))</f>
        <v>11</v>
      </c>
      <c r="BL133" s="16">
        <f>IF(ISNA(VLOOKUP(A133,'Données projet'!$A$87:$I$107,4,0)),0,VLOOKUP(A133,'Données projet'!$A$87:$I$107,4,0))</f>
        <v>31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3.4106051316484809E-13</v>
      </c>
      <c r="BZ133" s="14">
        <f>BY133*VLOOKUP('Données projet'!$B$12,Paramètres!$A$1:$I$89,3,0)*VLOOKUP('Données projet'!$B$12,Paramètres!$A$1:$I$89,5,0)</f>
        <v>2.5006556825246659E-13</v>
      </c>
      <c r="CA133" s="14">
        <f t="shared" ref="CA133:CA153" si="147">EXP(-1.0587+0.8836*LN(BZ133)+0.284)</f>
        <v>3.3765445850268018E-12</v>
      </c>
      <c r="CB133" s="22">
        <f t="shared" si="118"/>
        <v>6.3163460169613921E-12</v>
      </c>
      <c r="CC133" s="62">
        <f t="shared" si="119"/>
        <v>293.33333333333962</v>
      </c>
      <c r="CD133" s="62">
        <f ca="1">AVERAGE(OFFSET($CC$3,0,0,'Données projet'!$E$12+1,1))-AVERAGE(OFFSET($H$3,0,0,'Données projet'!$E$12+1,1))</f>
        <v>217.14170654868826</v>
      </c>
      <c r="CE133" s="62">
        <f t="shared" ref="CE133:CE196" si="148">$CE$3</f>
        <v>202.59844364241644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64.713999999999984</v>
      </c>
      <c r="D134" s="12">
        <f t="shared" si="140"/>
        <v>18.354819319966147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641.23299124184393</v>
      </c>
      <c r="H134" s="70">
        <f t="shared" si="110"/>
        <v>438.01152698227429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3.979039320256561E-13</v>
      </c>
      <c r="O134" s="14">
        <f>N134*VLOOKUP('Données projet'!$B$9,Paramètres!$A$1:$I$89,3,0)*VLOOKUP('Données projet'!$B$9,Paramètres!$A$1:$I$89,5,0)</f>
        <v>2.2760104911867532E-13</v>
      </c>
      <c r="P134" s="14">
        <f t="shared" si="141"/>
        <v>3.1070714519279848E-12</v>
      </c>
      <c r="Q134" s="22">
        <f t="shared" si="108"/>
        <v>5.8078879393229322E-12</v>
      </c>
      <c r="R134" s="62">
        <f t="shared" si="109"/>
        <v>293.33333333333911</v>
      </c>
      <c r="S134" s="62">
        <f ca="1">AVERAGE(OFFSET($R$3,0,0,'Données projet'!$E$9+1,1))-AVERAGE(OFFSET($H$3,0,0,'Données projet'!$E$9+1,1))</f>
        <v>183.98573418698061</v>
      </c>
      <c r="T134" s="62">
        <f t="shared" si="142"/>
        <v>158.42298722045609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294.57089926309249</v>
      </c>
      <c r="AO134" s="62">
        <f t="shared" si="144"/>
        <v>221.0956883062172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2.7</v>
      </c>
      <c r="BD134" s="13">
        <f>IF('Données projet'!$A$88&gt;35,BD133+BC134-BL133,IF(A134&lt;'Données projet'!$A$88,$BA$205^A134,IF(A134='Données projet'!$A$88,'Données projet'!$B$88,BD133+BC134-BL133)))</f>
        <v>271.69999999999936</v>
      </c>
      <c r="BE134" s="14">
        <f>BD134*VLOOKUP('Données projet'!$B$11,Paramètres!$A$1:$I$89,3,0)*VLOOKUP('Données projet'!$B$11,Paramètres!$A$1:$I$89,5,0)</f>
        <v>245.8341599999994</v>
      </c>
      <c r="BF134" s="14">
        <f t="shared" si="145"/>
        <v>59.693018383856675</v>
      </c>
      <c r="BG134" s="22">
        <f t="shared" si="115"/>
        <v>532.12650235188266</v>
      </c>
      <c r="BH134" s="62">
        <f t="shared" si="116"/>
        <v>825.45983568521592</v>
      </c>
      <c r="BI134" s="62">
        <f ca="1">AVERAGE(OFFSET($BH$3,0,0,'Données projet'!$E$11+1,1))-AVERAGE(OFFSET($H$3,0,0,'Données projet'!$E$11+1,1))</f>
        <v>312.29553270286209</v>
      </c>
      <c r="BJ134" s="62">
        <f t="shared" si="146"/>
        <v>175.8423124483154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3.4106051316484809E-13</v>
      </c>
      <c r="BZ134" s="14">
        <f>BY134*VLOOKUP('Données projet'!$B$12,Paramètres!$A$1:$I$89,3,0)*VLOOKUP('Données projet'!$B$12,Paramètres!$A$1:$I$89,5,0)</f>
        <v>2.5006556825246659E-13</v>
      </c>
      <c r="CA134" s="14">
        <f t="shared" si="147"/>
        <v>3.3765445850268018E-12</v>
      </c>
      <c r="CB134" s="22">
        <f t="shared" si="118"/>
        <v>6.3163460169613921E-12</v>
      </c>
      <c r="CC134" s="62">
        <f t="shared" si="119"/>
        <v>293.33333333333962</v>
      </c>
      <c r="CD134" s="62">
        <f ca="1">AVERAGE(OFFSET($CC$3,0,0,'Données projet'!$E$12+1,1))-AVERAGE(OFFSET($H$3,0,0,'Données projet'!$E$12+1,1))</f>
        <v>217.14170654868826</v>
      </c>
      <c r="CE134" s="62">
        <f t="shared" si="148"/>
        <v>202.59844364241644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65.207999999999984</v>
      </c>
      <c r="D135" s="12">
        <f t="shared" si="140"/>
        <v>18.47856842948519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646.00158085918383</v>
      </c>
      <c r="H135" s="70">
        <f t="shared" si="110"/>
        <v>439.08744001468665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3.979039320256561E-13</v>
      </c>
      <c r="O135" s="14">
        <f>N135*VLOOKUP('Données projet'!$B$9,Paramètres!$A$1:$I$89,3,0)*VLOOKUP('Données projet'!$B$9,Paramètres!$A$1:$I$89,5,0)</f>
        <v>2.2760104911867532E-13</v>
      </c>
      <c r="P135" s="14">
        <f t="shared" si="141"/>
        <v>3.1070714519279848E-12</v>
      </c>
      <c r="Q135" s="22">
        <f t="shared" si="108"/>
        <v>5.8078879393229322E-12</v>
      </c>
      <c r="R135" s="62">
        <f t="shared" si="109"/>
        <v>293.33333333333911</v>
      </c>
      <c r="S135" s="62">
        <f ca="1">AVERAGE(OFFSET($R$3,0,0,'Données projet'!$E$9+1,1))-AVERAGE(OFFSET($H$3,0,0,'Données projet'!$E$9+1,1))</f>
        <v>183.98573418698061</v>
      </c>
      <c r="T135" s="62">
        <f t="shared" si="142"/>
        <v>158.42298722045609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294.57089926309249</v>
      </c>
      <c r="AO135" s="62">
        <f t="shared" si="144"/>
        <v>221.0956883062172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2.7</v>
      </c>
      <c r="BD135" s="13">
        <f>IF('Données projet'!$A$88&gt;35,BD134+BC135-BL134,IF(A135&lt;'Données projet'!$A$88,$BA$205^A135,IF(A135='Données projet'!$A$88,'Données projet'!$B$88,BD134+BC135-BL134)))</f>
        <v>274.39999999999935</v>
      </c>
      <c r="BE135" s="14">
        <f>BD135*VLOOKUP('Données projet'!$B$11,Paramètres!$A$1:$I$89,3,0)*VLOOKUP('Données projet'!$B$11,Paramètres!$A$1:$I$89,5,0)</f>
        <v>248.2771199999994</v>
      </c>
      <c r="BF135" s="14">
        <f t="shared" si="145"/>
        <v>60.216863677580257</v>
      </c>
      <c r="BG135" s="22">
        <f t="shared" si="115"/>
        <v>537.29368823845118</v>
      </c>
      <c r="BH135" s="62">
        <f t="shared" si="116"/>
        <v>830.62702157178455</v>
      </c>
      <c r="BI135" s="62">
        <f ca="1">AVERAGE(OFFSET($BH$3,0,0,'Données projet'!$E$11+1,1))-AVERAGE(OFFSET($H$3,0,0,'Données projet'!$E$11+1,1))</f>
        <v>312.29553270286209</v>
      </c>
      <c r="BJ135" s="62">
        <f t="shared" si="146"/>
        <v>175.8423124483154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3.4106051316484809E-13</v>
      </c>
      <c r="BZ135" s="14">
        <f>BY135*VLOOKUP('Données projet'!$B$12,Paramètres!$A$1:$I$89,3,0)*VLOOKUP('Données projet'!$B$12,Paramètres!$A$1:$I$89,5,0)</f>
        <v>2.5006556825246659E-13</v>
      </c>
      <c r="CA135" s="14">
        <f t="shared" si="147"/>
        <v>3.3765445850268018E-12</v>
      </c>
      <c r="CB135" s="22">
        <f t="shared" si="118"/>
        <v>6.3163460169613921E-12</v>
      </c>
      <c r="CC135" s="62">
        <f t="shared" si="119"/>
        <v>293.33333333333962</v>
      </c>
      <c r="CD135" s="62">
        <f ca="1">AVERAGE(OFFSET($CC$3,0,0,'Données projet'!$E$12+1,1))-AVERAGE(OFFSET($H$3,0,0,'Données projet'!$E$12+1,1))</f>
        <v>217.14170654868826</v>
      </c>
      <c r="CE135" s="62">
        <f t="shared" si="148"/>
        <v>202.59844364241644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65.701999999999984</v>
      </c>
      <c r="D136" s="12">
        <f t="shared" si="140"/>
        <v>18.60220846178558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650.76932847694115</v>
      </c>
      <c r="H136" s="70">
        <f t="shared" si="110"/>
        <v>440.16316307094314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3.979039320256561E-13</v>
      </c>
      <c r="O136" s="14">
        <f>N136*VLOOKUP('Données projet'!$B$9,Paramètres!$A$1:$I$89,3,0)*VLOOKUP('Données projet'!$B$9,Paramètres!$A$1:$I$89,5,0)</f>
        <v>2.2760104911867532E-13</v>
      </c>
      <c r="P136" s="14">
        <f t="shared" si="141"/>
        <v>3.1070714519279848E-12</v>
      </c>
      <c r="Q136" s="22">
        <f t="shared" si="108"/>
        <v>5.8078879393229322E-12</v>
      </c>
      <c r="R136" s="62">
        <f t="shared" si="109"/>
        <v>293.33333333333911</v>
      </c>
      <c r="S136" s="62">
        <f ca="1">AVERAGE(OFFSET($R$3,0,0,'Données projet'!$E$9+1,1))-AVERAGE(OFFSET($H$3,0,0,'Données projet'!$E$9+1,1))</f>
        <v>183.98573418698061</v>
      </c>
      <c r="T136" s="62">
        <f t="shared" si="142"/>
        <v>158.42298722045609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294.57089926309249</v>
      </c>
      <c r="AO136" s="62">
        <f t="shared" si="144"/>
        <v>221.0956883062172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2.7</v>
      </c>
      <c r="BD136" s="13">
        <f>IF('Données projet'!$A$88&gt;35,BD135+BC136-BL135,IF(A136&lt;'Données projet'!$A$88,$BA$205^A136,IF(A136='Données projet'!$A$88,'Données projet'!$B$88,BD135+BC136-BL135)))</f>
        <v>277.09999999999934</v>
      </c>
      <c r="BE136" s="14">
        <f>BD136*VLOOKUP('Données projet'!$B$11,Paramètres!$A$1:$I$89,3,0)*VLOOKUP('Données projet'!$B$11,Paramètres!$A$1:$I$89,5,0)</f>
        <v>250.72007999999943</v>
      </c>
      <c r="BF136" s="14">
        <f t="shared" si="145"/>
        <v>60.740109326032709</v>
      </c>
      <c r="BG136" s="22">
        <f t="shared" si="115"/>
        <v>542.45982974283925</v>
      </c>
      <c r="BH136" s="62">
        <f t="shared" si="116"/>
        <v>835.7931630761725</v>
      </c>
      <c r="BI136" s="62">
        <f ca="1">AVERAGE(OFFSET($BH$3,0,0,'Données projet'!$E$11+1,1))-AVERAGE(OFFSET($H$3,0,0,'Données projet'!$E$11+1,1))</f>
        <v>312.29553270286209</v>
      </c>
      <c r="BJ136" s="62">
        <f t="shared" si="146"/>
        <v>175.8423124483154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3.4106051316484809E-13</v>
      </c>
      <c r="BZ136" s="14">
        <f>BY136*VLOOKUP('Données projet'!$B$12,Paramètres!$A$1:$I$89,3,0)*VLOOKUP('Données projet'!$B$12,Paramètres!$A$1:$I$89,5,0)</f>
        <v>2.5006556825246659E-13</v>
      </c>
      <c r="CA136" s="14">
        <f t="shared" si="147"/>
        <v>3.3765445850268018E-12</v>
      </c>
      <c r="CB136" s="22">
        <f t="shared" si="118"/>
        <v>6.3163460169613921E-12</v>
      </c>
      <c r="CC136" s="62">
        <f t="shared" si="119"/>
        <v>293.33333333333962</v>
      </c>
      <c r="CD136" s="62">
        <f ca="1">AVERAGE(OFFSET($CC$3,0,0,'Données projet'!$E$12+1,1))-AVERAGE(OFFSET($H$3,0,0,'Données projet'!$E$12+1,1))</f>
        <v>217.14170654868826</v>
      </c>
      <c r="CE136" s="62">
        <f t="shared" si="148"/>
        <v>202.59844364241644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66.195999999999984</v>
      </c>
      <c r="D137" s="12">
        <f t="shared" si="140"/>
        <v>18.725740332076615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655.53624115988953</v>
      </c>
      <c r="H137" s="70">
        <f t="shared" si="110"/>
        <v>441.23869774503339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3.979039320256561E-13</v>
      </c>
      <c r="O137" s="14">
        <f>N137*VLOOKUP('Données projet'!$B$9,Paramètres!$A$1:$I$89,3,0)*VLOOKUP('Données projet'!$B$9,Paramètres!$A$1:$I$89,5,0)</f>
        <v>2.2760104911867532E-13</v>
      </c>
      <c r="P137" s="14">
        <f t="shared" si="141"/>
        <v>3.1070714519279848E-12</v>
      </c>
      <c r="Q137" s="22">
        <f t="shared" si="108"/>
        <v>5.8078879393229322E-12</v>
      </c>
      <c r="R137" s="62">
        <f t="shared" si="109"/>
        <v>293.33333333333911</v>
      </c>
      <c r="S137" s="62">
        <f ca="1">AVERAGE(OFFSET($R$3,0,0,'Données projet'!$E$9+1,1))-AVERAGE(OFFSET($H$3,0,0,'Données projet'!$E$9+1,1))</f>
        <v>183.98573418698061</v>
      </c>
      <c r="T137" s="62">
        <f t="shared" si="142"/>
        <v>158.42298722045609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294.57089926309249</v>
      </c>
      <c r="AO137" s="62">
        <f t="shared" si="144"/>
        <v>221.0956883062172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2.7</v>
      </c>
      <c r="BD137" s="13">
        <f>IF('Données projet'!$A$88&gt;35,BD136+BC137-BL136,IF(A137&lt;'Données projet'!$A$88,$BA$205^A137,IF(A137='Données projet'!$A$88,'Données projet'!$B$88,BD136+BC137-BL136)))</f>
        <v>279.79999999999933</v>
      </c>
      <c r="BE137" s="14">
        <f>BD137*VLOOKUP('Données projet'!$B$11,Paramètres!$A$1:$I$89,3,0)*VLOOKUP('Données projet'!$B$11,Paramètres!$A$1:$I$89,5,0)</f>
        <v>253.16303999999937</v>
      </c>
      <c r="BF137" s="14">
        <f t="shared" si="145"/>
        <v>61.262761848634923</v>
      </c>
      <c r="BG137" s="22">
        <f t="shared" si="115"/>
        <v>547.62493821970475</v>
      </c>
      <c r="BH137" s="62">
        <f t="shared" si="116"/>
        <v>840.958271553038</v>
      </c>
      <c r="BI137" s="62">
        <f ca="1">AVERAGE(OFFSET($BH$3,0,0,'Données projet'!$E$11+1,1))-AVERAGE(OFFSET($H$3,0,0,'Données projet'!$E$11+1,1))</f>
        <v>312.29553270286209</v>
      </c>
      <c r="BJ137" s="62">
        <f t="shared" si="146"/>
        <v>175.8423124483154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3.4106051316484809E-13</v>
      </c>
      <c r="BZ137" s="14">
        <f>BY137*VLOOKUP('Données projet'!$B$12,Paramètres!$A$1:$I$89,3,0)*VLOOKUP('Données projet'!$B$12,Paramètres!$A$1:$I$89,5,0)</f>
        <v>2.5006556825246659E-13</v>
      </c>
      <c r="CA137" s="14">
        <f t="shared" si="147"/>
        <v>3.3765445850268018E-12</v>
      </c>
      <c r="CB137" s="22">
        <f t="shared" si="118"/>
        <v>6.3163460169613921E-12</v>
      </c>
      <c r="CC137" s="62">
        <f t="shared" si="119"/>
        <v>293.33333333333962</v>
      </c>
      <c r="CD137" s="62">
        <f ca="1">AVERAGE(OFFSET($CC$3,0,0,'Données projet'!$E$12+1,1))-AVERAGE(OFFSET($H$3,0,0,'Données projet'!$E$12+1,1))</f>
        <v>217.14170654868826</v>
      </c>
      <c r="CE137" s="62">
        <f t="shared" si="148"/>
        <v>202.59844364241644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66.689999999999984</v>
      </c>
      <c r="D138" s="12">
        <f t="shared" si="140"/>
        <v>18.849164941118623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660.30232586126647</v>
      </c>
      <c r="H138" s="70">
        <f t="shared" si="110"/>
        <v>442.31404560578153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3.979039320256561E-13</v>
      </c>
      <c r="O138" s="14">
        <f>N138*VLOOKUP('Données projet'!$B$9,Paramètres!$A$1:$I$89,3,0)*VLOOKUP('Données projet'!$B$9,Paramètres!$A$1:$I$89,5,0)</f>
        <v>2.2760104911867532E-13</v>
      </c>
      <c r="P138" s="14">
        <f t="shared" si="141"/>
        <v>3.1070714519279848E-12</v>
      </c>
      <c r="Q138" s="22">
        <f t="shared" si="108"/>
        <v>5.8078879393229322E-12</v>
      </c>
      <c r="R138" s="62">
        <f t="shared" si="109"/>
        <v>293.33333333333911</v>
      </c>
      <c r="S138" s="62">
        <f ca="1">AVERAGE(OFFSET($R$3,0,0,'Données projet'!$E$9+1,1))-AVERAGE(OFFSET($H$3,0,0,'Données projet'!$E$9+1,1))</f>
        <v>183.98573418698061</v>
      </c>
      <c r="T138" s="62">
        <f t="shared" si="142"/>
        <v>158.42298722045609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294.57089926309249</v>
      </c>
      <c r="AO138" s="62">
        <f t="shared" si="144"/>
        <v>221.0956883062172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2.7</v>
      </c>
      <c r="BD138" s="13">
        <f>IF('Données projet'!$A$88&gt;35,BD137+BC138-BL137,IF(A138&lt;'Données projet'!$A$88,$BA$205^A138,IF(A138='Données projet'!$A$88,'Données projet'!$B$88,BD137+BC138-BL137)))</f>
        <v>282.49999999999932</v>
      </c>
      <c r="BE138" s="14">
        <f>BD138*VLOOKUP('Données projet'!$B$11,Paramètres!$A$1:$I$89,3,0)*VLOOKUP('Données projet'!$B$11,Paramètres!$A$1:$I$89,5,0)</f>
        <v>255.60599999999937</v>
      </c>
      <c r="BF138" s="14">
        <f t="shared" si="145"/>
        <v>61.784827631732192</v>
      </c>
      <c r="BG138" s="22">
        <f t="shared" si="115"/>
        <v>552.78902479193243</v>
      </c>
      <c r="BH138" s="62">
        <f t="shared" si="116"/>
        <v>846.12235812526569</v>
      </c>
      <c r="BI138" s="62">
        <f ca="1">AVERAGE(OFFSET($BH$3,0,0,'Données projet'!$E$11+1,1))-AVERAGE(OFFSET($H$3,0,0,'Données projet'!$E$11+1,1))</f>
        <v>312.29553270286209</v>
      </c>
      <c r="BJ138" s="62">
        <f t="shared" si="146"/>
        <v>175.8423124483154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3.4106051316484809E-13</v>
      </c>
      <c r="BZ138" s="14">
        <f>BY138*VLOOKUP('Données projet'!$B$12,Paramètres!$A$1:$I$89,3,0)*VLOOKUP('Données projet'!$B$12,Paramètres!$A$1:$I$89,5,0)</f>
        <v>2.5006556825246659E-13</v>
      </c>
      <c r="CA138" s="14">
        <f t="shared" si="147"/>
        <v>3.3765445850268018E-12</v>
      </c>
      <c r="CB138" s="22">
        <f t="shared" si="118"/>
        <v>6.3163460169613921E-12</v>
      </c>
      <c r="CC138" s="62">
        <f t="shared" si="119"/>
        <v>293.33333333333962</v>
      </c>
      <c r="CD138" s="62">
        <f ca="1">AVERAGE(OFFSET($CC$3,0,0,'Données projet'!$E$12+1,1))-AVERAGE(OFFSET($H$3,0,0,'Données projet'!$E$12+1,1))</f>
        <v>217.14170654868826</v>
      </c>
      <c r="CE138" s="62">
        <f t="shared" si="148"/>
        <v>202.59844364241644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67.183999999999983</v>
      </c>
      <c r="D139" s="12">
        <f t="shared" si="140"/>
        <v>18.972483175556398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665.06758942534759</v>
      </c>
      <c r="H139" s="70">
        <f t="shared" si="110"/>
        <v>443.38920819742737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3.979039320256561E-13</v>
      </c>
      <c r="O139" s="14">
        <f>N139*VLOOKUP('Données projet'!$B$9,Paramètres!$A$1:$I$89,3,0)*VLOOKUP('Données projet'!$B$9,Paramètres!$A$1:$I$89,5,0)</f>
        <v>2.2760104911867532E-13</v>
      </c>
      <c r="P139" s="14">
        <f t="shared" si="141"/>
        <v>3.1070714519279848E-12</v>
      </c>
      <c r="Q139" s="22">
        <f t="shared" si="108"/>
        <v>5.8078879393229322E-12</v>
      </c>
      <c r="R139" s="62">
        <f t="shared" si="109"/>
        <v>293.33333333333911</v>
      </c>
      <c r="S139" s="62">
        <f ca="1">AVERAGE(OFFSET($R$3,0,0,'Données projet'!$E$9+1,1))-AVERAGE(OFFSET($H$3,0,0,'Données projet'!$E$9+1,1))</f>
        <v>183.98573418698061</v>
      </c>
      <c r="T139" s="62">
        <f t="shared" si="142"/>
        <v>158.42298722045609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294.57089926309249</v>
      </c>
      <c r="AO139" s="62">
        <f t="shared" si="144"/>
        <v>221.0956883062172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2.7</v>
      </c>
      <c r="BD139" s="13">
        <f>IF('Données projet'!$A$88&gt;35,BD138+BC139-BL138,IF(A139&lt;'Données projet'!$A$88,$BA$205^A139,IF(A139='Données projet'!$A$88,'Données projet'!$B$88,BD138+BC139-BL138)))</f>
        <v>285.19999999999931</v>
      </c>
      <c r="BE139" s="14">
        <f>BD139*VLOOKUP('Données projet'!$B$11,Paramètres!$A$1:$I$89,3,0)*VLOOKUP('Données projet'!$B$11,Paramètres!$A$1:$I$89,5,0)</f>
        <v>258.0489599999994</v>
      </c>
      <c r="BF139" s="14">
        <f t="shared" si="145"/>
        <v>62.306312932555649</v>
      </c>
      <c r="BG139" s="22">
        <f t="shared" si="115"/>
        <v>557.95210035753337</v>
      </c>
      <c r="BH139" s="62">
        <f t="shared" si="116"/>
        <v>851.28543369086674</v>
      </c>
      <c r="BI139" s="62">
        <f ca="1">AVERAGE(OFFSET($BH$3,0,0,'Données projet'!$E$11+1,1))-AVERAGE(OFFSET($H$3,0,0,'Données projet'!$E$11+1,1))</f>
        <v>312.29553270286209</v>
      </c>
      <c r="BJ139" s="62">
        <f t="shared" si="146"/>
        <v>175.8423124483154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3.4106051316484809E-13</v>
      </c>
      <c r="BZ139" s="14">
        <f>BY139*VLOOKUP('Données projet'!$B$12,Paramètres!$A$1:$I$89,3,0)*VLOOKUP('Données projet'!$B$12,Paramètres!$A$1:$I$89,5,0)</f>
        <v>2.5006556825246659E-13</v>
      </c>
      <c r="CA139" s="14">
        <f t="shared" si="147"/>
        <v>3.3765445850268018E-12</v>
      </c>
      <c r="CB139" s="22">
        <f t="shared" si="118"/>
        <v>6.3163460169613921E-12</v>
      </c>
      <c r="CC139" s="62">
        <f t="shared" si="119"/>
        <v>293.33333333333962</v>
      </c>
      <c r="CD139" s="62">
        <f ca="1">AVERAGE(OFFSET($CC$3,0,0,'Données projet'!$E$12+1,1))-AVERAGE(OFFSET($H$3,0,0,'Données projet'!$E$12+1,1))</f>
        <v>217.14170654868826</v>
      </c>
      <c r="CE139" s="62">
        <f t="shared" si="148"/>
        <v>202.59844364241644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67.677999999999983</v>
      </c>
      <c r="D140" s="12">
        <f t="shared" si="140"/>
        <v>19.09569590824248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669.83203858994182</v>
      </c>
      <c r="H140" s="70">
        <f t="shared" si="110"/>
        <v>444.4641870401889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3.979039320256561E-13</v>
      </c>
      <c r="O140" s="14">
        <f>N140*VLOOKUP('Données projet'!$B$9,Paramètres!$A$1:$I$89,3,0)*VLOOKUP('Données projet'!$B$9,Paramètres!$A$1:$I$89,5,0)</f>
        <v>2.2760104911867532E-13</v>
      </c>
      <c r="P140" s="14">
        <f t="shared" si="141"/>
        <v>3.1070714519279848E-12</v>
      </c>
      <c r="Q140" s="22">
        <f t="shared" si="108"/>
        <v>5.8078879393229322E-12</v>
      </c>
      <c r="R140" s="62">
        <f t="shared" si="109"/>
        <v>293.33333333333911</v>
      </c>
      <c r="S140" s="62">
        <f ca="1">AVERAGE(OFFSET($R$3,0,0,'Données projet'!$E$9+1,1))-AVERAGE(OFFSET($H$3,0,0,'Données projet'!$E$9+1,1))</f>
        <v>183.98573418698061</v>
      </c>
      <c r="T140" s="62">
        <f t="shared" si="142"/>
        <v>158.42298722045609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294.57089926309249</v>
      </c>
      <c r="AO140" s="62">
        <f t="shared" si="144"/>
        <v>221.0956883062172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2.7</v>
      </c>
      <c r="BD140" s="13">
        <f>IF('Données projet'!$A$88&gt;35,BD139+BC140-BL139,IF(A140&lt;'Données projet'!$A$88,$BA$205^A140,IF(A140='Données projet'!$A$88,'Données projet'!$B$88,BD139+BC140-BL139)))</f>
        <v>287.8999999999993</v>
      </c>
      <c r="BE140" s="14">
        <f>BD140*VLOOKUP('Données projet'!$B$11,Paramètres!$A$1:$I$89,3,0)*VLOOKUP('Données projet'!$B$11,Paramètres!$A$1:$I$89,5,0)</f>
        <v>260.49191999999937</v>
      </c>
      <c r="BF140" s="14">
        <f t="shared" si="145"/>
        <v>62.827223883029681</v>
      </c>
      <c r="BG140" s="22">
        <f t="shared" si="115"/>
        <v>563.11417559627546</v>
      </c>
      <c r="BH140" s="62">
        <f t="shared" si="116"/>
        <v>856.44750892960883</v>
      </c>
      <c r="BI140" s="62">
        <f ca="1">AVERAGE(OFFSET($BH$3,0,0,'Données projet'!$E$11+1,1))-AVERAGE(OFFSET($H$3,0,0,'Données projet'!$E$11+1,1))</f>
        <v>312.29553270286209</v>
      </c>
      <c r="BJ140" s="62">
        <f t="shared" si="146"/>
        <v>175.8423124483154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3.4106051316484809E-13</v>
      </c>
      <c r="BZ140" s="14">
        <f>BY140*VLOOKUP('Données projet'!$B$12,Paramètres!$A$1:$I$89,3,0)*VLOOKUP('Données projet'!$B$12,Paramètres!$A$1:$I$89,5,0)</f>
        <v>2.5006556825246659E-13</v>
      </c>
      <c r="CA140" s="14">
        <f t="shared" si="147"/>
        <v>3.3765445850268018E-12</v>
      </c>
      <c r="CB140" s="22">
        <f t="shared" si="118"/>
        <v>6.3163460169613921E-12</v>
      </c>
      <c r="CC140" s="62">
        <f t="shared" si="119"/>
        <v>293.33333333333962</v>
      </c>
      <c r="CD140" s="62">
        <f ca="1">AVERAGE(OFFSET($CC$3,0,0,'Données projet'!$E$12+1,1))-AVERAGE(OFFSET($H$3,0,0,'Données projet'!$E$12+1,1))</f>
        <v>217.14170654868826</v>
      </c>
      <c r="CE140" s="62">
        <f t="shared" si="148"/>
        <v>202.59844364241644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68.171999999999983</v>
      </c>
      <c r="D141" s="12">
        <f t="shared" si="140"/>
        <v>19.21880399855084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674.59567998881346</v>
      </c>
      <c r="H141" s="70">
        <f t="shared" si="110"/>
        <v>445.5389836308093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3.979039320256561E-13</v>
      </c>
      <c r="O141" s="14">
        <f>N141*VLOOKUP('Données projet'!$B$9,Paramètres!$A$1:$I$89,3,0)*VLOOKUP('Données projet'!$B$9,Paramètres!$A$1:$I$89,5,0)</f>
        <v>2.2760104911867532E-13</v>
      </c>
      <c r="P141" s="14">
        <f t="shared" si="141"/>
        <v>3.1070714519279848E-12</v>
      </c>
      <c r="Q141" s="22">
        <f t="shared" si="108"/>
        <v>5.8078879393229322E-12</v>
      </c>
      <c r="R141" s="62">
        <f t="shared" si="109"/>
        <v>293.33333333333911</v>
      </c>
      <c r="S141" s="62">
        <f ca="1">AVERAGE(OFFSET($R$3,0,0,'Données projet'!$E$9+1,1))-AVERAGE(OFFSET($H$3,0,0,'Données projet'!$E$9+1,1))</f>
        <v>183.98573418698061</v>
      </c>
      <c r="T141" s="62">
        <f t="shared" si="142"/>
        <v>158.42298722045609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294.57089926309249</v>
      </c>
      <c r="AO141" s="62">
        <f t="shared" si="144"/>
        <v>221.0956883062172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2.7</v>
      </c>
      <c r="BD141" s="13">
        <f>IF('Données projet'!$A$88&gt;35,BD140+BC141-BL140,IF(A141&lt;'Données projet'!$A$88,$BA$205^A141,IF(A141='Données projet'!$A$88,'Données projet'!$B$88,BD140+BC141-BL140)))</f>
        <v>290.59999999999928</v>
      </c>
      <c r="BE141" s="14">
        <f>BD141*VLOOKUP('Données projet'!$B$11,Paramètres!$A$1:$I$89,3,0)*VLOOKUP('Données projet'!$B$11,Paramètres!$A$1:$I$89,5,0)</f>
        <v>262.93487999999934</v>
      </c>
      <c r="BF141" s="14">
        <f t="shared" si="145"/>
        <v>63.347566493432652</v>
      </c>
      <c r="BG141" s="22">
        <f t="shared" si="115"/>
        <v>568.27526097606062</v>
      </c>
      <c r="BH141" s="62">
        <f t="shared" si="116"/>
        <v>861.60859430939399</v>
      </c>
      <c r="BI141" s="62">
        <f ca="1">AVERAGE(OFFSET($BH$3,0,0,'Données projet'!$E$11+1,1))-AVERAGE(OFFSET($H$3,0,0,'Données projet'!$E$11+1,1))</f>
        <v>312.29553270286209</v>
      </c>
      <c r="BJ141" s="62">
        <f t="shared" si="146"/>
        <v>175.8423124483154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3.4106051316484809E-13</v>
      </c>
      <c r="BZ141" s="14">
        <f>BY141*VLOOKUP('Données projet'!$B$12,Paramètres!$A$1:$I$89,3,0)*VLOOKUP('Données projet'!$B$12,Paramètres!$A$1:$I$89,5,0)</f>
        <v>2.5006556825246659E-13</v>
      </c>
      <c r="CA141" s="14">
        <f t="shared" si="147"/>
        <v>3.3765445850268018E-12</v>
      </c>
      <c r="CB141" s="22">
        <f t="shared" si="118"/>
        <v>6.3163460169613921E-12</v>
      </c>
      <c r="CC141" s="62">
        <f t="shared" si="119"/>
        <v>293.33333333333962</v>
      </c>
      <c r="CD141" s="62">
        <f ca="1">AVERAGE(OFFSET($CC$3,0,0,'Données projet'!$E$12+1,1))-AVERAGE(OFFSET($H$3,0,0,'Données projet'!$E$12+1,1))</f>
        <v>217.14170654868826</v>
      </c>
      <c r="CE141" s="62">
        <f t="shared" si="148"/>
        <v>202.59844364241644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68.665999999999983</v>
      </c>
      <c r="D142" s="12">
        <f t="shared" si="140"/>
        <v>19.341808292681065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679.35852015402918</v>
      </c>
      <c r="H142" s="70">
        <f t="shared" si="110"/>
        <v>446.61359944308612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3.979039320256561E-13</v>
      </c>
      <c r="O142" s="14">
        <f>N142*VLOOKUP('Données projet'!$B$9,Paramètres!$A$1:$I$89,3,0)*VLOOKUP('Données projet'!$B$9,Paramètres!$A$1:$I$89,5,0)</f>
        <v>2.2760104911867532E-13</v>
      </c>
      <c r="P142" s="14">
        <f t="shared" si="141"/>
        <v>3.1070714519279848E-12</v>
      </c>
      <c r="Q142" s="22">
        <f t="shared" si="108"/>
        <v>5.8078879393229322E-12</v>
      </c>
      <c r="R142" s="62">
        <f t="shared" si="109"/>
        <v>293.33333333333911</v>
      </c>
      <c r="S142" s="62">
        <f ca="1">AVERAGE(OFFSET($R$3,0,0,'Données projet'!$E$9+1,1))-AVERAGE(OFFSET($H$3,0,0,'Données projet'!$E$9+1,1))</f>
        <v>183.98573418698061</v>
      </c>
      <c r="T142" s="62">
        <f t="shared" si="142"/>
        <v>158.42298722045609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294.57089926309249</v>
      </c>
      <c r="AO142" s="62">
        <f t="shared" si="144"/>
        <v>221.0956883062172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2.7</v>
      </c>
      <c r="BD142" s="13">
        <f>IF('Données projet'!$A$88&gt;35,BD141+BC142-BL141,IF(A142&lt;'Données projet'!$A$88,$BA$205^A142,IF(A142='Données projet'!$A$88,'Données projet'!$B$88,BD141+BC142-BL141)))</f>
        <v>293.29999999999927</v>
      </c>
      <c r="BE142" s="14">
        <f>BD142*VLOOKUP('Données projet'!$B$11,Paramètres!$A$1:$I$89,3,0)*VLOOKUP('Données projet'!$B$11,Paramètres!$A$1:$I$89,5,0)</f>
        <v>265.37783999999937</v>
      </c>
      <c r="BF142" s="14">
        <f t="shared" si="145"/>
        <v>63.867346655917089</v>
      </c>
      <c r="BG142" s="22">
        <f t="shared" si="115"/>
        <v>573.43536675905443</v>
      </c>
      <c r="BH142" s="62">
        <f t="shared" si="116"/>
        <v>866.76870009238769</v>
      </c>
      <c r="BI142" s="62">
        <f ca="1">AVERAGE(OFFSET($BH$3,0,0,'Données projet'!$E$11+1,1))-AVERAGE(OFFSET($H$3,0,0,'Données projet'!$E$11+1,1))</f>
        <v>312.29553270286209</v>
      </c>
      <c r="BJ142" s="62">
        <f t="shared" si="146"/>
        <v>175.8423124483154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3.4106051316484809E-13</v>
      </c>
      <c r="BZ142" s="14">
        <f>BY142*VLOOKUP('Données projet'!$B$12,Paramètres!$A$1:$I$89,3,0)*VLOOKUP('Données projet'!$B$12,Paramètres!$A$1:$I$89,5,0)</f>
        <v>2.5006556825246659E-13</v>
      </c>
      <c r="CA142" s="14">
        <f t="shared" si="147"/>
        <v>3.3765445850268018E-12</v>
      </c>
      <c r="CB142" s="22">
        <f t="shared" si="118"/>
        <v>6.3163460169613921E-12</v>
      </c>
      <c r="CC142" s="62">
        <f t="shared" si="119"/>
        <v>293.33333333333962</v>
      </c>
      <c r="CD142" s="62">
        <f ca="1">AVERAGE(OFFSET($CC$3,0,0,'Données projet'!$E$12+1,1))-AVERAGE(OFFSET($H$3,0,0,'Données projet'!$E$12+1,1))</f>
        <v>217.14170654868826</v>
      </c>
      <c r="CE142" s="62">
        <f t="shared" si="148"/>
        <v>202.59844364241644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69.159999999999982</v>
      </c>
      <c r="D143" s="12">
        <f t="shared" si="140"/>
        <v>19.464709623953723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684.12056551823923</v>
      </c>
      <c r="H143" s="70">
        <f t="shared" si="110"/>
        <v>447.68803592838606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3.979039320256561E-13</v>
      </c>
      <c r="O143" s="14">
        <f>N143*VLOOKUP('Données projet'!$B$9,Paramètres!$A$1:$I$89,3,0)*VLOOKUP('Données projet'!$B$9,Paramètres!$A$1:$I$89,5,0)</f>
        <v>2.2760104911867532E-13</v>
      </c>
      <c r="P143" s="14">
        <f t="shared" si="141"/>
        <v>3.1070714519279848E-12</v>
      </c>
      <c r="Q143" s="22">
        <f t="shared" si="108"/>
        <v>5.8078879393229322E-12</v>
      </c>
      <c r="R143" s="62">
        <f t="shared" si="109"/>
        <v>293.33333333333911</v>
      </c>
      <c r="S143" s="62">
        <f ca="1">AVERAGE(OFFSET($R$3,0,0,'Données projet'!$E$9+1,1))-AVERAGE(OFFSET($H$3,0,0,'Données projet'!$E$9+1,1))</f>
        <v>183.98573418698061</v>
      </c>
      <c r="T143" s="62">
        <f t="shared" si="142"/>
        <v>158.42298722045609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294.57089926309249</v>
      </c>
      <c r="AO143" s="62">
        <f t="shared" si="144"/>
        <v>221.0956883062172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>
        <f>VLOOKUP(A143,'Données projet'!$A$87:$I$107,2,0)</f>
        <v>296</v>
      </c>
      <c r="BB143" s="13">
        <f>VLOOKUP(A143,'Données projet'!$A$87:$I$107,9,0)</f>
        <v>2.7</v>
      </c>
      <c r="BC143" s="13">
        <f t="array" ref="BC143">INDEX(BB:BB,MIN(IF(ISNUMBER(BB143:BB339),ROW(BB143:BB339),"")))</f>
        <v>2.7</v>
      </c>
      <c r="BD143" s="13">
        <f>IF('Données projet'!$A$88&gt;35,BD142+BC143-BL142,IF(A143&lt;'Données projet'!$A$88,$BA$205^A143,IF(A143='Données projet'!$A$88,'Données projet'!$B$88,BD142+BC143-BL142)))</f>
        <v>295.99999999999926</v>
      </c>
      <c r="BE143" s="14">
        <f>BD143*VLOOKUP('Données projet'!$B$11,Paramètres!$A$1:$I$89,3,0)*VLOOKUP('Données projet'!$B$11,Paramètres!$A$1:$I$89,5,0)</f>
        <v>267.82079999999934</v>
      </c>
      <c r="BF143" s="14">
        <f t="shared" si="145"/>
        <v>64.386570147897245</v>
      </c>
      <c r="BG143" s="22">
        <f t="shared" si="115"/>
        <v>578.59450300758647</v>
      </c>
      <c r="BH143" s="62">
        <f t="shared" si="116"/>
        <v>871.92783634091984</v>
      </c>
      <c r="BI143" s="62">
        <f ca="1">AVERAGE(OFFSET($BH$3,0,0,'Données projet'!$E$11+1,1))-AVERAGE(OFFSET($H$3,0,0,'Données projet'!$E$11+1,1))</f>
        <v>312.29553270286209</v>
      </c>
      <c r="BJ143" s="62">
        <f t="shared" si="146"/>
        <v>175.8423124483154</v>
      </c>
      <c r="BK143" s="16">
        <f>IF(ISNA(VLOOKUP(A143,'Données projet'!$A$87:$I$107,3,0)),0,VLOOKUP(A143,'Données projet'!$A$87:$I$107,3,0))</f>
        <v>12</v>
      </c>
      <c r="BL143" s="16">
        <f>IF(ISNA(VLOOKUP(A143,'Données projet'!$A$87:$I$107,4,0)),0,VLOOKUP(A143,'Données projet'!$A$87:$I$107,4,0))</f>
        <v>27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3.4106051316484809E-13</v>
      </c>
      <c r="BZ143" s="14">
        <f>BY143*VLOOKUP('Données projet'!$B$12,Paramètres!$A$1:$I$89,3,0)*VLOOKUP('Données projet'!$B$12,Paramètres!$A$1:$I$89,5,0)</f>
        <v>2.5006556825246659E-13</v>
      </c>
      <c r="CA143" s="14">
        <f t="shared" si="147"/>
        <v>3.3765445850268018E-12</v>
      </c>
      <c r="CB143" s="22">
        <f t="shared" si="118"/>
        <v>6.3163460169613921E-12</v>
      </c>
      <c r="CC143" s="62">
        <f t="shared" si="119"/>
        <v>293.33333333333962</v>
      </c>
      <c r="CD143" s="62">
        <f ca="1">AVERAGE(OFFSET($CC$3,0,0,'Données projet'!$E$12+1,1))-AVERAGE(OFFSET($H$3,0,0,'Données projet'!$E$12+1,1))</f>
        <v>217.14170654868826</v>
      </c>
      <c r="CE143" s="62">
        <f t="shared" si="148"/>
        <v>202.59844364241644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69.653999999999982</v>
      </c>
      <c r="D144" s="12">
        <f t="shared" si="140"/>
        <v>19.587508813096782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688.8818224168873</v>
      </c>
      <c r="H144" s="70">
        <f t="shared" si="110"/>
        <v>448.76229451614353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3.979039320256561E-13</v>
      </c>
      <c r="O144" s="14">
        <f>N144*VLOOKUP('Données projet'!$B$9,Paramètres!$A$1:$I$89,3,0)*VLOOKUP('Données projet'!$B$9,Paramètres!$A$1:$I$89,5,0)</f>
        <v>2.2760104911867532E-13</v>
      </c>
      <c r="P144" s="14">
        <f t="shared" si="141"/>
        <v>3.1070714519279848E-12</v>
      </c>
      <c r="Q144" s="22">
        <f t="shared" si="108"/>
        <v>5.8078879393229322E-12</v>
      </c>
      <c r="R144" s="62">
        <f t="shared" si="109"/>
        <v>293.33333333333911</v>
      </c>
      <c r="S144" s="62">
        <f ca="1">AVERAGE(OFFSET($R$3,0,0,'Données projet'!$E$9+1,1))-AVERAGE(OFFSET($H$3,0,0,'Données projet'!$E$9+1,1))</f>
        <v>183.98573418698061</v>
      </c>
      <c r="T144" s="62">
        <f t="shared" si="142"/>
        <v>158.42298722045609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294.57089926309249</v>
      </c>
      <c r="AO144" s="62">
        <f t="shared" si="144"/>
        <v>221.0956883062172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2.4</v>
      </c>
      <c r="BD144" s="13">
        <f>IF('Données projet'!$A$88&gt;35,BD143+BC144-BL143,IF(A144&lt;'Données projet'!$A$88,$BA$205^A144,IF(A144='Données projet'!$A$88,'Données projet'!$B$88,BD143+BC144-BL143)))</f>
        <v>271.39999999999924</v>
      </c>
      <c r="BE144" s="14">
        <f>BD144*VLOOKUP('Données projet'!$B$11,Paramètres!$A$1:$I$89,3,0)*VLOOKUP('Données projet'!$B$11,Paramètres!$A$1:$I$89,5,0)</f>
        <v>245.5627199999993</v>
      </c>
      <c r="BF144" s="14">
        <f t="shared" si="145"/>
        <v>59.634776048276741</v>
      </c>
      <c r="BG144" s="22">
        <f t="shared" si="115"/>
        <v>531.55230561741405</v>
      </c>
      <c r="BH144" s="62">
        <f t="shared" si="116"/>
        <v>824.88563895074731</v>
      </c>
      <c r="BI144" s="62">
        <f ca="1">AVERAGE(OFFSET($BH$3,0,0,'Données projet'!$E$11+1,1))-AVERAGE(OFFSET($H$3,0,0,'Données projet'!$E$11+1,1))</f>
        <v>312.29553270286209</v>
      </c>
      <c r="BJ144" s="62">
        <f t="shared" si="146"/>
        <v>175.8423124483154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3.4106051316484809E-13</v>
      </c>
      <c r="BZ144" s="14">
        <f>BY144*VLOOKUP('Données projet'!$B$12,Paramètres!$A$1:$I$89,3,0)*VLOOKUP('Données projet'!$B$12,Paramètres!$A$1:$I$89,5,0)</f>
        <v>2.5006556825246659E-13</v>
      </c>
      <c r="CA144" s="14">
        <f t="shared" si="147"/>
        <v>3.3765445850268018E-12</v>
      </c>
      <c r="CB144" s="22">
        <f t="shared" si="118"/>
        <v>6.3163460169613921E-12</v>
      </c>
      <c r="CC144" s="62">
        <f t="shared" si="119"/>
        <v>293.33333333333962</v>
      </c>
      <c r="CD144" s="62">
        <f ca="1">AVERAGE(OFFSET($CC$3,0,0,'Données projet'!$E$12+1,1))-AVERAGE(OFFSET($H$3,0,0,'Données projet'!$E$12+1,1))</f>
        <v>217.14170654868826</v>
      </c>
      <c r="CE144" s="62">
        <f t="shared" si="148"/>
        <v>202.59844364241644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70.147999999999982</v>
      </c>
      <c r="D145" s="12">
        <f t="shared" si="140"/>
        <v>19.710206668524005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693.64229709036078</v>
      </c>
      <c r="H145" s="70">
        <f t="shared" si="110"/>
        <v>449.83637661434591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3.979039320256561E-13</v>
      </c>
      <c r="O145" s="14">
        <f>N145*VLOOKUP('Données projet'!$B$9,Paramètres!$A$1:$I$89,3,0)*VLOOKUP('Données projet'!$B$9,Paramètres!$A$1:$I$89,5,0)</f>
        <v>2.2760104911867532E-13</v>
      </c>
      <c r="P145" s="14">
        <f t="shared" si="141"/>
        <v>3.1070714519279848E-12</v>
      </c>
      <c r="Q145" s="22">
        <f t="shared" si="108"/>
        <v>5.8078879393229322E-12</v>
      </c>
      <c r="R145" s="62">
        <f t="shared" si="109"/>
        <v>293.33333333333911</v>
      </c>
      <c r="S145" s="62">
        <f ca="1">AVERAGE(OFFSET($R$3,0,0,'Données projet'!$E$9+1,1))-AVERAGE(OFFSET($H$3,0,0,'Données projet'!$E$9+1,1))</f>
        <v>183.98573418698061</v>
      </c>
      <c r="T145" s="62">
        <f t="shared" si="142"/>
        <v>158.42298722045609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294.57089926309249</v>
      </c>
      <c r="AO145" s="62">
        <f t="shared" si="144"/>
        <v>221.0956883062172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2.4</v>
      </c>
      <c r="BD145" s="13">
        <f>IF('Données projet'!$A$88&gt;35,BD144+BC145-BL144,IF(A145&lt;'Données projet'!$A$88,$BA$205^A145,IF(A145='Données projet'!$A$88,'Données projet'!$B$88,BD144+BC145-BL144)))</f>
        <v>273.79999999999922</v>
      </c>
      <c r="BE145" s="14">
        <f>BD145*VLOOKUP('Données projet'!$B$11,Paramètres!$A$1:$I$89,3,0)*VLOOKUP('Données projet'!$B$11,Paramètres!$A$1:$I$89,5,0)</f>
        <v>247.73423999999929</v>
      </c>
      <c r="BF145" s="14">
        <f t="shared" si="145"/>
        <v>60.100505665694953</v>
      </c>
      <c r="BG145" s="22">
        <f t="shared" si="115"/>
        <v>536.14551536775082</v>
      </c>
      <c r="BH145" s="62">
        <f t="shared" si="116"/>
        <v>829.47884870108419</v>
      </c>
      <c r="BI145" s="62">
        <f ca="1">AVERAGE(OFFSET($BH$3,0,0,'Données projet'!$E$11+1,1))-AVERAGE(OFFSET($H$3,0,0,'Données projet'!$E$11+1,1))</f>
        <v>312.29553270286209</v>
      </c>
      <c r="BJ145" s="62">
        <f t="shared" si="146"/>
        <v>175.8423124483154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3.4106051316484809E-13</v>
      </c>
      <c r="BZ145" s="14">
        <f>BY145*VLOOKUP('Données projet'!$B$12,Paramètres!$A$1:$I$89,3,0)*VLOOKUP('Données projet'!$B$12,Paramètres!$A$1:$I$89,5,0)</f>
        <v>2.5006556825246659E-13</v>
      </c>
      <c r="CA145" s="14">
        <f t="shared" si="147"/>
        <v>3.3765445850268018E-12</v>
      </c>
      <c r="CB145" s="22">
        <f t="shared" si="118"/>
        <v>6.3163460169613921E-12</v>
      </c>
      <c r="CC145" s="62">
        <f t="shared" si="119"/>
        <v>293.33333333333962</v>
      </c>
      <c r="CD145" s="62">
        <f ca="1">AVERAGE(OFFSET($CC$3,0,0,'Données projet'!$E$12+1,1))-AVERAGE(OFFSET($H$3,0,0,'Données projet'!$E$12+1,1))</f>
        <v>217.14170654868826</v>
      </c>
      <c r="CE145" s="62">
        <f t="shared" si="148"/>
        <v>202.59844364241644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70.641999999999982</v>
      </c>
      <c r="D146" s="12">
        <f t="shared" si="140"/>
        <v>19.832803986604944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698.40199568607306</v>
      </c>
      <c r="H146" s="70">
        <f t="shared" si="110"/>
        <v>450.91028361000355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3.979039320256561E-13</v>
      </c>
      <c r="O146" s="14">
        <f>N146*VLOOKUP('Données projet'!$B$9,Paramètres!$A$1:$I$89,3,0)*VLOOKUP('Données projet'!$B$9,Paramètres!$A$1:$I$89,5,0)</f>
        <v>2.2760104911867532E-13</v>
      </c>
      <c r="P146" s="14">
        <f t="shared" si="141"/>
        <v>3.1070714519279848E-12</v>
      </c>
      <c r="Q146" s="22">
        <f t="shared" si="108"/>
        <v>5.8078879393229322E-12</v>
      </c>
      <c r="R146" s="62">
        <f t="shared" si="109"/>
        <v>293.33333333333911</v>
      </c>
      <c r="S146" s="62">
        <f ca="1">AVERAGE(OFFSET($R$3,0,0,'Données projet'!$E$9+1,1))-AVERAGE(OFFSET($H$3,0,0,'Données projet'!$E$9+1,1))</f>
        <v>183.98573418698061</v>
      </c>
      <c r="T146" s="62">
        <f t="shared" si="142"/>
        <v>158.42298722045609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294.57089926309249</v>
      </c>
      <c r="AO146" s="62">
        <f t="shared" si="144"/>
        <v>221.0956883062172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2.4</v>
      </c>
      <c r="BD146" s="13">
        <f>IF('Données projet'!$A$88&gt;35,BD145+BC146-BL145,IF(A146&lt;'Données projet'!$A$88,$BA$205^A146,IF(A146='Données projet'!$A$88,'Données projet'!$B$88,BD145+BC146-BL145)))</f>
        <v>276.19999999999919</v>
      </c>
      <c r="BE146" s="14">
        <f>BD146*VLOOKUP('Données projet'!$B$11,Paramètres!$A$1:$I$89,3,0)*VLOOKUP('Données projet'!$B$11,Paramètres!$A$1:$I$89,5,0)</f>
        <v>249.90575999999925</v>
      </c>
      <c r="BF146" s="14">
        <f t="shared" si="145"/>
        <v>60.565760331923727</v>
      </c>
      <c r="BG146" s="22">
        <f t="shared" si="115"/>
        <v>540.73789791143247</v>
      </c>
      <c r="BH146" s="62">
        <f t="shared" si="116"/>
        <v>834.07123124476584</v>
      </c>
      <c r="BI146" s="62">
        <f ca="1">AVERAGE(OFFSET($BH$3,0,0,'Données projet'!$E$11+1,1))-AVERAGE(OFFSET($H$3,0,0,'Données projet'!$E$11+1,1))</f>
        <v>312.29553270286209</v>
      </c>
      <c r="BJ146" s="62">
        <f t="shared" si="146"/>
        <v>175.8423124483154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3.4106051316484809E-13</v>
      </c>
      <c r="BZ146" s="14">
        <f>BY146*VLOOKUP('Données projet'!$B$12,Paramètres!$A$1:$I$89,3,0)*VLOOKUP('Données projet'!$B$12,Paramètres!$A$1:$I$89,5,0)</f>
        <v>2.5006556825246659E-13</v>
      </c>
      <c r="CA146" s="14">
        <f t="shared" si="147"/>
        <v>3.3765445850268018E-12</v>
      </c>
      <c r="CB146" s="22">
        <f t="shared" si="118"/>
        <v>6.3163460169613921E-12</v>
      </c>
      <c r="CC146" s="62">
        <f t="shared" si="119"/>
        <v>293.33333333333962</v>
      </c>
      <c r="CD146" s="62">
        <f ca="1">AVERAGE(OFFSET($CC$3,0,0,'Données projet'!$E$12+1,1))-AVERAGE(OFFSET($H$3,0,0,'Données projet'!$E$12+1,1))</f>
        <v>217.14170654868826</v>
      </c>
      <c r="CE146" s="62">
        <f t="shared" si="148"/>
        <v>202.59844364241644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71.135999999999981</v>
      </c>
      <c r="D147" s="12">
        <f t="shared" si="140"/>
        <v>19.955301551927469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703.16092426049261</v>
      </c>
      <c r="H147" s="70">
        <f t="shared" si="110"/>
        <v>451.98401686960693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3.979039320256561E-13</v>
      </c>
      <c r="O147" s="14">
        <f>N147*VLOOKUP('Données projet'!$B$9,Paramètres!$A$1:$I$89,3,0)*VLOOKUP('Données projet'!$B$9,Paramètres!$A$1:$I$89,5,0)</f>
        <v>2.2760104911867532E-13</v>
      </c>
      <c r="P147" s="14">
        <f t="shared" si="141"/>
        <v>3.1070714519279848E-12</v>
      </c>
      <c r="Q147" s="22">
        <f t="shared" si="108"/>
        <v>5.8078879393229322E-12</v>
      </c>
      <c r="R147" s="62">
        <f t="shared" si="109"/>
        <v>293.33333333333911</v>
      </c>
      <c r="S147" s="62">
        <f ca="1">AVERAGE(OFFSET($R$3,0,0,'Données projet'!$E$9+1,1))-AVERAGE(OFFSET($H$3,0,0,'Données projet'!$E$9+1,1))</f>
        <v>183.98573418698061</v>
      </c>
      <c r="T147" s="62">
        <f t="shared" si="142"/>
        <v>158.42298722045609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294.57089926309249</v>
      </c>
      <c r="AO147" s="62">
        <f t="shared" si="144"/>
        <v>221.0956883062172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2.4</v>
      </c>
      <c r="BD147" s="13">
        <f>IF('Données projet'!$A$88&gt;35,BD146+BC147-BL146,IF(A147&lt;'Données projet'!$A$88,$BA$205^A147,IF(A147='Données projet'!$A$88,'Données projet'!$B$88,BD146+BC147-BL146)))</f>
        <v>278.59999999999917</v>
      </c>
      <c r="BE147" s="14">
        <f>BD147*VLOOKUP('Données projet'!$B$11,Paramètres!$A$1:$I$89,3,0)*VLOOKUP('Données projet'!$B$11,Paramètres!$A$1:$I$89,5,0)</f>
        <v>252.07727999999923</v>
      </c>
      <c r="BF147" s="14">
        <f t="shared" si="145"/>
        <v>61.030544652154823</v>
      </c>
      <c r="BG147" s="22">
        <f t="shared" si="115"/>
        <v>545.32946126916829</v>
      </c>
      <c r="BH147" s="62">
        <f t="shared" si="116"/>
        <v>838.66279460250166</v>
      </c>
      <c r="BI147" s="62">
        <f ca="1">AVERAGE(OFFSET($BH$3,0,0,'Données projet'!$E$11+1,1))-AVERAGE(OFFSET($H$3,0,0,'Données projet'!$E$11+1,1))</f>
        <v>312.29553270286209</v>
      </c>
      <c r="BJ147" s="62">
        <f t="shared" si="146"/>
        <v>175.8423124483154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3.4106051316484809E-13</v>
      </c>
      <c r="BZ147" s="14">
        <f>BY147*VLOOKUP('Données projet'!$B$12,Paramètres!$A$1:$I$89,3,0)*VLOOKUP('Données projet'!$B$12,Paramètres!$A$1:$I$89,5,0)</f>
        <v>2.5006556825246659E-13</v>
      </c>
      <c r="CA147" s="14">
        <f t="shared" si="147"/>
        <v>3.3765445850268018E-12</v>
      </c>
      <c r="CB147" s="22">
        <f t="shared" si="118"/>
        <v>6.3163460169613921E-12</v>
      </c>
      <c r="CC147" s="62">
        <f t="shared" si="119"/>
        <v>293.33333333333962</v>
      </c>
      <c r="CD147" s="62">
        <f ca="1">AVERAGE(OFFSET($CC$3,0,0,'Données projet'!$E$12+1,1))-AVERAGE(OFFSET($H$3,0,0,'Données projet'!$E$12+1,1))</f>
        <v>217.14170654868826</v>
      </c>
      <c r="CE147" s="62">
        <f t="shared" si="148"/>
        <v>202.59844364241644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71.629999999999981</v>
      </c>
      <c r="D148" s="12">
        <f t="shared" si="140"/>
        <v>20.077700137552494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707.91908878110689</v>
      </c>
      <c r="H148" s="70">
        <f t="shared" si="110"/>
        <v>453.05757773957055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3.979039320256561E-13</v>
      </c>
      <c r="O148" s="14">
        <f>N148*VLOOKUP('Données projet'!$B$9,Paramètres!$A$1:$I$89,3,0)*VLOOKUP('Données projet'!$B$9,Paramètres!$A$1:$I$89,5,0)</f>
        <v>2.2760104911867532E-13</v>
      </c>
      <c r="P148" s="14">
        <f t="shared" si="141"/>
        <v>3.1070714519279848E-12</v>
      </c>
      <c r="Q148" s="22">
        <f t="shared" si="108"/>
        <v>5.8078879393229322E-12</v>
      </c>
      <c r="R148" s="62">
        <f t="shared" si="109"/>
        <v>293.33333333333911</v>
      </c>
      <c r="S148" s="62">
        <f ca="1">AVERAGE(OFFSET($R$3,0,0,'Données projet'!$E$9+1,1))-AVERAGE(OFFSET($H$3,0,0,'Données projet'!$E$9+1,1))</f>
        <v>183.98573418698061</v>
      </c>
      <c r="T148" s="62">
        <f t="shared" si="142"/>
        <v>158.42298722045609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294.57089926309249</v>
      </c>
      <c r="AO148" s="62">
        <f t="shared" si="144"/>
        <v>221.0956883062172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2.4</v>
      </c>
      <c r="BD148" s="13">
        <f>IF('Données projet'!$A$88&gt;35,BD147+BC148-BL147,IF(A148&lt;'Données projet'!$A$88,$BA$205^A148,IF(A148='Données projet'!$A$88,'Données projet'!$B$88,BD147+BC148-BL147)))</f>
        <v>280.99999999999915</v>
      </c>
      <c r="BE148" s="14">
        <f>BD148*VLOOKUP('Données projet'!$B$11,Paramètres!$A$1:$I$89,3,0)*VLOOKUP('Données projet'!$B$11,Paramètres!$A$1:$I$89,5,0)</f>
        <v>254.24879999999925</v>
      </c>
      <c r="BF148" s="14">
        <f t="shared" si="145"/>
        <v>61.494863147658698</v>
      </c>
      <c r="BG148" s="22">
        <f t="shared" si="115"/>
        <v>549.92021331550427</v>
      </c>
      <c r="BH148" s="62">
        <f t="shared" si="116"/>
        <v>843.25354664883753</v>
      </c>
      <c r="BI148" s="62">
        <f ca="1">AVERAGE(OFFSET($BH$3,0,0,'Données projet'!$E$11+1,1))-AVERAGE(OFFSET($H$3,0,0,'Données projet'!$E$11+1,1))</f>
        <v>312.29553270286209</v>
      </c>
      <c r="BJ148" s="62">
        <f t="shared" si="146"/>
        <v>175.8423124483154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3.4106051316484809E-13</v>
      </c>
      <c r="BZ148" s="14">
        <f>BY148*VLOOKUP('Données projet'!$B$12,Paramètres!$A$1:$I$89,3,0)*VLOOKUP('Données projet'!$B$12,Paramètres!$A$1:$I$89,5,0)</f>
        <v>2.5006556825246659E-13</v>
      </c>
      <c r="CA148" s="14">
        <f t="shared" si="147"/>
        <v>3.3765445850268018E-12</v>
      </c>
      <c r="CB148" s="22">
        <f t="shared" si="118"/>
        <v>6.3163460169613921E-12</v>
      </c>
      <c r="CC148" s="62">
        <f t="shared" si="119"/>
        <v>293.33333333333962</v>
      </c>
      <c r="CD148" s="62">
        <f ca="1">AVERAGE(OFFSET($CC$3,0,0,'Données projet'!$E$12+1,1))-AVERAGE(OFFSET($H$3,0,0,'Données projet'!$E$12+1,1))</f>
        <v>217.14170654868826</v>
      </c>
      <c r="CE148" s="62">
        <f t="shared" si="148"/>
        <v>202.59844364241644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72.123999999999981</v>
      </c>
      <c r="D149" s="12">
        <f t="shared" si="140"/>
        <v>20.200000505261777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712.67649512833634</v>
      </c>
      <c r="H149" s="70">
        <f t="shared" si="110"/>
        <v>454.13096754666418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3.979039320256561E-13</v>
      </c>
      <c r="O149" s="14">
        <f>N149*VLOOKUP('Données projet'!$B$9,Paramètres!$A$1:$I$89,3,0)*VLOOKUP('Données projet'!$B$9,Paramètres!$A$1:$I$89,5,0)</f>
        <v>2.2760104911867532E-13</v>
      </c>
      <c r="P149" s="14">
        <f t="shared" si="141"/>
        <v>3.1070714519279848E-12</v>
      </c>
      <c r="Q149" s="22">
        <f t="shared" si="108"/>
        <v>5.8078879393229322E-12</v>
      </c>
      <c r="R149" s="62">
        <f t="shared" si="109"/>
        <v>293.33333333333911</v>
      </c>
      <c r="S149" s="62">
        <f ca="1">AVERAGE(OFFSET($R$3,0,0,'Données projet'!$E$9+1,1))-AVERAGE(OFFSET($H$3,0,0,'Données projet'!$E$9+1,1))</f>
        <v>183.98573418698061</v>
      </c>
      <c r="T149" s="62">
        <f t="shared" si="142"/>
        <v>158.42298722045609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294.57089926309249</v>
      </c>
      <c r="AO149" s="62">
        <f t="shared" si="144"/>
        <v>221.0956883062172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2.4</v>
      </c>
      <c r="BD149" s="13">
        <f>IF('Données projet'!$A$88&gt;35,BD148+BC149-BL148,IF(A149&lt;'Données projet'!$A$88,$BA$205^A149,IF(A149='Données projet'!$A$88,'Données projet'!$B$88,BD148+BC149-BL148)))</f>
        <v>283.39999999999912</v>
      </c>
      <c r="BE149" s="14">
        <f>BD149*VLOOKUP('Données projet'!$B$11,Paramètres!$A$1:$I$89,3,0)*VLOOKUP('Données projet'!$B$11,Paramètres!$A$1:$I$89,5,0)</f>
        <v>256.42031999999921</v>
      </c>
      <c r="BF149" s="14">
        <f t="shared" si="145"/>
        <v>61.958720258016747</v>
      </c>
      <c r="BG149" s="22">
        <f t="shared" si="115"/>
        <v>554.51016178271107</v>
      </c>
      <c r="BH149" s="62">
        <f t="shared" si="116"/>
        <v>847.84349511604432</v>
      </c>
      <c r="BI149" s="62">
        <f ca="1">AVERAGE(OFFSET($BH$3,0,0,'Données projet'!$E$11+1,1))-AVERAGE(OFFSET($H$3,0,0,'Données projet'!$E$11+1,1))</f>
        <v>312.29553270286209</v>
      </c>
      <c r="BJ149" s="62">
        <f t="shared" si="146"/>
        <v>175.8423124483154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3.4106051316484809E-13</v>
      </c>
      <c r="BZ149" s="14">
        <f>BY149*VLOOKUP('Données projet'!$B$12,Paramètres!$A$1:$I$89,3,0)*VLOOKUP('Données projet'!$B$12,Paramètres!$A$1:$I$89,5,0)</f>
        <v>2.5006556825246659E-13</v>
      </c>
      <c r="CA149" s="14">
        <f t="shared" si="147"/>
        <v>3.3765445850268018E-12</v>
      </c>
      <c r="CB149" s="22">
        <f t="shared" si="118"/>
        <v>6.3163460169613921E-12</v>
      </c>
      <c r="CC149" s="62">
        <f t="shared" si="119"/>
        <v>293.33333333333962</v>
      </c>
      <c r="CD149" s="62">
        <f ca="1">AVERAGE(OFFSET($CC$3,0,0,'Données projet'!$E$12+1,1))-AVERAGE(OFFSET($H$3,0,0,'Données projet'!$E$12+1,1))</f>
        <v>217.14170654868826</v>
      </c>
      <c r="CE149" s="62">
        <f t="shared" si="148"/>
        <v>202.59844364241644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72.617999999999981</v>
      </c>
      <c r="D150" s="12">
        <f t="shared" si="140"/>
        <v>20.322203405798444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717.43314909739138</v>
      </c>
      <c r="H150" s="70">
        <f t="shared" si="110"/>
        <v>455.20418759843221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3.979039320256561E-13</v>
      </c>
      <c r="O150" s="14">
        <f>N150*VLOOKUP('Données projet'!$B$9,Paramètres!$A$1:$I$89,3,0)*VLOOKUP('Données projet'!$B$9,Paramètres!$A$1:$I$89,5,0)</f>
        <v>2.2760104911867532E-13</v>
      </c>
      <c r="P150" s="14">
        <f t="shared" si="141"/>
        <v>3.1070714519279848E-12</v>
      </c>
      <c r="Q150" s="22">
        <f t="shared" si="108"/>
        <v>5.8078879393229322E-12</v>
      </c>
      <c r="R150" s="62">
        <f t="shared" si="109"/>
        <v>293.33333333333911</v>
      </c>
      <c r="S150" s="62">
        <f ca="1">AVERAGE(OFFSET($R$3,0,0,'Données projet'!$E$9+1,1))-AVERAGE(OFFSET($H$3,0,0,'Données projet'!$E$9+1,1))</f>
        <v>183.98573418698061</v>
      </c>
      <c r="T150" s="62">
        <f t="shared" si="142"/>
        <v>158.42298722045609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294.57089926309249</v>
      </c>
      <c r="AO150" s="62">
        <f t="shared" si="144"/>
        <v>221.0956883062172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2.4</v>
      </c>
      <c r="BD150" s="13">
        <f>IF('Données projet'!$A$88&gt;35,BD149+BC150-BL149,IF(A150&lt;'Données projet'!$A$88,$BA$205^A150,IF(A150='Données projet'!$A$88,'Données projet'!$B$88,BD149+BC150-BL149)))</f>
        <v>285.7999999999991</v>
      </c>
      <c r="BE150" s="14">
        <f>BD150*VLOOKUP('Données projet'!$B$11,Paramètres!$A$1:$I$89,3,0)*VLOOKUP('Données projet'!$B$11,Paramètres!$A$1:$I$89,5,0)</f>
        <v>258.59183999999919</v>
      </c>
      <c r="BF150" s="14">
        <f t="shared" si="145"/>
        <v>62.422120343276475</v>
      </c>
      <c r="BG150" s="22">
        <f t="shared" si="115"/>
        <v>559.09931426453841</v>
      </c>
      <c r="BH150" s="62">
        <f t="shared" si="116"/>
        <v>852.43264759787166</v>
      </c>
      <c r="BI150" s="62">
        <f ca="1">AVERAGE(OFFSET($BH$3,0,0,'Données projet'!$E$11+1,1))-AVERAGE(OFFSET($H$3,0,0,'Données projet'!$E$11+1,1))</f>
        <v>312.29553270286209</v>
      </c>
      <c r="BJ150" s="62">
        <f t="shared" si="146"/>
        <v>175.8423124483154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3.4106051316484809E-13</v>
      </c>
      <c r="BZ150" s="14">
        <f>BY150*VLOOKUP('Données projet'!$B$12,Paramètres!$A$1:$I$89,3,0)*VLOOKUP('Données projet'!$B$12,Paramètres!$A$1:$I$89,5,0)</f>
        <v>2.5006556825246659E-13</v>
      </c>
      <c r="CA150" s="14">
        <f t="shared" si="147"/>
        <v>3.3765445850268018E-12</v>
      </c>
      <c r="CB150" s="22">
        <f t="shared" si="118"/>
        <v>6.3163460169613921E-12</v>
      </c>
      <c r="CC150" s="62">
        <f t="shared" si="119"/>
        <v>293.33333333333962</v>
      </c>
      <c r="CD150" s="62">
        <f ca="1">AVERAGE(OFFSET($CC$3,0,0,'Données projet'!$E$12+1,1))-AVERAGE(OFFSET($H$3,0,0,'Données projet'!$E$12+1,1))</f>
        <v>217.14170654868826</v>
      </c>
      <c r="CE150" s="62">
        <f t="shared" si="148"/>
        <v>202.59844364241644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73.111999999999981</v>
      </c>
      <c r="D151" s="12">
        <f t="shared" si="140"/>
        <v>20.444309579101066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722.18905640007824</v>
      </c>
      <c r="H151" s="70">
        <f t="shared" si="110"/>
        <v>456.27723918360095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3.979039320256561E-13</v>
      </c>
      <c r="O151" s="14">
        <f>N151*VLOOKUP('Données projet'!$B$9,Paramètres!$A$1:$I$89,3,0)*VLOOKUP('Données projet'!$B$9,Paramètres!$A$1:$I$89,5,0)</f>
        <v>2.2760104911867532E-13</v>
      </c>
      <c r="P151" s="14">
        <f t="shared" si="141"/>
        <v>3.1070714519279848E-12</v>
      </c>
      <c r="Q151" s="22">
        <f t="shared" si="108"/>
        <v>5.8078879393229322E-12</v>
      </c>
      <c r="R151" s="62">
        <f t="shared" si="109"/>
        <v>293.33333333333911</v>
      </c>
      <c r="S151" s="62">
        <f ca="1">AVERAGE(OFFSET($R$3,0,0,'Données projet'!$E$9+1,1))-AVERAGE(OFFSET($H$3,0,0,'Données projet'!$E$9+1,1))</f>
        <v>183.98573418698061</v>
      </c>
      <c r="T151" s="62">
        <f t="shared" si="142"/>
        <v>158.42298722045609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294.57089926309249</v>
      </c>
      <c r="AO151" s="62">
        <f t="shared" si="144"/>
        <v>221.0956883062172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2.4</v>
      </c>
      <c r="BD151" s="13">
        <f>IF('Données projet'!$A$88&gt;35,BD150+BC151-BL150,IF(A151&lt;'Données projet'!$A$88,$BA$205^A151,IF(A151='Données projet'!$A$88,'Données projet'!$B$88,BD150+BC151-BL150)))</f>
        <v>288.19999999999908</v>
      </c>
      <c r="BE151" s="14">
        <f>BD151*VLOOKUP('Données projet'!$B$11,Paramètres!$A$1:$I$89,3,0)*VLOOKUP('Données projet'!$B$11,Paramètres!$A$1:$I$89,5,0)</f>
        <v>260.76335999999918</v>
      </c>
      <c r="BF151" s="14">
        <f t="shared" si="145"/>
        <v>62.885067686031789</v>
      </c>
      <c r="BG151" s="22">
        <f t="shared" si="115"/>
        <v>563.68767821983727</v>
      </c>
      <c r="BH151" s="62">
        <f t="shared" si="116"/>
        <v>857.02101155317064</v>
      </c>
      <c r="BI151" s="62">
        <f ca="1">AVERAGE(OFFSET($BH$3,0,0,'Données projet'!$E$11+1,1))-AVERAGE(OFFSET($H$3,0,0,'Données projet'!$E$11+1,1))</f>
        <v>312.29553270286209</v>
      </c>
      <c r="BJ151" s="62">
        <f t="shared" si="146"/>
        <v>175.8423124483154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3.4106051316484809E-13</v>
      </c>
      <c r="BZ151" s="14">
        <f>BY151*VLOOKUP('Données projet'!$B$12,Paramètres!$A$1:$I$89,3,0)*VLOOKUP('Données projet'!$B$12,Paramètres!$A$1:$I$89,5,0)</f>
        <v>2.5006556825246659E-13</v>
      </c>
      <c r="CA151" s="14">
        <f t="shared" si="147"/>
        <v>3.3765445850268018E-12</v>
      </c>
      <c r="CB151" s="22">
        <f t="shared" si="118"/>
        <v>6.3163460169613921E-12</v>
      </c>
      <c r="CC151" s="62">
        <f t="shared" si="119"/>
        <v>293.33333333333962</v>
      </c>
      <c r="CD151" s="62">
        <f ca="1">AVERAGE(OFFSET($CC$3,0,0,'Données projet'!$E$12+1,1))-AVERAGE(OFFSET($H$3,0,0,'Données projet'!$E$12+1,1))</f>
        <v>217.14170654868826</v>
      </c>
      <c r="CE151" s="62">
        <f t="shared" si="148"/>
        <v>202.59844364241644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73.60599999999998</v>
      </c>
      <c r="D152" s="12">
        <f t="shared" si="140"/>
        <v>20.566319754530966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726.94422266655465</v>
      </c>
      <c r="H152" s="70">
        <f t="shared" si="110"/>
        <v>457.35012357247467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3.979039320256561E-13</v>
      </c>
      <c r="O152" s="14">
        <f>N152*VLOOKUP('Données projet'!$B$9,Paramètres!$A$1:$I$89,3,0)*VLOOKUP('Données projet'!$B$9,Paramètres!$A$1:$I$89,5,0)</f>
        <v>2.2760104911867532E-13</v>
      </c>
      <c r="P152" s="14">
        <f t="shared" si="141"/>
        <v>3.1070714519279848E-12</v>
      </c>
      <c r="Q152" s="22">
        <f t="shared" si="108"/>
        <v>5.8078879393229322E-12</v>
      </c>
      <c r="R152" s="62">
        <f t="shared" si="109"/>
        <v>293.33333333333911</v>
      </c>
      <c r="S152" s="62">
        <f ca="1">AVERAGE(OFFSET($R$3,0,0,'Données projet'!$E$9+1,1))-AVERAGE(OFFSET($H$3,0,0,'Données projet'!$E$9+1,1))</f>
        <v>183.98573418698061</v>
      </c>
      <c r="T152" s="62">
        <f t="shared" si="142"/>
        <v>158.42298722045609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294.57089926309249</v>
      </c>
      <c r="AO152" s="62">
        <f t="shared" si="144"/>
        <v>221.0956883062172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2.4</v>
      </c>
      <c r="BD152" s="13">
        <f>IF('Données projet'!$A$88&gt;35,BD151+BC152-BL151,IF(A152&lt;'Données projet'!$A$88,$BA$205^A152,IF(A152='Données projet'!$A$88,'Données projet'!$B$88,BD151+BC152-BL151)))</f>
        <v>290.59999999999906</v>
      </c>
      <c r="BE152" s="14">
        <f>BD152*VLOOKUP('Données projet'!$B$11,Paramètres!$A$1:$I$89,3,0)*VLOOKUP('Données projet'!$B$11,Paramètres!$A$1:$I$89,5,0)</f>
        <v>262.93487999999911</v>
      </c>
      <c r="BF152" s="14">
        <f t="shared" si="145"/>
        <v>63.347566493432595</v>
      </c>
      <c r="BG152" s="22">
        <f t="shared" si="115"/>
        <v>568.27526097606028</v>
      </c>
      <c r="BH152" s="62">
        <f t="shared" si="116"/>
        <v>861.60859430939354</v>
      </c>
      <c r="BI152" s="62">
        <f ca="1">AVERAGE(OFFSET($BH$3,0,0,'Données projet'!$E$11+1,1))-AVERAGE(OFFSET($H$3,0,0,'Données projet'!$E$11+1,1))</f>
        <v>312.29553270286209</v>
      </c>
      <c r="BJ152" s="62">
        <f t="shared" si="146"/>
        <v>175.8423124483154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3.4106051316484809E-13</v>
      </c>
      <c r="BZ152" s="14">
        <f>BY152*VLOOKUP('Données projet'!$B$12,Paramètres!$A$1:$I$89,3,0)*VLOOKUP('Données projet'!$B$12,Paramètres!$A$1:$I$89,5,0)</f>
        <v>2.5006556825246659E-13</v>
      </c>
      <c r="CA152" s="14">
        <f t="shared" si="147"/>
        <v>3.3765445850268018E-12</v>
      </c>
      <c r="CB152" s="22">
        <f t="shared" si="118"/>
        <v>6.3163460169613921E-12</v>
      </c>
      <c r="CC152" s="62">
        <f t="shared" si="119"/>
        <v>293.33333333333962</v>
      </c>
      <c r="CD152" s="62">
        <f ca="1">AVERAGE(OFFSET($CC$3,0,0,'Données projet'!$E$12+1,1))-AVERAGE(OFFSET($H$3,0,0,'Données projet'!$E$12+1,1))</f>
        <v>217.14170654868826</v>
      </c>
      <c r="CE152" s="62">
        <f t="shared" si="148"/>
        <v>202.59844364241644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74.09999999999998</v>
      </c>
      <c r="D153" s="12">
        <f t="shared" si="140"/>
        <v>20.688234651093431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731.69865344703669</v>
      </c>
      <c r="H153" s="70">
        <f t="shared" si="110"/>
        <v>458.42284201732099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3.979039320256561E-13</v>
      </c>
      <c r="O153" s="14">
        <f>N153*VLOOKUP('Données projet'!$B$9,Paramètres!$A$1:$I$89,3,0)*VLOOKUP('Données projet'!$B$9,Paramètres!$A$1:$I$89,5,0)</f>
        <v>2.2760104911867532E-13</v>
      </c>
      <c r="P153" s="14">
        <f t="shared" si="141"/>
        <v>3.1070714519279848E-12</v>
      </c>
      <c r="Q153" s="22">
        <f t="shared" si="108"/>
        <v>5.8078879393229322E-12</v>
      </c>
      <c r="R153" s="62">
        <f t="shared" si="109"/>
        <v>293.33333333333911</v>
      </c>
      <c r="S153" s="62">
        <f ca="1">AVERAGE(OFFSET($R$3,0,0,'Données projet'!$E$9+1,1))-AVERAGE(OFFSET($H$3,0,0,'Données projet'!$E$9+1,1))</f>
        <v>183.98573418698061</v>
      </c>
      <c r="T153" s="62">
        <f t="shared" si="142"/>
        <v>158.42298722045609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294.57089926309249</v>
      </c>
      <c r="AO153" s="62">
        <f t="shared" si="144"/>
        <v>221.0956883062172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>
        <f>VLOOKUP(A153,'Données projet'!$A$87:$I$107,2,0)</f>
        <v>293</v>
      </c>
      <c r="BB153" s="13">
        <f>VLOOKUP(A153,'Données projet'!$A$87:$I$107,9,0)</f>
        <v>2.4</v>
      </c>
      <c r="BC153" s="13">
        <f t="array" ref="BC153">INDEX(BB:BB,MIN(IF(ISNUMBER(BB153:BB349),ROW(BB153:BB349),"")))</f>
        <v>2.4</v>
      </c>
      <c r="BD153" s="13">
        <f>IF('Données projet'!$A$88&gt;35,BD152+BC153-BL152,IF(A153&lt;'Données projet'!$A$88,$BA$205^A153,IF(A153='Données projet'!$A$88,'Données projet'!$B$88,BD152+BC153-BL152)))</f>
        <v>292.99999999999903</v>
      </c>
      <c r="BE153" s="14">
        <f>BD153*VLOOKUP('Données projet'!$B$11,Paramètres!$A$1:$I$89,3,0)*VLOOKUP('Données projet'!$B$11,Paramètres!$A$1:$I$89,5,0)</f>
        <v>265.1063999999991</v>
      </c>
      <c r="BF153" s="14">
        <f t="shared" si="145"/>
        <v>63.809620899125136</v>
      </c>
      <c r="BG153" s="22">
        <f t="shared" si="115"/>
        <v>572.86206973264132</v>
      </c>
      <c r="BH153" s="62">
        <f t="shared" si="116"/>
        <v>866.19540306597469</v>
      </c>
      <c r="BI153" s="62">
        <f ca="1">AVERAGE(OFFSET($BH$3,0,0,'Données projet'!$E$11+1,1))-AVERAGE(OFFSET($H$3,0,0,'Données projet'!$E$11+1,1))</f>
        <v>312.29553270286209</v>
      </c>
      <c r="BJ153" s="62">
        <f t="shared" si="146"/>
        <v>175.8423124483154</v>
      </c>
      <c r="BK153" s="16">
        <f>IF(ISNA(VLOOKUP(A153,'Données projet'!$A$87:$I$107,3,0)),0,VLOOKUP(A153,'Données projet'!$A$87:$I$107,3,0))</f>
        <v>13</v>
      </c>
      <c r="BL153" s="16">
        <f>IF(ISNA(VLOOKUP(A153,'Données projet'!$A$87:$I$107,4,0)),0,VLOOKUP(A153,'Données projet'!$A$87:$I$107,4,0))</f>
        <v>293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3.4106051316484809E-13</v>
      </c>
      <c r="BZ153" s="14">
        <f>BY153*VLOOKUP('Données projet'!$B$12,Paramètres!$A$1:$I$89,3,0)*VLOOKUP('Données projet'!$B$12,Paramètres!$A$1:$I$89,5,0)</f>
        <v>2.5006556825246659E-13</v>
      </c>
      <c r="CA153" s="14">
        <f t="shared" si="147"/>
        <v>3.3765445850268018E-12</v>
      </c>
      <c r="CB153" s="22">
        <f t="shared" si="118"/>
        <v>6.3163460169613921E-12</v>
      </c>
      <c r="CC153" s="62">
        <f t="shared" si="119"/>
        <v>293.33333333333962</v>
      </c>
      <c r="CD153" s="62">
        <f ca="1">AVERAGE(OFFSET($CC$3,0,0,'Données projet'!$E$12+1,1))-AVERAGE(OFFSET($H$3,0,0,'Données projet'!$E$12+1,1))</f>
        <v>217.14170654868826</v>
      </c>
      <c r="CE153" s="62">
        <f t="shared" si="148"/>
        <v>202.59844364241644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74.59399999999998</v>
      </c>
      <c r="D154" s="12">
        <f t="shared" si="140"/>
        <v>20.810054977652769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736.45235421345978</v>
      </c>
      <c r="H154" s="70">
        <f t="shared" si="110"/>
        <v>459.49539575274514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3.979039320256561E-13</v>
      </c>
      <c r="O154" s="14">
        <f>N154*VLOOKUP('Données projet'!$B$9,Paramètres!$A$1:$I$89,3,0)*VLOOKUP('Données projet'!$B$9,Paramètres!$A$1:$I$89,5,0)</f>
        <v>2.2760104911867532E-13</v>
      </c>
      <c r="P154" s="14">
        <f t="shared" si="141"/>
        <v>3.1070714519279848E-12</v>
      </c>
      <c r="Q154" s="22">
        <f t="shared" ref="Q154:Q203" si="162">(O154+P154)*0.475*44/12</f>
        <v>5.8078879393229322E-12</v>
      </c>
      <c r="R154" s="62">
        <f t="shared" si="109"/>
        <v>293.33333333333911</v>
      </c>
      <c r="S154" s="62">
        <f ca="1">AVERAGE(OFFSET($R$3,0,0,'Données projet'!$E$9+1,1))-AVERAGE(OFFSET($H$3,0,0,'Données projet'!$E$9+1,1))</f>
        <v>183.98573418698061</v>
      </c>
      <c r="T154" s="62">
        <f t="shared" si="142"/>
        <v>158.42298722045609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294.57089926309249</v>
      </c>
      <c r="AO154" s="62">
        <f t="shared" si="144"/>
        <v>221.0956883062172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-9.6633812063373625E-13</v>
      </c>
      <c r="BE154" s="14">
        <f>BD154*VLOOKUP('Données projet'!$B$11,Paramètres!$A$1:$I$89,3,0)*VLOOKUP('Données projet'!$B$11,Paramètres!$A$1:$I$89,5,0)</f>
        <v>-8.7434273154940449E-13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312.29553270286209</v>
      </c>
      <c r="BJ154" s="62">
        <f t="shared" si="146"/>
        <v>175.8423124483154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3.4106051316484809E-13</v>
      </c>
      <c r="BZ154" s="14">
        <f>BY154*VLOOKUP('Données projet'!$B$12,Paramètres!$A$1:$I$89,3,0)*VLOOKUP('Données projet'!$B$12,Paramètres!$A$1:$I$89,5,0)</f>
        <v>2.5006556825246659E-13</v>
      </c>
      <c r="CA154" s="14">
        <f t="shared" ref="CA154:CA203" si="170">EXP(-1.0587+0.8836*LN(BZ154)+0.284)</f>
        <v>3.3765445850268018E-12</v>
      </c>
      <c r="CB154" s="22">
        <f t="shared" ref="CB154:CB203" si="171">(BZ154+CA154)*0.475*44/12</f>
        <v>6.3163460169613921E-12</v>
      </c>
      <c r="CC154" s="62">
        <f t="shared" si="119"/>
        <v>293.33333333333962</v>
      </c>
      <c r="CD154" s="62">
        <f ca="1">AVERAGE(OFFSET($CC$3,0,0,'Données projet'!$E$12+1,1))-AVERAGE(OFFSET($H$3,0,0,'Données projet'!$E$12+1,1))</f>
        <v>217.14170654868826</v>
      </c>
      <c r="CE154" s="62">
        <f t="shared" si="148"/>
        <v>202.59844364241644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75.08799999999998</v>
      </c>
      <c r="D155" s="12">
        <f t="shared" si="140"/>
        <v>20.931781433141548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741.20533036109248</v>
      </c>
      <c r="H155" s="70">
        <f t="shared" si="110"/>
        <v>460.56778599605479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3.979039320256561E-13</v>
      </c>
      <c r="O155" s="14">
        <f>N155*VLOOKUP('Données projet'!$B$9,Paramètres!$A$1:$I$89,3,0)*VLOOKUP('Données projet'!$B$9,Paramètres!$A$1:$I$89,5,0)</f>
        <v>2.2760104911867532E-13</v>
      </c>
      <c r="P155" s="14">
        <f t="shared" si="141"/>
        <v>3.1070714519279848E-12</v>
      </c>
      <c r="Q155" s="22">
        <f t="shared" si="162"/>
        <v>5.8078879393229322E-12</v>
      </c>
      <c r="R155" s="62">
        <f t="shared" si="109"/>
        <v>293.33333333333911</v>
      </c>
      <c r="S155" s="62">
        <f ca="1">AVERAGE(OFFSET($R$3,0,0,'Données projet'!$E$9+1,1))-AVERAGE(OFFSET($H$3,0,0,'Données projet'!$E$9+1,1))</f>
        <v>183.98573418698061</v>
      </c>
      <c r="T155" s="62">
        <f t="shared" si="142"/>
        <v>158.42298722045609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294.57089926309249</v>
      </c>
      <c r="AO155" s="62">
        <f t="shared" si="144"/>
        <v>221.0956883062172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-9.6633812063373625E-13</v>
      </c>
      <c r="BE155" s="14">
        <f>BD155*VLOOKUP('Données projet'!$B$11,Paramètres!$A$1:$I$89,3,0)*VLOOKUP('Données projet'!$B$11,Paramètres!$A$1:$I$89,5,0)</f>
        <v>-8.7434273154940449E-13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312.29553270286209</v>
      </c>
      <c r="BJ155" s="62">
        <f t="shared" si="146"/>
        <v>175.8423124483154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3.4106051316484809E-13</v>
      </c>
      <c r="BZ155" s="14">
        <f>BY155*VLOOKUP('Données projet'!$B$12,Paramètres!$A$1:$I$89,3,0)*VLOOKUP('Données projet'!$B$12,Paramètres!$A$1:$I$89,5,0)</f>
        <v>2.5006556825246659E-13</v>
      </c>
      <c r="CA155" s="14">
        <f t="shared" si="170"/>
        <v>3.3765445850268018E-12</v>
      </c>
      <c r="CB155" s="22">
        <f t="shared" si="171"/>
        <v>6.3163460169613921E-12</v>
      </c>
      <c r="CC155" s="62">
        <f t="shared" si="119"/>
        <v>293.33333333333962</v>
      </c>
      <c r="CD155" s="62">
        <f ca="1">AVERAGE(OFFSET($CC$3,0,0,'Données projet'!$E$12+1,1))-AVERAGE(OFFSET($H$3,0,0,'Données projet'!$E$12+1,1))</f>
        <v>217.14170654868826</v>
      </c>
      <c r="CE155" s="62">
        <f t="shared" si="148"/>
        <v>202.59844364241644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75.581999999999979</v>
      </c>
      <c r="D156" s="12">
        <f t="shared" si="140"/>
        <v>21.053414706764119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745.95758721010895</v>
      </c>
      <c r="H156" s="70">
        <f t="shared" si="110"/>
        <v>461.64001394761408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3.979039320256561E-13</v>
      </c>
      <c r="O156" s="14">
        <f>N156*VLOOKUP('Données projet'!$B$9,Paramètres!$A$1:$I$89,3,0)*VLOOKUP('Données projet'!$B$9,Paramètres!$A$1:$I$89,5,0)</f>
        <v>2.2760104911867532E-13</v>
      </c>
      <c r="P156" s="14">
        <f t="shared" si="141"/>
        <v>3.1070714519279848E-12</v>
      </c>
      <c r="Q156" s="22">
        <f t="shared" si="162"/>
        <v>5.8078879393229322E-12</v>
      </c>
      <c r="R156" s="62">
        <f t="shared" si="109"/>
        <v>293.33333333333911</v>
      </c>
      <c r="S156" s="62">
        <f ca="1">AVERAGE(OFFSET($R$3,0,0,'Données projet'!$E$9+1,1))-AVERAGE(OFFSET($H$3,0,0,'Données projet'!$E$9+1,1))</f>
        <v>183.98573418698061</v>
      </c>
      <c r="T156" s="62">
        <f t="shared" si="142"/>
        <v>158.42298722045609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294.57089926309249</v>
      </c>
      <c r="AO156" s="62">
        <f t="shared" si="144"/>
        <v>221.0956883062172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-9.6633812063373625E-13</v>
      </c>
      <c r="BE156" s="14">
        <f>BD156*VLOOKUP('Données projet'!$B$11,Paramètres!$A$1:$I$89,3,0)*VLOOKUP('Données projet'!$B$11,Paramètres!$A$1:$I$89,5,0)</f>
        <v>-8.7434273154940449E-13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312.29553270286209</v>
      </c>
      <c r="BJ156" s="62">
        <f t="shared" si="146"/>
        <v>175.8423124483154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3.4106051316484809E-13</v>
      </c>
      <c r="BZ156" s="14">
        <f>BY156*VLOOKUP('Données projet'!$B$12,Paramètres!$A$1:$I$89,3,0)*VLOOKUP('Données projet'!$B$12,Paramètres!$A$1:$I$89,5,0)</f>
        <v>2.5006556825246659E-13</v>
      </c>
      <c r="CA156" s="14">
        <f t="shared" si="170"/>
        <v>3.3765445850268018E-12</v>
      </c>
      <c r="CB156" s="22">
        <f t="shared" si="171"/>
        <v>6.3163460169613921E-12</v>
      </c>
      <c r="CC156" s="62">
        <f t="shared" si="119"/>
        <v>293.33333333333962</v>
      </c>
      <c r="CD156" s="62">
        <f ca="1">AVERAGE(OFFSET($CC$3,0,0,'Données projet'!$E$12+1,1))-AVERAGE(OFFSET($H$3,0,0,'Données projet'!$E$12+1,1))</f>
        <v>217.14170654868826</v>
      </c>
      <c r="CE156" s="62">
        <f t="shared" si="148"/>
        <v>202.59844364241644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76.075999999999979</v>
      </c>
      <c r="D157" s="12">
        <f t="shared" si="140"/>
        <v>21.174955478194743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750.70913000711732</v>
      </c>
      <c r="H157" s="70">
        <f t="shared" si="110"/>
        <v>462.71208079118912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3.979039320256561E-13</v>
      </c>
      <c r="O157" s="14">
        <f>N157*VLOOKUP('Données projet'!$B$9,Paramètres!$A$1:$I$89,3,0)*VLOOKUP('Données projet'!$B$9,Paramètres!$A$1:$I$89,5,0)</f>
        <v>2.2760104911867532E-13</v>
      </c>
      <c r="P157" s="14">
        <f t="shared" si="141"/>
        <v>3.1070714519279848E-12</v>
      </c>
      <c r="Q157" s="22">
        <f t="shared" si="162"/>
        <v>5.8078879393229322E-12</v>
      </c>
      <c r="R157" s="62">
        <f t="shared" si="109"/>
        <v>293.33333333333911</v>
      </c>
      <c r="S157" s="62">
        <f ca="1">AVERAGE(OFFSET($R$3,0,0,'Données projet'!$E$9+1,1))-AVERAGE(OFFSET($H$3,0,0,'Données projet'!$E$9+1,1))</f>
        <v>183.98573418698061</v>
      </c>
      <c r="T157" s="62">
        <f t="shared" si="142"/>
        <v>158.42298722045609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294.57089926309249</v>
      </c>
      <c r="AO157" s="62">
        <f t="shared" si="144"/>
        <v>221.0956883062172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-9.6633812063373625E-13</v>
      </c>
      <c r="BE157" s="14">
        <f>BD157*VLOOKUP('Données projet'!$B$11,Paramètres!$A$1:$I$89,3,0)*VLOOKUP('Données projet'!$B$11,Paramètres!$A$1:$I$89,5,0)</f>
        <v>-8.7434273154940449E-13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312.29553270286209</v>
      </c>
      <c r="BJ157" s="62">
        <f t="shared" si="146"/>
        <v>175.8423124483154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3.4106051316484809E-13</v>
      </c>
      <c r="BZ157" s="14">
        <f>BY157*VLOOKUP('Données projet'!$B$12,Paramètres!$A$1:$I$89,3,0)*VLOOKUP('Données projet'!$B$12,Paramètres!$A$1:$I$89,5,0)</f>
        <v>2.5006556825246659E-13</v>
      </c>
      <c r="CA157" s="14">
        <f t="shared" si="170"/>
        <v>3.3765445850268018E-12</v>
      </c>
      <c r="CB157" s="22">
        <f t="shared" si="171"/>
        <v>6.3163460169613921E-12</v>
      </c>
      <c r="CC157" s="62">
        <f t="shared" si="119"/>
        <v>293.33333333333962</v>
      </c>
      <c r="CD157" s="62">
        <f ca="1">AVERAGE(OFFSET($CC$3,0,0,'Données projet'!$E$12+1,1))-AVERAGE(OFFSET($H$3,0,0,'Données projet'!$E$12+1,1))</f>
        <v>217.14170654868826</v>
      </c>
      <c r="CE157" s="62">
        <f t="shared" si="148"/>
        <v>202.59844364241644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76.569999999999979</v>
      </c>
      <c r="D158" s="12">
        <f t="shared" si="140"/>
        <v>21.296404417770301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755.4599639266479</v>
      </c>
      <c r="H158" s="70">
        <f t="shared" si="110"/>
        <v>463.78398769428327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3.979039320256561E-13</v>
      </c>
      <c r="O158" s="14">
        <f>N158*VLOOKUP('Données projet'!$B$9,Paramètres!$A$1:$I$89,3,0)*VLOOKUP('Données projet'!$B$9,Paramètres!$A$1:$I$89,5,0)</f>
        <v>2.2760104911867532E-13</v>
      </c>
      <c r="P158" s="14">
        <f t="shared" si="141"/>
        <v>3.1070714519279848E-12</v>
      </c>
      <c r="Q158" s="22">
        <f t="shared" si="162"/>
        <v>5.8078879393229322E-12</v>
      </c>
      <c r="R158" s="62">
        <f t="shared" si="109"/>
        <v>293.33333333333911</v>
      </c>
      <c r="S158" s="62">
        <f ca="1">AVERAGE(OFFSET($R$3,0,0,'Données projet'!$E$9+1,1))-AVERAGE(OFFSET($H$3,0,0,'Données projet'!$E$9+1,1))</f>
        <v>183.98573418698061</v>
      </c>
      <c r="T158" s="62">
        <f t="shared" si="142"/>
        <v>158.42298722045609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294.57089926309249</v>
      </c>
      <c r="AO158" s="62">
        <f t="shared" si="144"/>
        <v>221.0956883062172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-9.6633812063373625E-13</v>
      </c>
      <c r="BE158" s="14">
        <f>BD158*VLOOKUP('Données projet'!$B$11,Paramètres!$A$1:$I$89,3,0)*VLOOKUP('Données projet'!$B$11,Paramètres!$A$1:$I$89,5,0)</f>
        <v>-8.7434273154940449E-13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312.29553270286209</v>
      </c>
      <c r="BJ158" s="62">
        <f t="shared" si="146"/>
        <v>175.8423124483154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3.4106051316484809E-13</v>
      </c>
      <c r="BZ158" s="14">
        <f>BY158*VLOOKUP('Données projet'!$B$12,Paramètres!$A$1:$I$89,3,0)*VLOOKUP('Données projet'!$B$12,Paramètres!$A$1:$I$89,5,0)</f>
        <v>2.5006556825246659E-13</v>
      </c>
      <c r="CA158" s="14">
        <f t="shared" si="170"/>
        <v>3.3765445850268018E-12</v>
      </c>
      <c r="CB158" s="22">
        <f t="shared" si="171"/>
        <v>6.3163460169613921E-12</v>
      </c>
      <c r="CC158" s="62">
        <f t="shared" si="119"/>
        <v>293.33333333333962</v>
      </c>
      <c r="CD158" s="62">
        <f ca="1">AVERAGE(OFFSET($CC$3,0,0,'Données projet'!$E$12+1,1))-AVERAGE(OFFSET($H$3,0,0,'Données projet'!$E$12+1,1))</f>
        <v>217.14170654868826</v>
      </c>
      <c r="CE158" s="62">
        <f t="shared" si="148"/>
        <v>202.59844364241644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77.063999999999979</v>
      </c>
      <c r="D159" s="12">
        <f t="shared" si="140"/>
        <v>21.417762186678065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760.21009407260237</v>
      </c>
      <c r="H159" s="70">
        <f t="shared" si="110"/>
        <v>464.85573580846426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3.979039320256561E-13</v>
      </c>
      <c r="O159" s="14">
        <f>N159*VLOOKUP('Données projet'!$B$9,Paramètres!$A$1:$I$89,3,0)*VLOOKUP('Données projet'!$B$9,Paramètres!$A$1:$I$89,5,0)</f>
        <v>2.2760104911867532E-13</v>
      </c>
      <c r="P159" s="14">
        <f t="shared" si="141"/>
        <v>3.1070714519279848E-12</v>
      </c>
      <c r="Q159" s="22">
        <f t="shared" si="162"/>
        <v>5.8078879393229322E-12</v>
      </c>
      <c r="R159" s="62">
        <f t="shared" si="109"/>
        <v>293.33333333333911</v>
      </c>
      <c r="S159" s="62">
        <f ca="1">AVERAGE(OFFSET($R$3,0,0,'Données projet'!$E$9+1,1))-AVERAGE(OFFSET($H$3,0,0,'Données projet'!$E$9+1,1))</f>
        <v>183.98573418698061</v>
      </c>
      <c r="T159" s="62">
        <f t="shared" si="142"/>
        <v>158.42298722045609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294.57089926309249</v>
      </c>
      <c r="AO159" s="62">
        <f t="shared" si="144"/>
        <v>221.0956883062172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-9.6633812063373625E-13</v>
      </c>
      <c r="BE159" s="14">
        <f>BD159*VLOOKUP('Données projet'!$B$11,Paramètres!$A$1:$I$89,3,0)*VLOOKUP('Données projet'!$B$11,Paramètres!$A$1:$I$89,5,0)</f>
        <v>-8.7434273154940449E-13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312.29553270286209</v>
      </c>
      <c r="BJ159" s="62">
        <f t="shared" si="146"/>
        <v>175.8423124483154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3.4106051316484809E-13</v>
      </c>
      <c r="BZ159" s="14">
        <f>BY159*VLOOKUP('Données projet'!$B$12,Paramètres!$A$1:$I$89,3,0)*VLOOKUP('Données projet'!$B$12,Paramètres!$A$1:$I$89,5,0)</f>
        <v>2.5006556825246659E-13</v>
      </c>
      <c r="CA159" s="14">
        <f t="shared" si="170"/>
        <v>3.3765445850268018E-12</v>
      </c>
      <c r="CB159" s="22">
        <f t="shared" si="171"/>
        <v>6.3163460169613921E-12</v>
      </c>
      <c r="CC159" s="62">
        <f t="shared" si="119"/>
        <v>293.33333333333962</v>
      </c>
      <c r="CD159" s="62">
        <f ca="1">AVERAGE(OFFSET($CC$3,0,0,'Données projet'!$E$12+1,1))-AVERAGE(OFFSET($H$3,0,0,'Données projet'!$E$12+1,1))</f>
        <v>217.14170654868826</v>
      </c>
      <c r="CE159" s="62">
        <f t="shared" si="148"/>
        <v>202.59844364241644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77.557999999999979</v>
      </c>
      <c r="D160" s="12">
        <f t="shared" si="140"/>
        <v>21.539029437138336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764.95952547966419</v>
      </c>
      <c r="H160" s="70">
        <f t="shared" si="110"/>
        <v>465.92732626968257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3.979039320256561E-13</v>
      </c>
      <c r="O160" s="14">
        <f>N160*VLOOKUP('Données projet'!$B$9,Paramètres!$A$1:$I$89,3,0)*VLOOKUP('Données projet'!$B$9,Paramètres!$A$1:$I$89,5,0)</f>
        <v>2.2760104911867532E-13</v>
      </c>
      <c r="P160" s="14">
        <f t="shared" si="141"/>
        <v>3.1070714519279848E-12</v>
      </c>
      <c r="Q160" s="22">
        <f t="shared" si="162"/>
        <v>5.8078879393229322E-12</v>
      </c>
      <c r="R160" s="62">
        <f t="shared" si="109"/>
        <v>293.33333333333911</v>
      </c>
      <c r="S160" s="62">
        <f ca="1">AVERAGE(OFFSET($R$3,0,0,'Données projet'!$E$9+1,1))-AVERAGE(OFFSET($H$3,0,0,'Données projet'!$E$9+1,1))</f>
        <v>183.98573418698061</v>
      </c>
      <c r="T160" s="62">
        <f t="shared" si="142"/>
        <v>158.42298722045609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294.57089926309249</v>
      </c>
      <c r="AO160" s="62">
        <f t="shared" si="144"/>
        <v>221.0956883062172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-9.6633812063373625E-13</v>
      </c>
      <c r="BE160" s="14">
        <f>BD160*VLOOKUP('Données projet'!$B$11,Paramètres!$A$1:$I$89,3,0)*VLOOKUP('Données projet'!$B$11,Paramètres!$A$1:$I$89,5,0)</f>
        <v>-8.7434273154940449E-13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312.29553270286209</v>
      </c>
      <c r="BJ160" s="62">
        <f t="shared" si="146"/>
        <v>175.8423124483154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3.4106051316484809E-13</v>
      </c>
      <c r="BZ160" s="14">
        <f>BY160*VLOOKUP('Données projet'!$B$12,Paramètres!$A$1:$I$89,3,0)*VLOOKUP('Données projet'!$B$12,Paramètres!$A$1:$I$89,5,0)</f>
        <v>2.5006556825246659E-13</v>
      </c>
      <c r="CA160" s="14">
        <f t="shared" si="170"/>
        <v>3.3765445850268018E-12</v>
      </c>
      <c r="CB160" s="22">
        <f t="shared" si="171"/>
        <v>6.3163460169613921E-12</v>
      </c>
      <c r="CC160" s="62">
        <f t="shared" si="119"/>
        <v>293.33333333333962</v>
      </c>
      <c r="CD160" s="62">
        <f ca="1">AVERAGE(OFFSET($CC$3,0,0,'Données projet'!$E$12+1,1))-AVERAGE(OFFSET($H$3,0,0,'Données projet'!$E$12+1,1))</f>
        <v>217.14170654868826</v>
      </c>
      <c r="CE160" s="62">
        <f t="shared" si="148"/>
        <v>202.59844364241644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78.051999999999978</v>
      </c>
      <c r="D161" s="12">
        <f t="shared" si="140"/>
        <v>21.660206812582402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769.70826311467101</v>
      </c>
      <c r="H161" s="70">
        <f t="shared" si="110"/>
        <v>466.99876019858095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3.979039320256561E-13</v>
      </c>
      <c r="O161" s="14">
        <f>N161*VLOOKUP('Données projet'!$B$9,Paramètres!$A$1:$I$89,3,0)*VLOOKUP('Données projet'!$B$9,Paramètres!$A$1:$I$89,5,0)</f>
        <v>2.2760104911867532E-13</v>
      </c>
      <c r="P161" s="14">
        <f t="shared" si="141"/>
        <v>3.1070714519279848E-12</v>
      </c>
      <c r="Q161" s="22">
        <f t="shared" si="162"/>
        <v>5.8078879393229322E-12</v>
      </c>
      <c r="R161" s="62">
        <f t="shared" si="109"/>
        <v>293.33333333333911</v>
      </c>
      <c r="S161" s="62">
        <f ca="1">AVERAGE(OFFSET($R$3,0,0,'Données projet'!$E$9+1,1))-AVERAGE(OFFSET($H$3,0,0,'Données projet'!$E$9+1,1))</f>
        <v>183.98573418698061</v>
      </c>
      <c r="T161" s="62">
        <f t="shared" si="142"/>
        <v>158.42298722045609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294.57089926309249</v>
      </c>
      <c r="AO161" s="62">
        <f t="shared" si="144"/>
        <v>221.0956883062172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-9.6633812063373625E-13</v>
      </c>
      <c r="BE161" s="14">
        <f>BD161*VLOOKUP('Données projet'!$B$11,Paramètres!$A$1:$I$89,3,0)*VLOOKUP('Données projet'!$B$11,Paramètres!$A$1:$I$89,5,0)</f>
        <v>-8.7434273154940449E-13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312.29553270286209</v>
      </c>
      <c r="BJ161" s="62">
        <f t="shared" si="146"/>
        <v>175.8423124483154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3.4106051316484809E-13</v>
      </c>
      <c r="BZ161" s="14">
        <f>BY161*VLOOKUP('Données projet'!$B$12,Paramètres!$A$1:$I$89,3,0)*VLOOKUP('Données projet'!$B$12,Paramètres!$A$1:$I$89,5,0)</f>
        <v>2.5006556825246659E-13</v>
      </c>
      <c r="CA161" s="14">
        <f t="shared" si="170"/>
        <v>3.3765445850268018E-12</v>
      </c>
      <c r="CB161" s="22">
        <f t="shared" si="171"/>
        <v>6.3163460169613921E-12</v>
      </c>
      <c r="CC161" s="62">
        <f t="shared" si="119"/>
        <v>293.33333333333962</v>
      </c>
      <c r="CD161" s="62">
        <f ca="1">AVERAGE(OFFSET($CC$3,0,0,'Données projet'!$E$12+1,1))-AVERAGE(OFFSET($H$3,0,0,'Données projet'!$E$12+1,1))</f>
        <v>217.14170654868826</v>
      </c>
      <c r="CE161" s="62">
        <f t="shared" si="148"/>
        <v>202.59844364241644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78.545999999999978</v>
      </c>
      <c r="D162" s="12">
        <f t="shared" si="140"/>
        <v>21.781294947825838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774.45631187795368</v>
      </c>
      <c r="H162" s="70">
        <f t="shared" si="110"/>
        <v>468.0700387007966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3.979039320256561E-13</v>
      </c>
      <c r="O162" s="14">
        <f>N162*VLOOKUP('Données projet'!$B$9,Paramètres!$A$1:$I$89,3,0)*VLOOKUP('Données projet'!$B$9,Paramètres!$A$1:$I$89,5,0)</f>
        <v>2.2760104911867532E-13</v>
      </c>
      <c r="P162" s="14">
        <f t="shared" si="141"/>
        <v>3.1070714519279848E-12</v>
      </c>
      <c r="Q162" s="22">
        <f t="shared" si="162"/>
        <v>5.8078879393229322E-12</v>
      </c>
      <c r="R162" s="62">
        <f t="shared" si="109"/>
        <v>293.33333333333911</v>
      </c>
      <c r="S162" s="62">
        <f ca="1">AVERAGE(OFFSET($R$3,0,0,'Données projet'!$E$9+1,1))-AVERAGE(OFFSET($H$3,0,0,'Données projet'!$E$9+1,1))</f>
        <v>183.98573418698061</v>
      </c>
      <c r="T162" s="62">
        <f t="shared" si="142"/>
        <v>158.42298722045609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294.57089926309249</v>
      </c>
      <c r="AO162" s="62">
        <f t="shared" si="144"/>
        <v>221.0956883062172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-9.6633812063373625E-13</v>
      </c>
      <c r="BE162" s="14">
        <f>BD162*VLOOKUP('Données projet'!$B$11,Paramètres!$A$1:$I$89,3,0)*VLOOKUP('Données projet'!$B$11,Paramètres!$A$1:$I$89,5,0)</f>
        <v>-8.7434273154940449E-13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312.29553270286209</v>
      </c>
      <c r="BJ162" s="62">
        <f t="shared" si="146"/>
        <v>175.8423124483154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3.4106051316484809E-13</v>
      </c>
      <c r="BZ162" s="14">
        <f>BY162*VLOOKUP('Données projet'!$B$12,Paramètres!$A$1:$I$89,3,0)*VLOOKUP('Données projet'!$B$12,Paramètres!$A$1:$I$89,5,0)</f>
        <v>2.5006556825246659E-13</v>
      </c>
      <c r="CA162" s="14">
        <f t="shared" si="170"/>
        <v>3.3765445850268018E-12</v>
      </c>
      <c r="CB162" s="22">
        <f t="shared" si="171"/>
        <v>6.3163460169613921E-12</v>
      </c>
      <c r="CC162" s="62">
        <f t="shared" si="119"/>
        <v>293.33333333333962</v>
      </c>
      <c r="CD162" s="62">
        <f ca="1">AVERAGE(OFFSET($CC$3,0,0,'Données projet'!$E$12+1,1))-AVERAGE(OFFSET($H$3,0,0,'Données projet'!$E$12+1,1))</f>
        <v>217.14170654868826</v>
      </c>
      <c r="CE162" s="62">
        <f t="shared" si="148"/>
        <v>202.59844364241644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79.039999999999978</v>
      </c>
      <c r="D163" s="12">
        <f t="shared" si="140"/>
        <v>21.902294469237312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779.20367660463887</v>
      </c>
      <c r="H163" s="70">
        <f t="shared" si="110"/>
        <v>469.14116286725493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3.979039320256561E-13</v>
      </c>
      <c r="O163" s="14">
        <f>N163*VLOOKUP('Données projet'!$B$9,Paramètres!$A$1:$I$89,3,0)*VLOOKUP('Données projet'!$B$9,Paramètres!$A$1:$I$89,5,0)</f>
        <v>2.2760104911867532E-13</v>
      </c>
      <c r="P163" s="14">
        <f t="shared" si="141"/>
        <v>3.1070714519279848E-12</v>
      </c>
      <c r="Q163" s="22">
        <f t="shared" si="162"/>
        <v>5.8078879393229322E-12</v>
      </c>
      <c r="R163" s="62">
        <f t="shared" si="109"/>
        <v>293.33333333333911</v>
      </c>
      <c r="S163" s="62">
        <f ca="1">AVERAGE(OFFSET($R$3,0,0,'Données projet'!$E$9+1,1))-AVERAGE(OFFSET($H$3,0,0,'Données projet'!$E$9+1,1))</f>
        <v>183.98573418698061</v>
      </c>
      <c r="T163" s="62">
        <f t="shared" si="142"/>
        <v>158.42298722045609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294.57089926309249</v>
      </c>
      <c r="AO163" s="62">
        <f t="shared" si="144"/>
        <v>221.0956883062172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-9.6633812063373625E-13</v>
      </c>
      <c r="BE163" s="14">
        <f>BD163*VLOOKUP('Données projet'!$B$11,Paramètres!$A$1:$I$89,3,0)*VLOOKUP('Données projet'!$B$11,Paramètres!$A$1:$I$89,5,0)</f>
        <v>-8.7434273154940449E-13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312.29553270286209</v>
      </c>
      <c r="BJ163" s="62">
        <f t="shared" si="146"/>
        <v>175.8423124483154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3.4106051316484809E-13</v>
      </c>
      <c r="BZ163" s="14">
        <f>BY163*VLOOKUP('Données projet'!$B$12,Paramètres!$A$1:$I$89,3,0)*VLOOKUP('Données projet'!$B$12,Paramètres!$A$1:$I$89,5,0)</f>
        <v>2.5006556825246659E-13</v>
      </c>
      <c r="CA163" s="14">
        <f t="shared" si="170"/>
        <v>3.3765445850268018E-12</v>
      </c>
      <c r="CB163" s="22">
        <f t="shared" si="171"/>
        <v>6.3163460169613921E-12</v>
      </c>
      <c r="CC163" s="62">
        <f t="shared" si="119"/>
        <v>293.33333333333962</v>
      </c>
      <c r="CD163" s="62">
        <f ca="1">AVERAGE(OFFSET($CC$3,0,0,'Données projet'!$E$12+1,1))-AVERAGE(OFFSET($H$3,0,0,'Données projet'!$E$12+1,1))</f>
        <v>217.14170654868826</v>
      </c>
      <c r="CE163" s="62">
        <f t="shared" si="148"/>
        <v>202.59844364241644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79.533999999999978</v>
      </c>
      <c r="D164" s="12">
        <f t="shared" si="140"/>
        <v>22.023205994903069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783.95036206591828</v>
      </c>
      <c r="H164" s="70">
        <f t="shared" si="110"/>
        <v>470.21213377445611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3.979039320256561E-13</v>
      </c>
      <c r="O164" s="14">
        <f>N164*VLOOKUP('Données projet'!$B$9,Paramètres!$A$1:$I$89,3,0)*VLOOKUP('Données projet'!$B$9,Paramètres!$A$1:$I$89,5,0)</f>
        <v>2.2760104911867532E-13</v>
      </c>
      <c r="P164" s="14">
        <f t="shared" si="141"/>
        <v>3.1070714519279848E-12</v>
      </c>
      <c r="Q164" s="22">
        <f t="shared" si="162"/>
        <v>5.8078879393229322E-12</v>
      </c>
      <c r="R164" s="62">
        <f t="shared" si="109"/>
        <v>293.33333333333911</v>
      </c>
      <c r="S164" s="62">
        <f ca="1">AVERAGE(OFFSET($R$3,0,0,'Données projet'!$E$9+1,1))-AVERAGE(OFFSET($H$3,0,0,'Données projet'!$E$9+1,1))</f>
        <v>183.98573418698061</v>
      </c>
      <c r="T164" s="62">
        <f t="shared" si="142"/>
        <v>158.42298722045609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294.57089926309249</v>
      </c>
      <c r="AO164" s="62">
        <f t="shared" si="144"/>
        <v>221.0956883062172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-9.6633812063373625E-13</v>
      </c>
      <c r="BE164" s="14">
        <f>BD164*VLOOKUP('Données projet'!$B$11,Paramètres!$A$1:$I$89,3,0)*VLOOKUP('Données projet'!$B$11,Paramètres!$A$1:$I$89,5,0)</f>
        <v>-8.7434273154940449E-13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312.29553270286209</v>
      </c>
      <c r="BJ164" s="62">
        <f t="shared" si="146"/>
        <v>175.8423124483154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3.4106051316484809E-13</v>
      </c>
      <c r="BZ164" s="14">
        <f>BY164*VLOOKUP('Données projet'!$B$12,Paramètres!$A$1:$I$89,3,0)*VLOOKUP('Données projet'!$B$12,Paramètres!$A$1:$I$89,5,0)</f>
        <v>2.5006556825246659E-13</v>
      </c>
      <c r="CA164" s="14">
        <f t="shared" si="170"/>
        <v>3.3765445850268018E-12</v>
      </c>
      <c r="CB164" s="22">
        <f t="shared" si="171"/>
        <v>6.3163460169613921E-12</v>
      </c>
      <c r="CC164" s="62">
        <f t="shared" si="119"/>
        <v>293.33333333333962</v>
      </c>
      <c r="CD164" s="62">
        <f ca="1">AVERAGE(OFFSET($CC$3,0,0,'Données projet'!$E$12+1,1))-AVERAGE(OFFSET($H$3,0,0,'Données projet'!$E$12+1,1))</f>
        <v>217.14170654868826</v>
      </c>
      <c r="CE164" s="62">
        <f t="shared" si="148"/>
        <v>202.59844364241644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80.027999999999977</v>
      </c>
      <c r="D165" s="12">
        <f t="shared" si="140"/>
        <v>22.144030134787155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788.69637297028669</v>
      </c>
      <c r="H165" s="70">
        <f t="shared" si="110"/>
        <v>471.28295248475422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3.979039320256561E-13</v>
      </c>
      <c r="O165" s="14">
        <f>N165*VLOOKUP('Données projet'!$B$9,Paramètres!$A$1:$I$89,3,0)*VLOOKUP('Données projet'!$B$9,Paramètres!$A$1:$I$89,5,0)</f>
        <v>2.2760104911867532E-13</v>
      </c>
      <c r="P165" s="14">
        <f t="shared" si="141"/>
        <v>3.1070714519279848E-12</v>
      </c>
      <c r="Q165" s="22">
        <f t="shared" si="162"/>
        <v>5.8078879393229322E-12</v>
      </c>
      <c r="R165" s="62">
        <f t="shared" si="109"/>
        <v>293.33333333333911</v>
      </c>
      <c r="S165" s="62">
        <f ca="1">AVERAGE(OFFSET($R$3,0,0,'Données projet'!$E$9+1,1))-AVERAGE(OFFSET($H$3,0,0,'Données projet'!$E$9+1,1))</f>
        <v>183.98573418698061</v>
      </c>
      <c r="T165" s="62">
        <f t="shared" si="142"/>
        <v>158.42298722045609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294.57089926309249</v>
      </c>
      <c r="AO165" s="62">
        <f t="shared" si="144"/>
        <v>221.0956883062172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-9.6633812063373625E-13</v>
      </c>
      <c r="BE165" s="14">
        <f>BD165*VLOOKUP('Données projet'!$B$11,Paramètres!$A$1:$I$89,3,0)*VLOOKUP('Données projet'!$B$11,Paramètres!$A$1:$I$89,5,0)</f>
        <v>-8.7434273154940449E-13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312.29553270286209</v>
      </c>
      <c r="BJ165" s="62">
        <f t="shared" si="146"/>
        <v>175.8423124483154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3.4106051316484809E-13</v>
      </c>
      <c r="BZ165" s="14">
        <f>BY165*VLOOKUP('Données projet'!$B$12,Paramètres!$A$1:$I$89,3,0)*VLOOKUP('Données projet'!$B$12,Paramètres!$A$1:$I$89,5,0)</f>
        <v>2.5006556825246659E-13</v>
      </c>
      <c r="CA165" s="14">
        <f t="shared" si="170"/>
        <v>3.3765445850268018E-12</v>
      </c>
      <c r="CB165" s="22">
        <f t="shared" si="171"/>
        <v>6.3163460169613921E-12</v>
      </c>
      <c r="CC165" s="62">
        <f t="shared" si="119"/>
        <v>293.33333333333962</v>
      </c>
      <c r="CD165" s="62">
        <f ca="1">AVERAGE(OFFSET($CC$3,0,0,'Données projet'!$E$12+1,1))-AVERAGE(OFFSET($H$3,0,0,'Données projet'!$E$12+1,1))</f>
        <v>217.14170654868826</v>
      </c>
      <c r="CE165" s="62">
        <f t="shared" si="148"/>
        <v>202.59844364241644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80.521999999999977</v>
      </c>
      <c r="D166" s="12">
        <f t="shared" si="140"/>
        <v>22.264767490887625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793.44171396474633</v>
      </c>
      <c r="H166" s="70">
        <f t="shared" si="110"/>
        <v>472.3536200466292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3.979039320256561E-13</v>
      </c>
      <c r="O166" s="14">
        <f>N166*VLOOKUP('Données projet'!$B$9,Paramètres!$A$1:$I$89,3,0)*VLOOKUP('Données projet'!$B$9,Paramètres!$A$1:$I$89,5,0)</f>
        <v>2.2760104911867532E-13</v>
      </c>
      <c r="P166" s="14">
        <f t="shared" si="141"/>
        <v>3.1070714519279848E-12</v>
      </c>
      <c r="Q166" s="22">
        <f t="shared" si="162"/>
        <v>5.8078879393229322E-12</v>
      </c>
      <c r="R166" s="62">
        <f t="shared" si="109"/>
        <v>293.33333333333911</v>
      </c>
      <c r="S166" s="62">
        <f ca="1">AVERAGE(OFFSET($R$3,0,0,'Données projet'!$E$9+1,1))-AVERAGE(OFFSET($H$3,0,0,'Données projet'!$E$9+1,1))</f>
        <v>183.98573418698061</v>
      </c>
      <c r="T166" s="62">
        <f t="shared" si="142"/>
        <v>158.42298722045609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294.57089926309249</v>
      </c>
      <c r="AO166" s="62">
        <f t="shared" si="144"/>
        <v>221.0956883062172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-9.6633812063373625E-13</v>
      </c>
      <c r="BE166" s="14">
        <f>BD166*VLOOKUP('Données projet'!$B$11,Paramètres!$A$1:$I$89,3,0)*VLOOKUP('Données projet'!$B$11,Paramètres!$A$1:$I$89,5,0)</f>
        <v>-8.7434273154940449E-13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312.29553270286209</v>
      </c>
      <c r="BJ166" s="62">
        <f t="shared" si="146"/>
        <v>175.8423124483154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3.4106051316484809E-13</v>
      </c>
      <c r="BZ166" s="14">
        <f>BY166*VLOOKUP('Données projet'!$B$12,Paramètres!$A$1:$I$89,3,0)*VLOOKUP('Données projet'!$B$12,Paramètres!$A$1:$I$89,5,0)</f>
        <v>2.5006556825246659E-13</v>
      </c>
      <c r="CA166" s="14">
        <f t="shared" si="170"/>
        <v>3.3765445850268018E-12</v>
      </c>
      <c r="CB166" s="22">
        <f t="shared" si="171"/>
        <v>6.3163460169613921E-12</v>
      </c>
      <c r="CC166" s="62">
        <f t="shared" si="119"/>
        <v>293.33333333333962</v>
      </c>
      <c r="CD166" s="62">
        <f ca="1">AVERAGE(OFFSET($CC$3,0,0,'Données projet'!$E$12+1,1))-AVERAGE(OFFSET($H$3,0,0,'Données projet'!$E$12+1,1))</f>
        <v>217.14170654868826</v>
      </c>
      <c r="CE166" s="62">
        <f t="shared" si="148"/>
        <v>202.59844364241644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81.015999999999977</v>
      </c>
      <c r="D167" s="12">
        <f t="shared" si="140"/>
        <v>22.385418657388872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798.18638963598414</v>
      </c>
      <c r="H167" s="70">
        <f t="shared" si="110"/>
        <v>473.42413749495222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3.979039320256561E-13</v>
      </c>
      <c r="O167" s="14">
        <f>N167*VLOOKUP('Données projet'!$B$9,Paramètres!$A$1:$I$89,3,0)*VLOOKUP('Données projet'!$B$9,Paramètres!$A$1:$I$89,5,0)</f>
        <v>2.2760104911867532E-13</v>
      </c>
      <c r="P167" s="14">
        <f t="shared" si="141"/>
        <v>3.1070714519279848E-12</v>
      </c>
      <c r="Q167" s="22">
        <f t="shared" si="162"/>
        <v>5.8078879393229322E-12</v>
      </c>
      <c r="R167" s="62">
        <f t="shared" si="109"/>
        <v>293.33333333333911</v>
      </c>
      <c r="S167" s="62">
        <f ca="1">AVERAGE(OFFSET($R$3,0,0,'Données projet'!$E$9+1,1))-AVERAGE(OFFSET($H$3,0,0,'Données projet'!$E$9+1,1))</f>
        <v>183.98573418698061</v>
      </c>
      <c r="T167" s="62">
        <f t="shared" si="142"/>
        <v>158.42298722045609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294.57089926309249</v>
      </c>
      <c r="AO167" s="62">
        <f t="shared" si="144"/>
        <v>221.0956883062172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-9.6633812063373625E-13</v>
      </c>
      <c r="BE167" s="14">
        <f>BD167*VLOOKUP('Données projet'!$B$11,Paramètres!$A$1:$I$89,3,0)*VLOOKUP('Données projet'!$B$11,Paramètres!$A$1:$I$89,5,0)</f>
        <v>-8.7434273154940449E-13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312.29553270286209</v>
      </c>
      <c r="BJ167" s="62">
        <f t="shared" si="146"/>
        <v>175.8423124483154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3.4106051316484809E-13</v>
      </c>
      <c r="BZ167" s="14">
        <f>BY167*VLOOKUP('Données projet'!$B$12,Paramètres!$A$1:$I$89,3,0)*VLOOKUP('Données projet'!$B$12,Paramètres!$A$1:$I$89,5,0)</f>
        <v>2.5006556825246659E-13</v>
      </c>
      <c r="CA167" s="14">
        <f t="shared" si="170"/>
        <v>3.3765445850268018E-12</v>
      </c>
      <c r="CB167" s="22">
        <f t="shared" si="171"/>
        <v>6.3163460169613921E-12</v>
      </c>
      <c r="CC167" s="62">
        <f t="shared" si="119"/>
        <v>293.33333333333962</v>
      </c>
      <c r="CD167" s="62">
        <f ca="1">AVERAGE(OFFSET($CC$3,0,0,'Données projet'!$E$12+1,1))-AVERAGE(OFFSET($H$3,0,0,'Données projet'!$E$12+1,1))</f>
        <v>217.14170654868826</v>
      </c>
      <c r="CE167" s="62">
        <f t="shared" si="148"/>
        <v>202.59844364241644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81.509999999999977</v>
      </c>
      <c r="D168" s="12">
        <f t="shared" si="140"/>
        <v>22.505984220809903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802.93040451151501</v>
      </c>
      <c r="H168" s="70">
        <f t="shared" si="110"/>
        <v>474.49450585124384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3.979039320256561E-13</v>
      </c>
      <c r="O168" s="14">
        <f>N168*VLOOKUP('Données projet'!$B$9,Paramètres!$A$1:$I$89,3,0)*VLOOKUP('Données projet'!$B$9,Paramètres!$A$1:$I$89,5,0)</f>
        <v>2.2760104911867532E-13</v>
      </c>
      <c r="P168" s="14">
        <f t="shared" si="141"/>
        <v>3.1070714519279848E-12</v>
      </c>
      <c r="Q168" s="22">
        <f t="shared" si="162"/>
        <v>5.8078879393229322E-12</v>
      </c>
      <c r="R168" s="62">
        <f t="shared" si="109"/>
        <v>293.33333333333911</v>
      </c>
      <c r="S168" s="62">
        <f ca="1">AVERAGE(OFFSET($R$3,0,0,'Données projet'!$E$9+1,1))-AVERAGE(OFFSET($H$3,0,0,'Données projet'!$E$9+1,1))</f>
        <v>183.98573418698061</v>
      </c>
      <c r="T168" s="62">
        <f t="shared" si="142"/>
        <v>158.42298722045609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294.57089926309249</v>
      </c>
      <c r="AO168" s="62">
        <f t="shared" si="144"/>
        <v>221.0956883062172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-9.6633812063373625E-13</v>
      </c>
      <c r="BE168" s="14">
        <f>BD168*VLOOKUP('Données projet'!$B$11,Paramètres!$A$1:$I$89,3,0)*VLOOKUP('Données projet'!$B$11,Paramètres!$A$1:$I$89,5,0)</f>
        <v>-8.7434273154940449E-13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312.29553270286209</v>
      </c>
      <c r="BJ168" s="62">
        <f t="shared" si="146"/>
        <v>175.8423124483154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3.4106051316484809E-13</v>
      </c>
      <c r="BZ168" s="14">
        <f>BY168*VLOOKUP('Données projet'!$B$12,Paramètres!$A$1:$I$89,3,0)*VLOOKUP('Données projet'!$B$12,Paramètres!$A$1:$I$89,5,0)</f>
        <v>2.5006556825246659E-13</v>
      </c>
      <c r="CA168" s="14">
        <f t="shared" si="170"/>
        <v>3.3765445850268018E-12</v>
      </c>
      <c r="CB168" s="22">
        <f t="shared" si="171"/>
        <v>6.3163460169613921E-12</v>
      </c>
      <c r="CC168" s="62">
        <f t="shared" si="119"/>
        <v>293.33333333333962</v>
      </c>
      <c r="CD168" s="62">
        <f ca="1">AVERAGE(OFFSET($CC$3,0,0,'Données projet'!$E$12+1,1))-AVERAGE(OFFSET($H$3,0,0,'Données projet'!$E$12+1,1))</f>
        <v>217.14170654868826</v>
      </c>
      <c r="CE168" s="62">
        <f t="shared" si="148"/>
        <v>202.59844364241644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82.003999999999976</v>
      </c>
      <c r="D169" s="12">
        <f t="shared" si="140"/>
        <v>22.626464760149261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807.67376306080121</v>
      </c>
      <c r="H169" s="70">
        <f t="shared" si="110"/>
        <v>475.56472612392656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3.979039320256561E-13</v>
      </c>
      <c r="O169" s="14">
        <f>N169*VLOOKUP('Données projet'!$B$9,Paramètres!$A$1:$I$89,3,0)*VLOOKUP('Données projet'!$B$9,Paramètres!$A$1:$I$89,5,0)</f>
        <v>2.2760104911867532E-13</v>
      </c>
      <c r="P169" s="14">
        <f t="shared" si="141"/>
        <v>3.1070714519279848E-12</v>
      </c>
      <c r="Q169" s="22">
        <f t="shared" si="162"/>
        <v>5.8078879393229322E-12</v>
      </c>
      <c r="R169" s="62">
        <f t="shared" si="109"/>
        <v>293.33333333333911</v>
      </c>
      <c r="S169" s="62">
        <f ca="1">AVERAGE(OFFSET($R$3,0,0,'Données projet'!$E$9+1,1))-AVERAGE(OFFSET($H$3,0,0,'Données projet'!$E$9+1,1))</f>
        <v>183.98573418698061</v>
      </c>
      <c r="T169" s="62">
        <f t="shared" si="142"/>
        <v>158.42298722045609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294.57089926309249</v>
      </c>
      <c r="AO169" s="62">
        <f t="shared" si="144"/>
        <v>221.0956883062172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-9.6633812063373625E-13</v>
      </c>
      <c r="BE169" s="14">
        <f>BD169*VLOOKUP('Données projet'!$B$11,Paramètres!$A$1:$I$89,3,0)*VLOOKUP('Données projet'!$B$11,Paramètres!$A$1:$I$89,5,0)</f>
        <v>-8.7434273154940449E-13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312.29553270286209</v>
      </c>
      <c r="BJ169" s="62">
        <f t="shared" si="146"/>
        <v>175.8423124483154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3.4106051316484809E-13</v>
      </c>
      <c r="BZ169" s="14">
        <f>BY169*VLOOKUP('Données projet'!$B$12,Paramètres!$A$1:$I$89,3,0)*VLOOKUP('Données projet'!$B$12,Paramètres!$A$1:$I$89,5,0)</f>
        <v>2.5006556825246659E-13</v>
      </c>
      <c r="CA169" s="14">
        <f t="shared" si="170"/>
        <v>3.3765445850268018E-12</v>
      </c>
      <c r="CB169" s="22">
        <f t="shared" si="171"/>
        <v>6.3163460169613921E-12</v>
      </c>
      <c r="CC169" s="62">
        <f t="shared" si="119"/>
        <v>293.33333333333962</v>
      </c>
      <c r="CD169" s="62">
        <f ca="1">AVERAGE(OFFSET($CC$3,0,0,'Données projet'!$E$12+1,1))-AVERAGE(OFFSET($H$3,0,0,'Données projet'!$E$12+1,1))</f>
        <v>217.14170654868826</v>
      </c>
      <c r="CE169" s="62">
        <f t="shared" si="148"/>
        <v>202.59844364241644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82.497999999999976</v>
      </c>
      <c r="D170" s="12">
        <f t="shared" si="140"/>
        <v>22.746860847025957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812.41646969634064</v>
      </c>
      <c r="H170" s="70">
        <f t="shared" si="110"/>
        <v>476.63479930857011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3.979039320256561E-13</v>
      </c>
      <c r="O170" s="14">
        <f>N170*VLOOKUP('Données projet'!$B$9,Paramètres!$A$1:$I$89,3,0)*VLOOKUP('Données projet'!$B$9,Paramètres!$A$1:$I$89,5,0)</f>
        <v>2.2760104911867532E-13</v>
      </c>
      <c r="P170" s="14">
        <f t="shared" si="141"/>
        <v>3.1070714519279848E-12</v>
      </c>
      <c r="Q170" s="22">
        <f t="shared" si="162"/>
        <v>5.8078879393229322E-12</v>
      </c>
      <c r="R170" s="62">
        <f t="shared" si="109"/>
        <v>293.33333333333911</v>
      </c>
      <c r="S170" s="62">
        <f ca="1">AVERAGE(OFFSET($R$3,0,0,'Données projet'!$E$9+1,1))-AVERAGE(OFFSET($H$3,0,0,'Données projet'!$E$9+1,1))</f>
        <v>183.98573418698061</v>
      </c>
      <c r="T170" s="62">
        <f t="shared" si="142"/>
        <v>158.42298722045609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294.57089926309249</v>
      </c>
      <c r="AO170" s="62">
        <f t="shared" si="144"/>
        <v>221.0956883062172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-9.6633812063373625E-13</v>
      </c>
      <c r="BE170" s="14">
        <f>BD170*VLOOKUP('Données projet'!$B$11,Paramètres!$A$1:$I$89,3,0)*VLOOKUP('Données projet'!$B$11,Paramètres!$A$1:$I$89,5,0)</f>
        <v>-8.7434273154940449E-13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312.29553270286209</v>
      </c>
      <c r="BJ170" s="62">
        <f t="shared" si="146"/>
        <v>175.8423124483154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3.4106051316484809E-13</v>
      </c>
      <c r="BZ170" s="14">
        <f>BY170*VLOOKUP('Données projet'!$B$12,Paramètres!$A$1:$I$89,3,0)*VLOOKUP('Données projet'!$B$12,Paramètres!$A$1:$I$89,5,0)</f>
        <v>2.5006556825246659E-13</v>
      </c>
      <c r="CA170" s="14">
        <f t="shared" si="170"/>
        <v>3.3765445850268018E-12</v>
      </c>
      <c r="CB170" s="22">
        <f t="shared" si="171"/>
        <v>6.3163460169613921E-12</v>
      </c>
      <c r="CC170" s="62">
        <f t="shared" si="119"/>
        <v>293.33333333333962</v>
      </c>
      <c r="CD170" s="62">
        <f ca="1">AVERAGE(OFFSET($CC$3,0,0,'Données projet'!$E$12+1,1))-AVERAGE(OFFSET($H$3,0,0,'Données projet'!$E$12+1,1))</f>
        <v>217.14170654868826</v>
      </c>
      <c r="CE170" s="62">
        <f t="shared" si="148"/>
        <v>202.59844364241644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82.991999999999976</v>
      </c>
      <c r="D171" s="12">
        <f t="shared" si="140"/>
        <v>22.867173045817303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817.1585287747298</v>
      </c>
      <c r="H171" s="70">
        <f t="shared" si="110"/>
        <v>477.70472638813175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3.979039320256561E-13</v>
      </c>
      <c r="O171" s="14">
        <f>N171*VLOOKUP('Données projet'!$B$9,Paramètres!$A$1:$I$89,3,0)*VLOOKUP('Données projet'!$B$9,Paramètres!$A$1:$I$89,5,0)</f>
        <v>2.2760104911867532E-13</v>
      </c>
      <c r="P171" s="14">
        <f t="shared" si="141"/>
        <v>3.1070714519279848E-12</v>
      </c>
      <c r="Q171" s="22">
        <f t="shared" si="162"/>
        <v>5.8078879393229322E-12</v>
      </c>
      <c r="R171" s="62">
        <f t="shared" si="109"/>
        <v>293.33333333333911</v>
      </c>
      <c r="S171" s="62">
        <f ca="1">AVERAGE(OFFSET($R$3,0,0,'Données projet'!$E$9+1,1))-AVERAGE(OFFSET($H$3,0,0,'Données projet'!$E$9+1,1))</f>
        <v>183.98573418698061</v>
      </c>
      <c r="T171" s="62">
        <f t="shared" si="142"/>
        <v>158.42298722045609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294.57089926309249</v>
      </c>
      <c r="AO171" s="62">
        <f t="shared" si="144"/>
        <v>221.0956883062172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-9.6633812063373625E-13</v>
      </c>
      <c r="BE171" s="14">
        <f>BD171*VLOOKUP('Données projet'!$B$11,Paramètres!$A$1:$I$89,3,0)*VLOOKUP('Données projet'!$B$11,Paramètres!$A$1:$I$89,5,0)</f>
        <v>-8.7434273154940449E-13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312.29553270286209</v>
      </c>
      <c r="BJ171" s="62">
        <f t="shared" si="146"/>
        <v>175.8423124483154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3.4106051316484809E-13</v>
      </c>
      <c r="BZ171" s="14">
        <f>BY171*VLOOKUP('Données projet'!$B$12,Paramètres!$A$1:$I$89,3,0)*VLOOKUP('Données projet'!$B$12,Paramètres!$A$1:$I$89,5,0)</f>
        <v>2.5006556825246659E-13</v>
      </c>
      <c r="CA171" s="14">
        <f t="shared" si="170"/>
        <v>3.3765445850268018E-12</v>
      </c>
      <c r="CB171" s="22">
        <f t="shared" si="171"/>
        <v>6.3163460169613921E-12</v>
      </c>
      <c r="CC171" s="62">
        <f t="shared" si="119"/>
        <v>293.33333333333962</v>
      </c>
      <c r="CD171" s="62">
        <f ca="1">AVERAGE(OFFSET($CC$3,0,0,'Données projet'!$E$12+1,1))-AVERAGE(OFFSET($H$3,0,0,'Données projet'!$E$12+1,1))</f>
        <v>217.14170654868826</v>
      </c>
      <c r="CE171" s="62">
        <f t="shared" si="148"/>
        <v>202.59844364241644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83.485999999999976</v>
      </c>
      <c r="D172" s="12">
        <f t="shared" si="140"/>
        <v>22.987401913793153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821.89994459770139</v>
      </c>
      <c r="H172" s="70">
        <f t="shared" si="110"/>
        <v>478.77450833318966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3.979039320256561E-13</v>
      </c>
      <c r="O172" s="14">
        <f>N172*VLOOKUP('Données projet'!$B$9,Paramètres!$A$1:$I$89,3,0)*VLOOKUP('Données projet'!$B$9,Paramètres!$A$1:$I$89,5,0)</f>
        <v>2.2760104911867532E-13</v>
      </c>
      <c r="P172" s="14">
        <f t="shared" si="141"/>
        <v>3.1070714519279848E-12</v>
      </c>
      <c r="Q172" s="22">
        <f t="shared" si="162"/>
        <v>5.8078879393229322E-12</v>
      </c>
      <c r="R172" s="62">
        <f t="shared" si="109"/>
        <v>293.33333333333911</v>
      </c>
      <c r="S172" s="62">
        <f ca="1">AVERAGE(OFFSET($R$3,0,0,'Données projet'!$E$9+1,1))-AVERAGE(OFFSET($H$3,0,0,'Données projet'!$E$9+1,1))</f>
        <v>183.98573418698061</v>
      </c>
      <c r="T172" s="62">
        <f t="shared" si="142"/>
        <v>158.42298722045609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294.57089926309249</v>
      </c>
      <c r="AO172" s="62">
        <f t="shared" si="144"/>
        <v>221.0956883062172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-9.6633812063373625E-13</v>
      </c>
      <c r="BE172" s="14">
        <f>BD172*VLOOKUP('Données projet'!$B$11,Paramètres!$A$1:$I$89,3,0)*VLOOKUP('Données projet'!$B$11,Paramètres!$A$1:$I$89,5,0)</f>
        <v>-8.7434273154940449E-13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312.29553270286209</v>
      </c>
      <c r="BJ172" s="62">
        <f t="shared" si="146"/>
        <v>175.8423124483154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3.4106051316484809E-13</v>
      </c>
      <c r="BZ172" s="14">
        <f>BY172*VLOOKUP('Données projet'!$B$12,Paramètres!$A$1:$I$89,3,0)*VLOOKUP('Données projet'!$B$12,Paramètres!$A$1:$I$89,5,0)</f>
        <v>2.5006556825246659E-13</v>
      </c>
      <c r="CA172" s="14">
        <f t="shared" si="170"/>
        <v>3.3765445850268018E-12</v>
      </c>
      <c r="CB172" s="22">
        <f t="shared" si="171"/>
        <v>6.3163460169613921E-12</v>
      </c>
      <c r="CC172" s="62">
        <f t="shared" si="119"/>
        <v>293.33333333333962</v>
      </c>
      <c r="CD172" s="62">
        <f ca="1">AVERAGE(OFFSET($CC$3,0,0,'Données projet'!$E$12+1,1))-AVERAGE(OFFSET($H$3,0,0,'Données projet'!$E$12+1,1))</f>
        <v>217.14170654868826</v>
      </c>
      <c r="CE172" s="62">
        <f t="shared" si="148"/>
        <v>202.59844364241644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83.979999999999976</v>
      </c>
      <c r="D173" s="12">
        <f t="shared" si="140"/>
        <v>23.10754800124684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826.64072141313329</v>
      </c>
      <c r="H173" s="70">
        <f t="shared" si="110"/>
        <v>479.84414610217152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3.979039320256561E-13</v>
      </c>
      <c r="O173" s="14">
        <f>N173*VLOOKUP('Données projet'!$B$9,Paramètres!$A$1:$I$89,3,0)*VLOOKUP('Données projet'!$B$9,Paramètres!$A$1:$I$89,5,0)</f>
        <v>2.2760104911867532E-13</v>
      </c>
      <c r="P173" s="14">
        <f t="shared" si="141"/>
        <v>3.1070714519279848E-12</v>
      </c>
      <c r="Q173" s="22">
        <f t="shared" si="162"/>
        <v>5.8078879393229322E-12</v>
      </c>
      <c r="R173" s="62">
        <f t="shared" si="109"/>
        <v>293.33333333333911</v>
      </c>
      <c r="S173" s="62">
        <f ca="1">AVERAGE(OFFSET($R$3,0,0,'Données projet'!$E$9+1,1))-AVERAGE(OFFSET($H$3,0,0,'Données projet'!$E$9+1,1))</f>
        <v>183.98573418698061</v>
      </c>
      <c r="T173" s="62">
        <f t="shared" si="142"/>
        <v>158.42298722045609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294.57089926309249</v>
      </c>
      <c r="AO173" s="62">
        <f t="shared" si="144"/>
        <v>221.0956883062172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-9.6633812063373625E-13</v>
      </c>
      <c r="BE173" s="14">
        <f>BD173*VLOOKUP('Données projet'!$B$11,Paramètres!$A$1:$I$89,3,0)*VLOOKUP('Données projet'!$B$11,Paramètres!$A$1:$I$89,5,0)</f>
        <v>-8.7434273154940449E-13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312.29553270286209</v>
      </c>
      <c r="BJ173" s="62">
        <f t="shared" si="146"/>
        <v>175.8423124483154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3.4106051316484809E-13</v>
      </c>
      <c r="BZ173" s="14">
        <f>BY173*VLOOKUP('Données projet'!$B$12,Paramètres!$A$1:$I$89,3,0)*VLOOKUP('Données projet'!$B$12,Paramètres!$A$1:$I$89,5,0)</f>
        <v>2.5006556825246659E-13</v>
      </c>
      <c r="CA173" s="14">
        <f t="shared" si="170"/>
        <v>3.3765445850268018E-12</v>
      </c>
      <c r="CB173" s="22">
        <f t="shared" si="171"/>
        <v>6.3163460169613921E-12</v>
      </c>
      <c r="CC173" s="62">
        <f t="shared" si="119"/>
        <v>293.33333333333962</v>
      </c>
      <c r="CD173" s="62">
        <f ca="1">AVERAGE(OFFSET($CC$3,0,0,'Données projet'!$E$12+1,1))-AVERAGE(OFFSET($H$3,0,0,'Données projet'!$E$12+1,1))</f>
        <v>217.14170654868826</v>
      </c>
      <c r="CE173" s="62">
        <f t="shared" si="148"/>
        <v>202.59844364241644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84.473999999999975</v>
      </c>
      <c r="D174" s="12">
        <f t="shared" si="140"/>
        <v>23.22761185162317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831.38086341603832</v>
      </c>
      <c r="H174" s="70">
        <f t="shared" si="110"/>
        <v>480.91364064157693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3.979039320256561E-13</v>
      </c>
      <c r="O174" s="14">
        <f>N174*VLOOKUP('Données projet'!$B$9,Paramètres!$A$1:$I$89,3,0)*VLOOKUP('Données projet'!$B$9,Paramètres!$A$1:$I$89,5,0)</f>
        <v>2.2760104911867532E-13</v>
      </c>
      <c r="P174" s="14">
        <f t="shared" si="141"/>
        <v>3.1070714519279848E-12</v>
      </c>
      <c r="Q174" s="22">
        <f t="shared" si="162"/>
        <v>5.8078879393229322E-12</v>
      </c>
      <c r="R174" s="62">
        <f t="shared" si="109"/>
        <v>293.33333333333911</v>
      </c>
      <c r="S174" s="62">
        <f ca="1">AVERAGE(OFFSET($R$3,0,0,'Données projet'!$E$9+1,1))-AVERAGE(OFFSET($H$3,0,0,'Données projet'!$E$9+1,1))</f>
        <v>183.98573418698061</v>
      </c>
      <c r="T174" s="62">
        <f t="shared" si="142"/>
        <v>158.42298722045609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294.57089926309249</v>
      </c>
      <c r="AO174" s="62">
        <f t="shared" si="144"/>
        <v>221.0956883062172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-9.6633812063373625E-13</v>
      </c>
      <c r="BE174" s="14">
        <f>BD174*VLOOKUP('Données projet'!$B$11,Paramètres!$A$1:$I$89,3,0)*VLOOKUP('Données projet'!$B$11,Paramètres!$A$1:$I$89,5,0)</f>
        <v>-8.7434273154940449E-13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312.29553270286209</v>
      </c>
      <c r="BJ174" s="62">
        <f t="shared" si="146"/>
        <v>175.8423124483154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3.4106051316484809E-13</v>
      </c>
      <c r="BZ174" s="14">
        <f>BY174*VLOOKUP('Données projet'!$B$12,Paramètres!$A$1:$I$89,3,0)*VLOOKUP('Données projet'!$B$12,Paramètres!$A$1:$I$89,5,0)</f>
        <v>2.5006556825246659E-13</v>
      </c>
      <c r="CA174" s="14">
        <f t="shared" si="170"/>
        <v>3.3765445850268018E-12</v>
      </c>
      <c r="CB174" s="22">
        <f t="shared" si="171"/>
        <v>6.3163460169613921E-12</v>
      </c>
      <c r="CC174" s="62">
        <f t="shared" si="119"/>
        <v>293.33333333333962</v>
      </c>
      <c r="CD174" s="62">
        <f ca="1">AVERAGE(OFFSET($CC$3,0,0,'Données projet'!$E$12+1,1))-AVERAGE(OFFSET($H$3,0,0,'Données projet'!$E$12+1,1))</f>
        <v>217.14170654868826</v>
      </c>
      <c r="CE174" s="62">
        <f t="shared" si="148"/>
        <v>202.59844364241644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84.967999999999975</v>
      </c>
      <c r="D175" s="12">
        <f t="shared" si="140"/>
        <v>23.347594001643046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836.12037474952513</v>
      </c>
      <c r="H175" s="70">
        <f t="shared" si="110"/>
        <v>481.98299288619489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3.979039320256561E-13</v>
      </c>
      <c r="O175" s="14">
        <f>N175*VLOOKUP('Données projet'!$B$9,Paramètres!$A$1:$I$89,3,0)*VLOOKUP('Données projet'!$B$9,Paramètres!$A$1:$I$89,5,0)</f>
        <v>2.2760104911867532E-13</v>
      </c>
      <c r="P175" s="14">
        <f t="shared" si="141"/>
        <v>3.1070714519279848E-12</v>
      </c>
      <c r="Q175" s="22">
        <f t="shared" si="162"/>
        <v>5.8078879393229322E-12</v>
      </c>
      <c r="R175" s="62">
        <f t="shared" si="109"/>
        <v>293.33333333333911</v>
      </c>
      <c r="S175" s="62">
        <f ca="1">AVERAGE(OFFSET($R$3,0,0,'Données projet'!$E$9+1,1))-AVERAGE(OFFSET($H$3,0,0,'Données projet'!$E$9+1,1))</f>
        <v>183.98573418698061</v>
      </c>
      <c r="T175" s="62">
        <f t="shared" si="142"/>
        <v>158.42298722045609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294.57089926309249</v>
      </c>
      <c r="AO175" s="62">
        <f t="shared" si="144"/>
        <v>221.0956883062172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-9.6633812063373625E-13</v>
      </c>
      <c r="BE175" s="14">
        <f>BD175*VLOOKUP('Données projet'!$B$11,Paramètres!$A$1:$I$89,3,0)*VLOOKUP('Données projet'!$B$11,Paramètres!$A$1:$I$89,5,0)</f>
        <v>-8.7434273154940449E-13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312.29553270286209</v>
      </c>
      <c r="BJ175" s="62">
        <f t="shared" si="146"/>
        <v>175.8423124483154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3.4106051316484809E-13</v>
      </c>
      <c r="BZ175" s="14">
        <f>BY175*VLOOKUP('Données projet'!$B$12,Paramètres!$A$1:$I$89,3,0)*VLOOKUP('Données projet'!$B$12,Paramètres!$A$1:$I$89,5,0)</f>
        <v>2.5006556825246659E-13</v>
      </c>
      <c r="CA175" s="14">
        <f t="shared" si="170"/>
        <v>3.3765445850268018E-12</v>
      </c>
      <c r="CB175" s="22">
        <f t="shared" si="171"/>
        <v>6.3163460169613921E-12</v>
      </c>
      <c r="CC175" s="62">
        <f t="shared" si="119"/>
        <v>293.33333333333962</v>
      </c>
      <c r="CD175" s="62">
        <f ca="1">AVERAGE(OFFSET($CC$3,0,0,'Données projet'!$E$12+1,1))-AVERAGE(OFFSET($H$3,0,0,'Données projet'!$E$12+1,1))</f>
        <v>217.14170654868826</v>
      </c>
      <c r="CE175" s="62">
        <f t="shared" si="148"/>
        <v>202.59844364241644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85.461999999999975</v>
      </c>
      <c r="D176" s="12">
        <f t="shared" si="140"/>
        <v>23.467494981425435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840.85925950573994</v>
      </c>
      <c r="H176" s="70">
        <f t="shared" si="110"/>
        <v>483.05220375931589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3.979039320256561E-13</v>
      </c>
      <c r="O176" s="14">
        <f>N176*VLOOKUP('Données projet'!$B$9,Paramètres!$A$1:$I$89,3,0)*VLOOKUP('Données projet'!$B$9,Paramètres!$A$1:$I$89,5,0)</f>
        <v>2.2760104911867532E-13</v>
      </c>
      <c r="P176" s="14">
        <f t="shared" si="141"/>
        <v>3.1070714519279848E-12</v>
      </c>
      <c r="Q176" s="22">
        <f t="shared" si="162"/>
        <v>5.8078879393229322E-12</v>
      </c>
      <c r="R176" s="62">
        <f t="shared" si="109"/>
        <v>293.33333333333911</v>
      </c>
      <c r="S176" s="62">
        <f ca="1">AVERAGE(OFFSET($R$3,0,0,'Données projet'!$E$9+1,1))-AVERAGE(OFFSET($H$3,0,0,'Données projet'!$E$9+1,1))</f>
        <v>183.98573418698061</v>
      </c>
      <c r="T176" s="62">
        <f t="shared" si="142"/>
        <v>158.42298722045609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294.57089926309249</v>
      </c>
      <c r="AO176" s="62">
        <f t="shared" si="144"/>
        <v>221.0956883062172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-9.6633812063373625E-13</v>
      </c>
      <c r="BE176" s="14">
        <f>BD176*VLOOKUP('Données projet'!$B$11,Paramètres!$A$1:$I$89,3,0)*VLOOKUP('Données projet'!$B$11,Paramètres!$A$1:$I$89,5,0)</f>
        <v>-8.7434273154940449E-13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312.29553270286209</v>
      </c>
      <c r="BJ176" s="62">
        <f t="shared" si="146"/>
        <v>175.8423124483154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3.4106051316484809E-13</v>
      </c>
      <c r="BZ176" s="14">
        <f>BY176*VLOOKUP('Données projet'!$B$12,Paramètres!$A$1:$I$89,3,0)*VLOOKUP('Données projet'!$B$12,Paramètres!$A$1:$I$89,5,0)</f>
        <v>2.5006556825246659E-13</v>
      </c>
      <c r="CA176" s="14">
        <f t="shared" si="170"/>
        <v>3.3765445850268018E-12</v>
      </c>
      <c r="CB176" s="22">
        <f t="shared" si="171"/>
        <v>6.3163460169613921E-12</v>
      </c>
      <c r="CC176" s="62">
        <f t="shared" si="119"/>
        <v>293.33333333333962</v>
      </c>
      <c r="CD176" s="62">
        <f ca="1">AVERAGE(OFFSET($CC$3,0,0,'Données projet'!$E$12+1,1))-AVERAGE(OFFSET($H$3,0,0,'Données projet'!$E$12+1,1))</f>
        <v>217.14170654868826</v>
      </c>
      <c r="CE176" s="62">
        <f t="shared" si="148"/>
        <v>202.59844364241644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85.955999999999975</v>
      </c>
      <c r="D177" s="12">
        <f t="shared" si="140"/>
        <v>23.587315314606048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845.59752172678338</v>
      </c>
      <c r="H177" s="70">
        <f t="shared" si="110"/>
        <v>484.1212741729388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3.979039320256561E-13</v>
      </c>
      <c r="O177" s="14">
        <f>N177*VLOOKUP('Données projet'!$B$9,Paramètres!$A$1:$I$89,3,0)*VLOOKUP('Données projet'!$B$9,Paramètres!$A$1:$I$89,5,0)</f>
        <v>2.2760104911867532E-13</v>
      </c>
      <c r="P177" s="14">
        <f t="shared" si="141"/>
        <v>3.1070714519279848E-12</v>
      </c>
      <c r="Q177" s="22">
        <f t="shared" si="162"/>
        <v>5.8078879393229322E-12</v>
      </c>
      <c r="R177" s="62">
        <f t="shared" si="109"/>
        <v>293.33333333333911</v>
      </c>
      <c r="S177" s="62">
        <f ca="1">AVERAGE(OFFSET($R$3,0,0,'Données projet'!$E$9+1,1))-AVERAGE(OFFSET($H$3,0,0,'Données projet'!$E$9+1,1))</f>
        <v>183.98573418698061</v>
      </c>
      <c r="T177" s="62">
        <f t="shared" si="142"/>
        <v>158.42298722045609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294.57089926309249</v>
      </c>
      <c r="AO177" s="62">
        <f t="shared" si="144"/>
        <v>221.0956883062172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-9.6633812063373625E-13</v>
      </c>
      <c r="BE177" s="14">
        <f>BD177*VLOOKUP('Données projet'!$B$11,Paramètres!$A$1:$I$89,3,0)*VLOOKUP('Données projet'!$B$11,Paramètres!$A$1:$I$89,5,0)</f>
        <v>-8.7434273154940449E-13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312.29553270286209</v>
      </c>
      <c r="BJ177" s="62">
        <f t="shared" si="146"/>
        <v>175.8423124483154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3.4106051316484809E-13</v>
      </c>
      <c r="BZ177" s="14">
        <f>BY177*VLOOKUP('Données projet'!$B$12,Paramètres!$A$1:$I$89,3,0)*VLOOKUP('Données projet'!$B$12,Paramètres!$A$1:$I$89,5,0)</f>
        <v>2.5006556825246659E-13</v>
      </c>
      <c r="CA177" s="14">
        <f t="shared" si="170"/>
        <v>3.3765445850268018E-12</v>
      </c>
      <c r="CB177" s="22">
        <f t="shared" si="171"/>
        <v>6.3163460169613921E-12</v>
      </c>
      <c r="CC177" s="62">
        <f t="shared" si="119"/>
        <v>293.33333333333962</v>
      </c>
      <c r="CD177" s="62">
        <f ca="1">AVERAGE(OFFSET($CC$3,0,0,'Données projet'!$E$12+1,1))-AVERAGE(OFFSET($H$3,0,0,'Données projet'!$E$12+1,1))</f>
        <v>217.14170654868826</v>
      </c>
      <c r="CE177" s="62">
        <f t="shared" si="148"/>
        <v>202.59844364241644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86.449999999999974</v>
      </c>
      <c r="D178" s="12">
        <f t="shared" si="140"/>
        <v>23.707055518453593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850.33516540560652</v>
      </c>
      <c r="H178" s="70">
        <f t="shared" si="110"/>
        <v>485.19020502797326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3.979039320256561E-13</v>
      </c>
      <c r="O178" s="14">
        <f>N178*VLOOKUP('Données projet'!$B$9,Paramètres!$A$1:$I$89,3,0)*VLOOKUP('Données projet'!$B$9,Paramètres!$A$1:$I$89,5,0)</f>
        <v>2.2760104911867532E-13</v>
      </c>
      <c r="P178" s="14">
        <f t="shared" si="141"/>
        <v>3.1070714519279848E-12</v>
      </c>
      <c r="Q178" s="22">
        <f t="shared" si="162"/>
        <v>5.8078879393229322E-12</v>
      </c>
      <c r="R178" s="62">
        <f t="shared" si="109"/>
        <v>293.33333333333911</v>
      </c>
      <c r="S178" s="62">
        <f ca="1">AVERAGE(OFFSET($R$3,0,0,'Données projet'!$E$9+1,1))-AVERAGE(OFFSET($H$3,0,0,'Données projet'!$E$9+1,1))</f>
        <v>183.98573418698061</v>
      </c>
      <c r="T178" s="62">
        <f t="shared" si="142"/>
        <v>158.42298722045609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294.57089926309249</v>
      </c>
      <c r="AO178" s="62">
        <f t="shared" si="144"/>
        <v>221.0956883062172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-9.6633812063373625E-13</v>
      </c>
      <c r="BE178" s="14">
        <f>BD178*VLOOKUP('Données projet'!$B$11,Paramètres!$A$1:$I$89,3,0)*VLOOKUP('Données projet'!$B$11,Paramètres!$A$1:$I$89,5,0)</f>
        <v>-8.7434273154940449E-13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312.29553270286209</v>
      </c>
      <c r="BJ178" s="62">
        <f t="shared" si="146"/>
        <v>175.8423124483154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3.4106051316484809E-13</v>
      </c>
      <c r="BZ178" s="14">
        <f>BY178*VLOOKUP('Données projet'!$B$12,Paramètres!$A$1:$I$89,3,0)*VLOOKUP('Données projet'!$B$12,Paramètres!$A$1:$I$89,5,0)</f>
        <v>2.5006556825246659E-13</v>
      </c>
      <c r="CA178" s="14">
        <f t="shared" si="170"/>
        <v>3.3765445850268018E-12</v>
      </c>
      <c r="CB178" s="22">
        <f t="shared" si="171"/>
        <v>6.3163460169613921E-12</v>
      </c>
      <c r="CC178" s="62">
        <f t="shared" si="119"/>
        <v>293.33333333333962</v>
      </c>
      <c r="CD178" s="62">
        <f ca="1">AVERAGE(OFFSET($CC$3,0,0,'Données projet'!$E$12+1,1))-AVERAGE(OFFSET($H$3,0,0,'Données projet'!$E$12+1,1))</f>
        <v>217.14170654868826</v>
      </c>
      <c r="CE178" s="62">
        <f t="shared" si="148"/>
        <v>202.59844364241644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86.943999999999974</v>
      </c>
      <c r="D179" s="12">
        <f t="shared" si="140"/>
        <v>23.82671610398301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855.07219448688613</v>
      </c>
      <c r="H179" s="70">
        <f t="shared" si="110"/>
        <v>486.25899721443699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3.979039320256561E-13</v>
      </c>
      <c r="O179" s="14">
        <f>N179*VLOOKUP('Données projet'!$B$9,Paramètres!$A$1:$I$89,3,0)*VLOOKUP('Données projet'!$B$9,Paramètres!$A$1:$I$89,5,0)</f>
        <v>2.2760104911867532E-13</v>
      </c>
      <c r="P179" s="14">
        <f t="shared" si="141"/>
        <v>3.1070714519279848E-12</v>
      </c>
      <c r="Q179" s="22">
        <f t="shared" si="162"/>
        <v>5.8078879393229322E-12</v>
      </c>
      <c r="R179" s="62">
        <f t="shared" si="109"/>
        <v>293.33333333333911</v>
      </c>
      <c r="S179" s="62">
        <f ca="1">AVERAGE(OFFSET($R$3,0,0,'Données projet'!$E$9+1,1))-AVERAGE(OFFSET($H$3,0,0,'Données projet'!$E$9+1,1))</f>
        <v>183.98573418698061</v>
      </c>
      <c r="T179" s="62">
        <f t="shared" si="142"/>
        <v>158.42298722045609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294.57089926309249</v>
      </c>
      <c r="AO179" s="62">
        <f t="shared" si="144"/>
        <v>221.0956883062172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-9.6633812063373625E-13</v>
      </c>
      <c r="BE179" s="14">
        <f>BD179*VLOOKUP('Données projet'!$B$11,Paramètres!$A$1:$I$89,3,0)*VLOOKUP('Données projet'!$B$11,Paramètres!$A$1:$I$89,5,0)</f>
        <v>-8.7434273154940449E-13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312.29553270286209</v>
      </c>
      <c r="BJ179" s="62">
        <f t="shared" si="146"/>
        <v>175.8423124483154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3.4106051316484809E-13</v>
      </c>
      <c r="BZ179" s="14">
        <f>BY179*VLOOKUP('Données projet'!$B$12,Paramètres!$A$1:$I$89,3,0)*VLOOKUP('Données projet'!$B$12,Paramètres!$A$1:$I$89,5,0)</f>
        <v>2.5006556825246659E-13</v>
      </c>
      <c r="CA179" s="14">
        <f t="shared" si="170"/>
        <v>3.3765445850268018E-12</v>
      </c>
      <c r="CB179" s="22">
        <f t="shared" si="171"/>
        <v>6.3163460169613921E-12</v>
      </c>
      <c r="CC179" s="62">
        <f t="shared" si="119"/>
        <v>293.33333333333962</v>
      </c>
      <c r="CD179" s="62">
        <f ca="1">AVERAGE(OFFSET($CC$3,0,0,'Données projet'!$E$12+1,1))-AVERAGE(OFFSET($H$3,0,0,'Données projet'!$E$12+1,1))</f>
        <v>217.14170654868826</v>
      </c>
      <c r="CE179" s="62">
        <f t="shared" si="148"/>
        <v>202.59844364241644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87.437999999999974</v>
      </c>
      <c r="D180" s="12">
        <f t="shared" si="140"/>
        <v>23.946297576066275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859.80861286787979</v>
      </c>
      <c r="H180" s="70">
        <f t="shared" si="110"/>
        <v>487.32765161164866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3.979039320256561E-13</v>
      </c>
      <c r="O180" s="14">
        <f>N180*VLOOKUP('Données projet'!$B$9,Paramètres!$A$1:$I$89,3,0)*VLOOKUP('Données projet'!$B$9,Paramètres!$A$1:$I$89,5,0)</f>
        <v>2.2760104911867532E-13</v>
      </c>
      <c r="P180" s="14">
        <f t="shared" si="141"/>
        <v>3.1070714519279848E-12</v>
      </c>
      <c r="Q180" s="22">
        <f t="shared" si="162"/>
        <v>5.8078879393229322E-12</v>
      </c>
      <c r="R180" s="62">
        <f t="shared" si="109"/>
        <v>293.33333333333911</v>
      </c>
      <c r="S180" s="62">
        <f ca="1">AVERAGE(OFFSET($R$3,0,0,'Données projet'!$E$9+1,1))-AVERAGE(OFFSET($H$3,0,0,'Données projet'!$E$9+1,1))</f>
        <v>183.98573418698061</v>
      </c>
      <c r="T180" s="62">
        <f t="shared" si="142"/>
        <v>158.42298722045609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294.57089926309249</v>
      </c>
      <c r="AO180" s="62">
        <f t="shared" si="144"/>
        <v>221.0956883062172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-9.6633812063373625E-13</v>
      </c>
      <c r="BE180" s="14">
        <f>BD180*VLOOKUP('Données projet'!$B$11,Paramètres!$A$1:$I$89,3,0)*VLOOKUP('Données projet'!$B$11,Paramètres!$A$1:$I$89,5,0)</f>
        <v>-8.7434273154940449E-13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312.29553270286209</v>
      </c>
      <c r="BJ180" s="62">
        <f t="shared" si="146"/>
        <v>175.8423124483154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3.4106051316484809E-13</v>
      </c>
      <c r="BZ180" s="14">
        <f>BY180*VLOOKUP('Données projet'!$B$12,Paramètres!$A$1:$I$89,3,0)*VLOOKUP('Données projet'!$B$12,Paramètres!$A$1:$I$89,5,0)</f>
        <v>2.5006556825246659E-13</v>
      </c>
      <c r="CA180" s="14">
        <f t="shared" si="170"/>
        <v>3.3765445850268018E-12</v>
      </c>
      <c r="CB180" s="22">
        <f t="shared" si="171"/>
        <v>6.3163460169613921E-12</v>
      </c>
      <c r="CC180" s="62">
        <f t="shared" si="119"/>
        <v>293.33333333333962</v>
      </c>
      <c r="CD180" s="62">
        <f ca="1">AVERAGE(OFFSET($CC$3,0,0,'Données projet'!$E$12+1,1))-AVERAGE(OFFSET($H$3,0,0,'Données projet'!$E$12+1,1))</f>
        <v>217.14170654868826</v>
      </c>
      <c r="CE180" s="62">
        <f t="shared" si="148"/>
        <v>202.59844364241644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87.931999999999974</v>
      </c>
      <c r="D181" s="12">
        <f t="shared" si="140"/>
        <v>24.065800433540435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864.54442439925936</v>
      </c>
      <c r="H181" s="70">
        <f t="shared" si="110"/>
        <v>488.39616908841617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3.979039320256561E-13</v>
      </c>
      <c r="O181" s="14">
        <f>N181*VLOOKUP('Données projet'!$B$9,Paramètres!$A$1:$I$89,3,0)*VLOOKUP('Données projet'!$B$9,Paramètres!$A$1:$I$89,5,0)</f>
        <v>2.2760104911867532E-13</v>
      </c>
      <c r="P181" s="14">
        <f t="shared" si="141"/>
        <v>3.1070714519279848E-12</v>
      </c>
      <c r="Q181" s="22">
        <f t="shared" si="162"/>
        <v>5.8078879393229322E-12</v>
      </c>
      <c r="R181" s="62">
        <f t="shared" si="109"/>
        <v>293.33333333333911</v>
      </c>
      <c r="S181" s="62">
        <f ca="1">AVERAGE(OFFSET($R$3,0,0,'Données projet'!$E$9+1,1))-AVERAGE(OFFSET($H$3,0,0,'Données projet'!$E$9+1,1))</f>
        <v>183.98573418698061</v>
      </c>
      <c r="T181" s="62">
        <f t="shared" si="142"/>
        <v>158.42298722045609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294.57089926309249</v>
      </c>
      <c r="AO181" s="62">
        <f t="shared" si="144"/>
        <v>221.0956883062172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-9.6633812063373625E-13</v>
      </c>
      <c r="BE181" s="14">
        <f>BD181*VLOOKUP('Données projet'!$B$11,Paramètres!$A$1:$I$89,3,0)*VLOOKUP('Données projet'!$B$11,Paramètres!$A$1:$I$89,5,0)</f>
        <v>-8.7434273154940449E-13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312.29553270286209</v>
      </c>
      <c r="BJ181" s="62">
        <f t="shared" si="146"/>
        <v>175.8423124483154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3.4106051316484809E-13</v>
      </c>
      <c r="BZ181" s="14">
        <f>BY181*VLOOKUP('Données projet'!$B$12,Paramètres!$A$1:$I$89,3,0)*VLOOKUP('Données projet'!$B$12,Paramètres!$A$1:$I$89,5,0)</f>
        <v>2.5006556825246659E-13</v>
      </c>
      <c r="CA181" s="14">
        <f t="shared" si="170"/>
        <v>3.3765445850268018E-12</v>
      </c>
      <c r="CB181" s="22">
        <f t="shared" si="171"/>
        <v>6.3163460169613921E-12</v>
      </c>
      <c r="CC181" s="62">
        <f t="shared" si="119"/>
        <v>293.33333333333962</v>
      </c>
      <c r="CD181" s="62">
        <f ca="1">AVERAGE(OFFSET($CC$3,0,0,'Données projet'!$E$12+1,1))-AVERAGE(OFFSET($H$3,0,0,'Données projet'!$E$12+1,1))</f>
        <v>217.14170654868826</v>
      </c>
      <c r="CE181" s="62">
        <f t="shared" si="148"/>
        <v>202.59844364241644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88.425999999999974</v>
      </c>
      <c r="D182" s="12">
        <f t="shared" si="140"/>
        <v>24.185225169313263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869.27963288592673</v>
      </c>
      <c r="H182" s="70">
        <f t="shared" si="110"/>
        <v>489.46455050322049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3.979039320256561E-13</v>
      </c>
      <c r="O182" s="14">
        <f>N182*VLOOKUP('Données projet'!$B$9,Paramètres!$A$1:$I$89,3,0)*VLOOKUP('Données projet'!$B$9,Paramètres!$A$1:$I$89,5,0)</f>
        <v>2.2760104911867532E-13</v>
      </c>
      <c r="P182" s="14">
        <f t="shared" si="141"/>
        <v>3.1070714519279848E-12</v>
      </c>
      <c r="Q182" s="22">
        <f t="shared" si="162"/>
        <v>5.8078879393229322E-12</v>
      </c>
      <c r="R182" s="62">
        <f t="shared" si="109"/>
        <v>293.33333333333911</v>
      </c>
      <c r="S182" s="62">
        <f ca="1">AVERAGE(OFFSET($R$3,0,0,'Données projet'!$E$9+1,1))-AVERAGE(OFFSET($H$3,0,0,'Données projet'!$E$9+1,1))</f>
        <v>183.98573418698061</v>
      </c>
      <c r="T182" s="62">
        <f t="shared" si="142"/>
        <v>158.42298722045609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294.57089926309249</v>
      </c>
      <c r="AO182" s="62">
        <f t="shared" si="144"/>
        <v>221.0956883062172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-9.6633812063373625E-13</v>
      </c>
      <c r="BE182" s="14">
        <f>BD182*VLOOKUP('Données projet'!$B$11,Paramètres!$A$1:$I$89,3,0)*VLOOKUP('Données projet'!$B$11,Paramètres!$A$1:$I$89,5,0)</f>
        <v>-8.7434273154940449E-13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312.29553270286209</v>
      </c>
      <c r="BJ182" s="62">
        <f t="shared" si="146"/>
        <v>175.8423124483154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3.4106051316484809E-13</v>
      </c>
      <c r="BZ182" s="14">
        <f>BY182*VLOOKUP('Données projet'!$B$12,Paramètres!$A$1:$I$89,3,0)*VLOOKUP('Données projet'!$B$12,Paramètres!$A$1:$I$89,5,0)</f>
        <v>2.5006556825246659E-13</v>
      </c>
      <c r="CA182" s="14">
        <f t="shared" si="170"/>
        <v>3.3765445850268018E-12</v>
      </c>
      <c r="CB182" s="22">
        <f t="shared" si="171"/>
        <v>6.3163460169613921E-12</v>
      </c>
      <c r="CC182" s="62">
        <f t="shared" si="119"/>
        <v>293.33333333333962</v>
      </c>
      <c r="CD182" s="62">
        <f ca="1">AVERAGE(OFFSET($CC$3,0,0,'Données projet'!$E$12+1,1))-AVERAGE(OFFSET($H$3,0,0,'Données projet'!$E$12+1,1))</f>
        <v>217.14170654868826</v>
      </c>
      <c r="CE182" s="62">
        <f t="shared" si="148"/>
        <v>202.59844364241644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88.919999999999973</v>
      </c>
      <c r="D183" s="12">
        <f t="shared" si="140"/>
        <v>24.30457227046648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874.01424208781134</v>
      </c>
      <c r="H183" s="70">
        <f t="shared" si="110"/>
        <v>490.53279670439571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3.979039320256561E-13</v>
      </c>
      <c r="O183" s="14">
        <f>N183*VLOOKUP('Données projet'!$B$9,Paramètres!$A$1:$I$89,3,0)*VLOOKUP('Données projet'!$B$9,Paramètres!$A$1:$I$89,5,0)</f>
        <v>2.2760104911867532E-13</v>
      </c>
      <c r="P183" s="14">
        <f t="shared" si="141"/>
        <v>3.1070714519279848E-12</v>
      </c>
      <c r="Q183" s="22">
        <f t="shared" si="162"/>
        <v>5.8078879393229322E-12</v>
      </c>
      <c r="R183" s="62">
        <f t="shared" si="109"/>
        <v>293.33333333333911</v>
      </c>
      <c r="S183" s="62">
        <f ca="1">AVERAGE(OFFSET($R$3,0,0,'Données projet'!$E$9+1,1))-AVERAGE(OFFSET($H$3,0,0,'Données projet'!$E$9+1,1))</f>
        <v>183.98573418698061</v>
      </c>
      <c r="T183" s="62">
        <f t="shared" si="142"/>
        <v>158.42298722045609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294.57089926309249</v>
      </c>
      <c r="AO183" s="62">
        <f t="shared" si="144"/>
        <v>221.0956883062172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-9.6633812063373625E-13</v>
      </c>
      <c r="BE183" s="14">
        <f>BD183*VLOOKUP('Données projet'!$B$11,Paramètres!$A$1:$I$89,3,0)*VLOOKUP('Données projet'!$B$11,Paramètres!$A$1:$I$89,5,0)</f>
        <v>-8.7434273154940449E-13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312.29553270286209</v>
      </c>
      <c r="BJ183" s="62">
        <f t="shared" si="146"/>
        <v>175.8423124483154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3.4106051316484809E-13</v>
      </c>
      <c r="BZ183" s="14">
        <f>BY183*VLOOKUP('Données projet'!$B$12,Paramètres!$A$1:$I$89,3,0)*VLOOKUP('Données projet'!$B$12,Paramètres!$A$1:$I$89,5,0)</f>
        <v>2.5006556825246659E-13</v>
      </c>
      <c r="CA183" s="14">
        <f t="shared" si="170"/>
        <v>3.3765445850268018E-12</v>
      </c>
      <c r="CB183" s="22">
        <f t="shared" si="171"/>
        <v>6.3163460169613921E-12</v>
      </c>
      <c r="CC183" s="62">
        <f t="shared" si="119"/>
        <v>293.33333333333962</v>
      </c>
      <c r="CD183" s="62">
        <f ca="1">AVERAGE(OFFSET($CC$3,0,0,'Données projet'!$E$12+1,1))-AVERAGE(OFFSET($H$3,0,0,'Données projet'!$E$12+1,1))</f>
        <v>217.14170654868826</v>
      </c>
      <c r="CE183" s="62">
        <f t="shared" si="148"/>
        <v>202.59844364241644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89.413999999999973</v>
      </c>
      <c r="D184" s="12">
        <f t="shared" si="140"/>
        <v>24.42384221835654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878.74825572064674</v>
      </c>
      <c r="H184" s="70">
        <f t="shared" si="110"/>
        <v>491.6009085303042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3.979039320256561E-13</v>
      </c>
      <c r="O184" s="14">
        <f>N184*VLOOKUP('Données projet'!$B$9,Paramètres!$A$1:$I$89,3,0)*VLOOKUP('Données projet'!$B$9,Paramètres!$A$1:$I$89,5,0)</f>
        <v>2.2760104911867532E-13</v>
      </c>
      <c r="P184" s="14">
        <f t="shared" si="141"/>
        <v>3.1070714519279848E-12</v>
      </c>
      <c r="Q184" s="22">
        <f t="shared" si="162"/>
        <v>5.8078879393229322E-12</v>
      </c>
      <c r="R184" s="62">
        <f t="shared" si="109"/>
        <v>293.33333333333911</v>
      </c>
      <c r="S184" s="62">
        <f ca="1">AVERAGE(OFFSET($R$3,0,0,'Données projet'!$E$9+1,1))-AVERAGE(OFFSET($H$3,0,0,'Données projet'!$E$9+1,1))</f>
        <v>183.98573418698061</v>
      </c>
      <c r="T184" s="62">
        <f t="shared" si="142"/>
        <v>158.42298722045609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294.57089926309249</v>
      </c>
      <c r="AO184" s="62">
        <f t="shared" si="144"/>
        <v>221.0956883062172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-9.6633812063373625E-13</v>
      </c>
      <c r="BE184" s="14">
        <f>BD184*VLOOKUP('Données projet'!$B$11,Paramètres!$A$1:$I$89,3,0)*VLOOKUP('Données projet'!$B$11,Paramètres!$A$1:$I$89,5,0)</f>
        <v>-8.7434273154940449E-13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312.29553270286209</v>
      </c>
      <c r="BJ184" s="62">
        <f t="shared" si="146"/>
        <v>175.8423124483154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3.4106051316484809E-13</v>
      </c>
      <c r="BZ184" s="14">
        <f>BY184*VLOOKUP('Données projet'!$B$12,Paramètres!$A$1:$I$89,3,0)*VLOOKUP('Données projet'!$B$12,Paramètres!$A$1:$I$89,5,0)</f>
        <v>2.5006556825246659E-13</v>
      </c>
      <c r="CA184" s="14">
        <f t="shared" si="170"/>
        <v>3.3765445850268018E-12</v>
      </c>
      <c r="CB184" s="22">
        <f t="shared" si="171"/>
        <v>6.3163460169613921E-12</v>
      </c>
      <c r="CC184" s="62">
        <f t="shared" si="119"/>
        <v>293.33333333333962</v>
      </c>
      <c r="CD184" s="62">
        <f ca="1">AVERAGE(OFFSET($CC$3,0,0,'Données projet'!$E$12+1,1))-AVERAGE(OFFSET($H$3,0,0,'Données projet'!$E$12+1,1))</f>
        <v>217.14170654868826</v>
      </c>
      <c r="CE184" s="62">
        <f t="shared" si="148"/>
        <v>202.59844364241644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89.907999999999973</v>
      </c>
      <c r="D185" s="12">
        <f t="shared" si="140"/>
        <v>24.543035488713222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883.48167745673345</v>
      </c>
      <c r="H185" s="70">
        <f t="shared" si="110"/>
        <v>492.66888680950876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3.979039320256561E-13</v>
      </c>
      <c r="O185" s="14">
        <f>N185*VLOOKUP('Données projet'!$B$9,Paramètres!$A$1:$I$89,3,0)*VLOOKUP('Données projet'!$B$9,Paramètres!$A$1:$I$89,5,0)</f>
        <v>2.2760104911867532E-13</v>
      </c>
      <c r="P185" s="14">
        <f t="shared" si="141"/>
        <v>3.1070714519279848E-12</v>
      </c>
      <c r="Q185" s="22">
        <f t="shared" si="162"/>
        <v>5.8078879393229322E-12</v>
      </c>
      <c r="R185" s="62">
        <f t="shared" si="109"/>
        <v>293.33333333333911</v>
      </c>
      <c r="S185" s="62">
        <f ca="1">AVERAGE(OFFSET($R$3,0,0,'Données projet'!$E$9+1,1))-AVERAGE(OFFSET($H$3,0,0,'Données projet'!$E$9+1,1))</f>
        <v>183.98573418698061</v>
      </c>
      <c r="T185" s="62">
        <f t="shared" si="142"/>
        <v>158.42298722045609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294.57089926309249</v>
      </c>
      <c r="AO185" s="62">
        <f t="shared" si="144"/>
        <v>221.0956883062172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-9.6633812063373625E-13</v>
      </c>
      <c r="BE185" s="14">
        <f>BD185*VLOOKUP('Données projet'!$B$11,Paramètres!$A$1:$I$89,3,0)*VLOOKUP('Données projet'!$B$11,Paramètres!$A$1:$I$89,5,0)</f>
        <v>-8.7434273154940449E-13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312.29553270286209</v>
      </c>
      <c r="BJ185" s="62">
        <f t="shared" si="146"/>
        <v>175.8423124483154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3.4106051316484809E-13</v>
      </c>
      <c r="BZ185" s="14">
        <f>BY185*VLOOKUP('Données projet'!$B$12,Paramètres!$A$1:$I$89,3,0)*VLOOKUP('Données projet'!$B$12,Paramètres!$A$1:$I$89,5,0)</f>
        <v>2.5006556825246659E-13</v>
      </c>
      <c r="CA185" s="14">
        <f t="shared" si="170"/>
        <v>3.3765445850268018E-12</v>
      </c>
      <c r="CB185" s="22">
        <f t="shared" si="171"/>
        <v>6.3163460169613921E-12</v>
      </c>
      <c r="CC185" s="62">
        <f t="shared" si="119"/>
        <v>293.33333333333962</v>
      </c>
      <c r="CD185" s="62">
        <f ca="1">AVERAGE(OFFSET($CC$3,0,0,'Données projet'!$E$12+1,1))-AVERAGE(OFFSET($H$3,0,0,'Données projet'!$E$12+1,1))</f>
        <v>217.14170654868826</v>
      </c>
      <c r="CE185" s="62">
        <f t="shared" si="148"/>
        <v>202.59844364241644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90.401999999999973</v>
      </c>
      <c r="D186" s="12">
        <f t="shared" si="140"/>
        <v>24.662152551735971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888.21451092568088</v>
      </c>
      <c r="H186" s="70">
        <f t="shared" si="110"/>
        <v>493.7367323609401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3.979039320256561E-13</v>
      </c>
      <c r="O186" s="14">
        <f>N186*VLOOKUP('Données projet'!$B$9,Paramètres!$A$1:$I$89,3,0)*VLOOKUP('Données projet'!$B$9,Paramètres!$A$1:$I$89,5,0)</f>
        <v>2.2760104911867532E-13</v>
      </c>
      <c r="P186" s="14">
        <f t="shared" si="141"/>
        <v>3.1070714519279848E-12</v>
      </c>
      <c r="Q186" s="22">
        <f t="shared" si="162"/>
        <v>5.8078879393229322E-12</v>
      </c>
      <c r="R186" s="62">
        <f t="shared" si="109"/>
        <v>293.33333333333911</v>
      </c>
      <c r="S186" s="62">
        <f ca="1">AVERAGE(OFFSET($R$3,0,0,'Données projet'!$E$9+1,1))-AVERAGE(OFFSET($H$3,0,0,'Données projet'!$E$9+1,1))</f>
        <v>183.98573418698061</v>
      </c>
      <c r="T186" s="62">
        <f t="shared" si="142"/>
        <v>158.42298722045609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294.57089926309249</v>
      </c>
      <c r="AO186" s="62">
        <f t="shared" si="144"/>
        <v>221.0956883062172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-9.6633812063373625E-13</v>
      </c>
      <c r="BE186" s="14">
        <f>BD186*VLOOKUP('Données projet'!$B$11,Paramètres!$A$1:$I$89,3,0)*VLOOKUP('Données projet'!$B$11,Paramètres!$A$1:$I$89,5,0)</f>
        <v>-8.7434273154940449E-13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312.29553270286209</v>
      </c>
      <c r="BJ186" s="62">
        <f t="shared" si="146"/>
        <v>175.8423124483154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3.4106051316484809E-13</v>
      </c>
      <c r="BZ186" s="14">
        <f>BY186*VLOOKUP('Données projet'!$B$12,Paramètres!$A$1:$I$89,3,0)*VLOOKUP('Données projet'!$B$12,Paramètres!$A$1:$I$89,5,0)</f>
        <v>2.5006556825246659E-13</v>
      </c>
      <c r="CA186" s="14">
        <f t="shared" si="170"/>
        <v>3.3765445850268018E-12</v>
      </c>
      <c r="CB186" s="22">
        <f t="shared" si="171"/>
        <v>6.3163460169613921E-12</v>
      </c>
      <c r="CC186" s="62">
        <f t="shared" si="119"/>
        <v>293.33333333333962</v>
      </c>
      <c r="CD186" s="62">
        <f ca="1">AVERAGE(OFFSET($CC$3,0,0,'Données projet'!$E$12+1,1))-AVERAGE(OFFSET($H$3,0,0,'Données projet'!$E$12+1,1))</f>
        <v>217.14170654868826</v>
      </c>
      <c r="CE186" s="62">
        <f t="shared" si="148"/>
        <v>202.59844364241644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90.895999999999972</v>
      </c>
      <c r="D187" s="12">
        <f t="shared" si="140"/>
        <v>24.781193872187952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892.94675971513482</v>
      </c>
      <c r="H187" s="70">
        <f t="shared" si="110"/>
        <v>494.80444599406064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3.979039320256561E-13</v>
      </c>
      <c r="O187" s="14">
        <f>N187*VLOOKUP('Données projet'!$B$9,Paramètres!$A$1:$I$89,3,0)*VLOOKUP('Données projet'!$B$9,Paramètres!$A$1:$I$89,5,0)</f>
        <v>2.2760104911867532E-13</v>
      </c>
      <c r="P187" s="14">
        <f t="shared" si="141"/>
        <v>3.1070714519279848E-12</v>
      </c>
      <c r="Q187" s="22">
        <f t="shared" si="162"/>
        <v>5.8078879393229322E-12</v>
      </c>
      <c r="R187" s="62">
        <f t="shared" si="109"/>
        <v>293.33333333333911</v>
      </c>
      <c r="S187" s="62">
        <f ca="1">AVERAGE(OFFSET($R$3,0,0,'Données projet'!$E$9+1,1))-AVERAGE(OFFSET($H$3,0,0,'Données projet'!$E$9+1,1))</f>
        <v>183.98573418698061</v>
      </c>
      <c r="T187" s="62">
        <f t="shared" si="142"/>
        <v>158.42298722045609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294.57089926309249</v>
      </c>
      <c r="AO187" s="62">
        <f t="shared" si="144"/>
        <v>221.0956883062172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-9.6633812063373625E-13</v>
      </c>
      <c r="BE187" s="14">
        <f>BD187*VLOOKUP('Données projet'!$B$11,Paramètres!$A$1:$I$89,3,0)*VLOOKUP('Données projet'!$B$11,Paramètres!$A$1:$I$89,5,0)</f>
        <v>-8.7434273154940449E-13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312.29553270286209</v>
      </c>
      <c r="BJ187" s="62">
        <f t="shared" si="146"/>
        <v>175.8423124483154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3.4106051316484809E-13</v>
      </c>
      <c r="BZ187" s="14">
        <f>BY187*VLOOKUP('Données projet'!$B$12,Paramètres!$A$1:$I$89,3,0)*VLOOKUP('Données projet'!$B$12,Paramètres!$A$1:$I$89,5,0)</f>
        <v>2.5006556825246659E-13</v>
      </c>
      <c r="CA187" s="14">
        <f t="shared" si="170"/>
        <v>3.3765445850268018E-12</v>
      </c>
      <c r="CB187" s="22">
        <f t="shared" si="171"/>
        <v>6.3163460169613921E-12</v>
      </c>
      <c r="CC187" s="62">
        <f t="shared" si="119"/>
        <v>293.33333333333962</v>
      </c>
      <c r="CD187" s="62">
        <f ca="1">AVERAGE(OFFSET($CC$3,0,0,'Données projet'!$E$12+1,1))-AVERAGE(OFFSET($H$3,0,0,'Données projet'!$E$12+1,1))</f>
        <v>217.14170654868826</v>
      </c>
      <c r="CE187" s="62">
        <f t="shared" si="148"/>
        <v>202.59844364241644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91.389999999999972</v>
      </c>
      <c r="D188" s="12">
        <f t="shared" si="140"/>
        <v>24.900159909488185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897.67842737148749</v>
      </c>
      <c r="H188" s="70">
        <f t="shared" si="110"/>
        <v>495.8720285090252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3.979039320256561E-13</v>
      </c>
      <c r="O188" s="14">
        <f>N188*VLOOKUP('Données projet'!$B$9,Paramètres!$A$1:$I$89,3,0)*VLOOKUP('Données projet'!$B$9,Paramètres!$A$1:$I$89,5,0)</f>
        <v>2.2760104911867532E-13</v>
      </c>
      <c r="P188" s="14">
        <f t="shared" si="141"/>
        <v>3.1070714519279848E-12</v>
      </c>
      <c r="Q188" s="22">
        <f t="shared" si="162"/>
        <v>5.8078879393229322E-12</v>
      </c>
      <c r="R188" s="62">
        <f t="shared" si="109"/>
        <v>293.33333333333911</v>
      </c>
      <c r="S188" s="62">
        <f ca="1">AVERAGE(OFFSET($R$3,0,0,'Données projet'!$E$9+1,1))-AVERAGE(OFFSET($H$3,0,0,'Données projet'!$E$9+1,1))</f>
        <v>183.98573418698061</v>
      </c>
      <c r="T188" s="62">
        <f t="shared" si="142"/>
        <v>158.42298722045609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294.57089926309249</v>
      </c>
      <c r="AO188" s="62">
        <f t="shared" si="144"/>
        <v>221.0956883062172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-9.6633812063373625E-13</v>
      </c>
      <c r="BE188" s="14">
        <f>BD188*VLOOKUP('Données projet'!$B$11,Paramètres!$A$1:$I$89,3,0)*VLOOKUP('Données projet'!$B$11,Paramètres!$A$1:$I$89,5,0)</f>
        <v>-8.7434273154940449E-13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312.29553270286209</v>
      </c>
      <c r="BJ188" s="62">
        <f t="shared" si="146"/>
        <v>175.8423124483154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3.4106051316484809E-13</v>
      </c>
      <c r="BZ188" s="14">
        <f>BY188*VLOOKUP('Données projet'!$B$12,Paramètres!$A$1:$I$89,3,0)*VLOOKUP('Données projet'!$B$12,Paramètres!$A$1:$I$89,5,0)</f>
        <v>2.5006556825246659E-13</v>
      </c>
      <c r="CA188" s="14">
        <f t="shared" si="170"/>
        <v>3.3765445850268018E-12</v>
      </c>
      <c r="CB188" s="22">
        <f t="shared" si="171"/>
        <v>6.3163460169613921E-12</v>
      </c>
      <c r="CC188" s="62">
        <f t="shared" si="119"/>
        <v>293.33333333333962</v>
      </c>
      <c r="CD188" s="62">
        <f ca="1">AVERAGE(OFFSET($CC$3,0,0,'Données projet'!$E$12+1,1))-AVERAGE(OFFSET($H$3,0,0,'Données projet'!$E$12+1,1))</f>
        <v>217.14170654868826</v>
      </c>
      <c r="CE188" s="62">
        <f t="shared" si="148"/>
        <v>202.59844364241644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91.883999999999972</v>
      </c>
      <c r="D189" s="12">
        <f t="shared" si="140"/>
        <v>25.019051117801563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902.40951740057335</v>
      </c>
      <c r="H189" s="70">
        <f t="shared" si="110"/>
        <v>496.93948069683768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3.979039320256561E-13</v>
      </c>
      <c r="O189" s="14">
        <f>N189*VLOOKUP('Données projet'!$B$9,Paramètres!$A$1:$I$89,3,0)*VLOOKUP('Données projet'!$B$9,Paramètres!$A$1:$I$89,5,0)</f>
        <v>2.2760104911867532E-13</v>
      </c>
      <c r="P189" s="14">
        <f t="shared" si="141"/>
        <v>3.1070714519279848E-12</v>
      </c>
      <c r="Q189" s="22">
        <f t="shared" si="162"/>
        <v>5.8078879393229322E-12</v>
      </c>
      <c r="R189" s="62">
        <f t="shared" si="109"/>
        <v>293.33333333333911</v>
      </c>
      <c r="S189" s="62">
        <f ca="1">AVERAGE(OFFSET($R$3,0,0,'Données projet'!$E$9+1,1))-AVERAGE(OFFSET($H$3,0,0,'Données projet'!$E$9+1,1))</f>
        <v>183.98573418698061</v>
      </c>
      <c r="T189" s="62">
        <f t="shared" si="142"/>
        <v>158.42298722045609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294.57089926309249</v>
      </c>
      <c r="AO189" s="62">
        <f t="shared" si="144"/>
        <v>221.0956883062172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-9.6633812063373625E-13</v>
      </c>
      <c r="BE189" s="14">
        <f>BD189*VLOOKUP('Données projet'!$B$11,Paramètres!$A$1:$I$89,3,0)*VLOOKUP('Données projet'!$B$11,Paramètres!$A$1:$I$89,5,0)</f>
        <v>-8.7434273154940449E-13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312.29553270286209</v>
      </c>
      <c r="BJ189" s="62">
        <f t="shared" si="146"/>
        <v>175.8423124483154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3.4106051316484809E-13</v>
      </c>
      <c r="BZ189" s="14">
        <f>BY189*VLOOKUP('Données projet'!$B$12,Paramètres!$A$1:$I$89,3,0)*VLOOKUP('Données projet'!$B$12,Paramètres!$A$1:$I$89,5,0)</f>
        <v>2.5006556825246659E-13</v>
      </c>
      <c r="CA189" s="14">
        <f t="shared" si="170"/>
        <v>3.3765445850268018E-12</v>
      </c>
      <c r="CB189" s="22">
        <f t="shared" si="171"/>
        <v>6.3163460169613921E-12</v>
      </c>
      <c r="CC189" s="62">
        <f t="shared" si="119"/>
        <v>293.33333333333962</v>
      </c>
      <c r="CD189" s="62">
        <f ca="1">AVERAGE(OFFSET($CC$3,0,0,'Données projet'!$E$12+1,1))-AVERAGE(OFFSET($H$3,0,0,'Données projet'!$E$12+1,1))</f>
        <v>217.14170654868826</v>
      </c>
      <c r="CE189" s="62">
        <f t="shared" si="148"/>
        <v>202.59844364241644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92.377999999999972</v>
      </c>
      <c r="D190" s="12">
        <f t="shared" si="140"/>
        <v>25.137867946126693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907.14003326834609</v>
      </c>
      <c r="H190" s="70">
        <f t="shared" si="110"/>
        <v>498.0068033395039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3.979039320256561E-13</v>
      </c>
      <c r="O190" s="14">
        <f>N190*VLOOKUP('Données projet'!$B$9,Paramètres!$A$1:$I$89,3,0)*VLOOKUP('Données projet'!$B$9,Paramètres!$A$1:$I$89,5,0)</f>
        <v>2.2760104911867532E-13</v>
      </c>
      <c r="P190" s="14">
        <f t="shared" si="141"/>
        <v>3.1070714519279848E-12</v>
      </c>
      <c r="Q190" s="22">
        <f t="shared" si="162"/>
        <v>5.8078879393229322E-12</v>
      </c>
      <c r="R190" s="62">
        <f t="shared" si="109"/>
        <v>293.33333333333911</v>
      </c>
      <c r="S190" s="62">
        <f ca="1">AVERAGE(OFFSET($R$3,0,0,'Données projet'!$E$9+1,1))-AVERAGE(OFFSET($H$3,0,0,'Données projet'!$E$9+1,1))</f>
        <v>183.98573418698061</v>
      </c>
      <c r="T190" s="62">
        <f t="shared" si="142"/>
        <v>158.42298722045609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294.57089926309249</v>
      </c>
      <c r="AO190" s="62">
        <f t="shared" si="144"/>
        <v>221.0956883062172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-9.6633812063373625E-13</v>
      </c>
      <c r="BE190" s="14">
        <f>BD190*VLOOKUP('Données projet'!$B$11,Paramètres!$A$1:$I$89,3,0)*VLOOKUP('Données projet'!$B$11,Paramètres!$A$1:$I$89,5,0)</f>
        <v>-8.7434273154940449E-13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312.29553270286209</v>
      </c>
      <c r="BJ190" s="62">
        <f t="shared" si="146"/>
        <v>175.8423124483154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3.4106051316484809E-13</v>
      </c>
      <c r="BZ190" s="14">
        <f>BY190*VLOOKUP('Données projet'!$B$12,Paramètres!$A$1:$I$89,3,0)*VLOOKUP('Données projet'!$B$12,Paramètres!$A$1:$I$89,5,0)</f>
        <v>2.5006556825246659E-13</v>
      </c>
      <c r="CA190" s="14">
        <f t="shared" si="170"/>
        <v>3.3765445850268018E-12</v>
      </c>
      <c r="CB190" s="22">
        <f t="shared" si="171"/>
        <v>6.3163460169613921E-12</v>
      </c>
      <c r="CC190" s="62">
        <f t="shared" si="119"/>
        <v>293.33333333333962</v>
      </c>
      <c r="CD190" s="62">
        <f ca="1">AVERAGE(OFFSET($CC$3,0,0,'Données projet'!$E$12+1,1))-AVERAGE(OFFSET($H$3,0,0,'Données projet'!$E$12+1,1))</f>
        <v>217.14170654868826</v>
      </c>
      <c r="CE190" s="62">
        <f t="shared" si="148"/>
        <v>202.59844364241644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92.871999999999971</v>
      </c>
      <c r="D191" s="12">
        <f t="shared" si="140"/>
        <v>25.256610838382159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911.86997840154629</v>
      </c>
      <c r="H191" s="70">
        <f t="shared" si="110"/>
        <v>499.0739972101822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3.979039320256561E-13</v>
      </c>
      <c r="O191" s="14">
        <f>N191*VLOOKUP('Données projet'!$B$9,Paramètres!$A$1:$I$89,3,0)*VLOOKUP('Données projet'!$B$9,Paramètres!$A$1:$I$89,5,0)</f>
        <v>2.2760104911867532E-13</v>
      </c>
      <c r="P191" s="14">
        <f t="shared" si="141"/>
        <v>3.1070714519279848E-12</v>
      </c>
      <c r="Q191" s="22">
        <f t="shared" si="162"/>
        <v>5.8078879393229322E-12</v>
      </c>
      <c r="R191" s="62">
        <f t="shared" si="109"/>
        <v>293.33333333333911</v>
      </c>
      <c r="S191" s="62">
        <f ca="1">AVERAGE(OFFSET($R$3,0,0,'Données projet'!$E$9+1,1))-AVERAGE(OFFSET($H$3,0,0,'Données projet'!$E$9+1,1))</f>
        <v>183.98573418698061</v>
      </c>
      <c r="T191" s="62">
        <f t="shared" si="142"/>
        <v>158.42298722045609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294.57089926309249</v>
      </c>
      <c r="AO191" s="62">
        <f t="shared" si="144"/>
        <v>221.0956883062172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-9.6633812063373625E-13</v>
      </c>
      <c r="BE191" s="14">
        <f>BD191*VLOOKUP('Données projet'!$B$11,Paramètres!$A$1:$I$89,3,0)*VLOOKUP('Données projet'!$B$11,Paramètres!$A$1:$I$89,5,0)</f>
        <v>-8.7434273154940449E-13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312.29553270286209</v>
      </c>
      <c r="BJ191" s="62">
        <f t="shared" si="146"/>
        <v>175.8423124483154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3.4106051316484809E-13</v>
      </c>
      <c r="BZ191" s="14">
        <f>BY191*VLOOKUP('Données projet'!$B$12,Paramètres!$A$1:$I$89,3,0)*VLOOKUP('Données projet'!$B$12,Paramètres!$A$1:$I$89,5,0)</f>
        <v>2.5006556825246659E-13</v>
      </c>
      <c r="CA191" s="14">
        <f t="shared" si="170"/>
        <v>3.3765445850268018E-12</v>
      </c>
      <c r="CB191" s="22">
        <f t="shared" si="171"/>
        <v>6.3163460169613921E-12</v>
      </c>
      <c r="CC191" s="62">
        <f t="shared" si="119"/>
        <v>293.33333333333962</v>
      </c>
      <c r="CD191" s="62">
        <f ca="1">AVERAGE(OFFSET($CC$3,0,0,'Données projet'!$E$12+1,1))-AVERAGE(OFFSET($H$3,0,0,'Données projet'!$E$12+1,1))</f>
        <v>217.14170654868826</v>
      </c>
      <c r="CE191" s="62">
        <f t="shared" si="148"/>
        <v>202.59844364241644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93.365999999999971</v>
      </c>
      <c r="D192" s="12">
        <f t="shared" si="140"/>
        <v>25.375280233490678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916.59935618834879</v>
      </c>
      <c r="H192" s="70">
        <f t="shared" si="110"/>
        <v>500.14106307332952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3.979039320256561E-13</v>
      </c>
      <c r="O192" s="14">
        <f>N192*VLOOKUP('Données projet'!$B$9,Paramètres!$A$1:$I$89,3,0)*VLOOKUP('Données projet'!$B$9,Paramètres!$A$1:$I$89,5,0)</f>
        <v>2.2760104911867532E-13</v>
      </c>
      <c r="P192" s="14">
        <f t="shared" si="141"/>
        <v>3.1070714519279848E-12</v>
      </c>
      <c r="Q192" s="22">
        <f t="shared" si="162"/>
        <v>5.8078879393229322E-12</v>
      </c>
      <c r="R192" s="62">
        <f t="shared" si="109"/>
        <v>293.33333333333911</v>
      </c>
      <c r="S192" s="62">
        <f ca="1">AVERAGE(OFFSET($R$3,0,0,'Données projet'!$E$9+1,1))-AVERAGE(OFFSET($H$3,0,0,'Données projet'!$E$9+1,1))</f>
        <v>183.98573418698061</v>
      </c>
      <c r="T192" s="62">
        <f t="shared" si="142"/>
        <v>158.42298722045609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294.57089926309249</v>
      </c>
      <c r="AO192" s="62">
        <f t="shared" si="144"/>
        <v>221.0956883062172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-9.6633812063373625E-13</v>
      </c>
      <c r="BE192" s="14">
        <f>BD192*VLOOKUP('Données projet'!$B$11,Paramètres!$A$1:$I$89,3,0)*VLOOKUP('Données projet'!$B$11,Paramètres!$A$1:$I$89,5,0)</f>
        <v>-8.7434273154940449E-13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312.29553270286209</v>
      </c>
      <c r="BJ192" s="62">
        <f t="shared" si="146"/>
        <v>175.8423124483154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3.4106051316484809E-13</v>
      </c>
      <c r="BZ192" s="14">
        <f>BY192*VLOOKUP('Données projet'!$B$12,Paramètres!$A$1:$I$89,3,0)*VLOOKUP('Données projet'!$B$12,Paramètres!$A$1:$I$89,5,0)</f>
        <v>2.5006556825246659E-13</v>
      </c>
      <c r="CA192" s="14">
        <f t="shared" si="170"/>
        <v>3.3765445850268018E-12</v>
      </c>
      <c r="CB192" s="22">
        <f t="shared" si="171"/>
        <v>6.3163460169613921E-12</v>
      </c>
      <c r="CC192" s="62">
        <f t="shared" si="119"/>
        <v>293.33333333333962</v>
      </c>
      <c r="CD192" s="62">
        <f ca="1">AVERAGE(OFFSET($CC$3,0,0,'Données projet'!$E$12+1,1))-AVERAGE(OFFSET($H$3,0,0,'Données projet'!$E$12+1,1))</f>
        <v>217.14170654868826</v>
      </c>
      <c r="CE192" s="62">
        <f t="shared" si="148"/>
        <v>202.59844364241644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93.859999999999971</v>
      </c>
      <c r="D193" s="12">
        <f t="shared" si="140"/>
        <v>25.493876565461285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921.3281699789992</v>
      </c>
      <c r="H193" s="70">
        <f t="shared" si="110"/>
        <v>501.20800168484499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3.979039320256561E-13</v>
      </c>
      <c r="O193" s="14">
        <f>N193*VLOOKUP('Données projet'!$B$9,Paramètres!$A$1:$I$89,3,0)*VLOOKUP('Données projet'!$B$9,Paramètres!$A$1:$I$89,5,0)</f>
        <v>2.2760104911867532E-13</v>
      </c>
      <c r="P193" s="14">
        <f t="shared" si="141"/>
        <v>3.1070714519279848E-12</v>
      </c>
      <c r="Q193" s="22">
        <f t="shared" si="162"/>
        <v>5.8078879393229322E-12</v>
      </c>
      <c r="R193" s="62">
        <f t="shared" si="109"/>
        <v>293.33333333333911</v>
      </c>
      <c r="S193" s="62">
        <f ca="1">AVERAGE(OFFSET($R$3,0,0,'Données projet'!$E$9+1,1))-AVERAGE(OFFSET($H$3,0,0,'Données projet'!$E$9+1,1))</f>
        <v>183.98573418698061</v>
      </c>
      <c r="T193" s="62">
        <f t="shared" si="142"/>
        <v>158.42298722045609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294.57089926309249</v>
      </c>
      <c r="AO193" s="62">
        <f t="shared" si="144"/>
        <v>221.0956883062172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-9.6633812063373625E-13</v>
      </c>
      <c r="BE193" s="14">
        <f>BD193*VLOOKUP('Données projet'!$B$11,Paramètres!$A$1:$I$89,3,0)*VLOOKUP('Données projet'!$B$11,Paramètres!$A$1:$I$89,5,0)</f>
        <v>-8.7434273154940449E-13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312.29553270286209</v>
      </c>
      <c r="BJ193" s="62">
        <f t="shared" si="146"/>
        <v>175.8423124483154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3.4106051316484809E-13</v>
      </c>
      <c r="BZ193" s="14">
        <f>BY193*VLOOKUP('Données projet'!$B$12,Paramètres!$A$1:$I$89,3,0)*VLOOKUP('Données projet'!$B$12,Paramètres!$A$1:$I$89,5,0)</f>
        <v>2.5006556825246659E-13</v>
      </c>
      <c r="CA193" s="14">
        <f t="shared" si="170"/>
        <v>3.3765445850268018E-12</v>
      </c>
      <c r="CB193" s="22">
        <f t="shared" si="171"/>
        <v>6.3163460169613921E-12</v>
      </c>
      <c r="CC193" s="62">
        <f t="shared" si="119"/>
        <v>293.33333333333962</v>
      </c>
      <c r="CD193" s="62">
        <f ca="1">AVERAGE(OFFSET($CC$3,0,0,'Données projet'!$E$12+1,1))-AVERAGE(OFFSET($H$3,0,0,'Données projet'!$E$12+1,1))</f>
        <v>217.14170654868826</v>
      </c>
      <c r="CE193" s="62">
        <f t="shared" si="148"/>
        <v>202.59844364241644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94.353999999999971</v>
      </c>
      <c r="D194" s="12">
        <f t="shared" si="140"/>
        <v>25.612400263470157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926.05642308643598</v>
      </c>
      <c r="H194" s="70">
        <f t="shared" si="110"/>
        <v>502.27481379221047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3.979039320256561E-13</v>
      </c>
      <c r="O194" s="14">
        <f>N194*VLOOKUP('Données projet'!$B$9,Paramètres!$A$1:$I$89,3,0)*VLOOKUP('Données projet'!$B$9,Paramètres!$A$1:$I$89,5,0)</f>
        <v>2.2760104911867532E-13</v>
      </c>
      <c r="P194" s="14">
        <f t="shared" si="141"/>
        <v>3.1070714519279848E-12</v>
      </c>
      <c r="Q194" s="22">
        <f t="shared" si="162"/>
        <v>5.8078879393229322E-12</v>
      </c>
      <c r="R194" s="62">
        <f t="shared" si="109"/>
        <v>293.33333333333911</v>
      </c>
      <c r="S194" s="62">
        <f ca="1">AVERAGE(OFFSET($R$3,0,0,'Données projet'!$E$9+1,1))-AVERAGE(OFFSET($H$3,0,0,'Données projet'!$E$9+1,1))</f>
        <v>183.98573418698061</v>
      </c>
      <c r="T194" s="62">
        <f t="shared" si="142"/>
        <v>158.42298722045609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294.57089926309249</v>
      </c>
      <c r="AO194" s="62">
        <f t="shared" si="144"/>
        <v>221.0956883062172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-9.6633812063373625E-13</v>
      </c>
      <c r="BE194" s="14">
        <f>BD194*VLOOKUP('Données projet'!$B$11,Paramètres!$A$1:$I$89,3,0)*VLOOKUP('Données projet'!$B$11,Paramètres!$A$1:$I$89,5,0)</f>
        <v>-8.7434273154940449E-13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312.29553270286209</v>
      </c>
      <c r="BJ194" s="62">
        <f t="shared" si="146"/>
        <v>175.8423124483154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3.4106051316484809E-13</v>
      </c>
      <c r="BZ194" s="14">
        <f>BY194*VLOOKUP('Données projet'!$B$12,Paramètres!$A$1:$I$89,3,0)*VLOOKUP('Données projet'!$B$12,Paramètres!$A$1:$I$89,5,0)</f>
        <v>2.5006556825246659E-13</v>
      </c>
      <c r="CA194" s="14">
        <f t="shared" si="170"/>
        <v>3.3765445850268018E-12</v>
      </c>
      <c r="CB194" s="22">
        <f t="shared" si="171"/>
        <v>6.3163460169613921E-12</v>
      </c>
      <c r="CC194" s="62">
        <f t="shared" si="119"/>
        <v>293.33333333333962</v>
      </c>
      <c r="CD194" s="62">
        <f ca="1">AVERAGE(OFFSET($CC$3,0,0,'Données projet'!$E$12+1,1))-AVERAGE(OFFSET($H$3,0,0,'Données projet'!$E$12+1,1))</f>
        <v>217.14170654868826</v>
      </c>
      <c r="CE194" s="62">
        <f t="shared" si="148"/>
        <v>202.59844364241644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94.847999999999971</v>
      </c>
      <c r="D195" s="12">
        <f t="shared" si="140"/>
        <v>25.730851751939202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930.78411878689894</v>
      </c>
      <c r="H195" s="70">
        <f t="shared" si="110"/>
        <v>503.34150013462738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3.979039320256561E-13</v>
      </c>
      <c r="O195" s="14">
        <f>N195*VLOOKUP('Données projet'!$B$9,Paramètres!$A$1:$I$89,3,0)*VLOOKUP('Données projet'!$B$9,Paramètres!$A$1:$I$89,5,0)</f>
        <v>2.2760104911867532E-13</v>
      </c>
      <c r="P195" s="14">
        <f t="shared" si="141"/>
        <v>3.1070714519279848E-12</v>
      </c>
      <c r="Q195" s="22">
        <f t="shared" si="162"/>
        <v>5.8078879393229322E-12</v>
      </c>
      <c r="R195" s="62">
        <f t="shared" ref="R195:R203" si="191">Q195+(I195+J195)*44/12</f>
        <v>293.33333333333911</v>
      </c>
      <c r="S195" s="62">
        <f ca="1">AVERAGE(OFFSET($R$3,0,0,'Données projet'!$E$9+1,1))-AVERAGE(OFFSET($H$3,0,0,'Données projet'!$E$9+1,1))</f>
        <v>183.98573418698061</v>
      </c>
      <c r="T195" s="62">
        <f t="shared" si="142"/>
        <v>158.42298722045609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294.57089926309249</v>
      </c>
      <c r="AO195" s="62">
        <f t="shared" si="144"/>
        <v>221.0956883062172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-9.6633812063373625E-13</v>
      </c>
      <c r="BE195" s="14">
        <f>BD195*VLOOKUP('Données projet'!$B$11,Paramètres!$A$1:$I$89,3,0)*VLOOKUP('Données projet'!$B$11,Paramètres!$A$1:$I$89,5,0)</f>
        <v>-8.7434273154940449E-13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312.29553270286209</v>
      </c>
      <c r="BJ195" s="62">
        <f t="shared" si="146"/>
        <v>175.8423124483154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3.4106051316484809E-13</v>
      </c>
      <c r="BZ195" s="14">
        <f>BY195*VLOOKUP('Données projet'!$B$12,Paramètres!$A$1:$I$89,3,0)*VLOOKUP('Données projet'!$B$12,Paramètres!$A$1:$I$89,5,0)</f>
        <v>2.5006556825246659E-13</v>
      </c>
      <c r="CA195" s="14">
        <f t="shared" si="170"/>
        <v>3.3765445850268018E-12</v>
      </c>
      <c r="CB195" s="22">
        <f t="shared" si="171"/>
        <v>6.3163460169613921E-12</v>
      </c>
      <c r="CC195" s="62">
        <f t="shared" si="119"/>
        <v>293.33333333333962</v>
      </c>
      <c r="CD195" s="62">
        <f ca="1">AVERAGE(OFFSET($CC$3,0,0,'Données projet'!$E$12+1,1))-AVERAGE(OFFSET($H$3,0,0,'Données projet'!$E$12+1,1))</f>
        <v>217.14170654868826</v>
      </c>
      <c r="CE195" s="62">
        <f t="shared" si="148"/>
        <v>202.59844364241644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95.34199999999997</v>
      </c>
      <c r="D196" s="12">
        <f t="shared" si="140"/>
        <v>25.849231450613374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935.511260320524</v>
      </c>
      <c r="H196" s="70">
        <f t="shared" ref="H196:H203" si="192">(B196+E196+F196)*44/12+(C196+D196)*0.475*44/12</f>
        <v>504.40806144315155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3.979039320256561E-13</v>
      </c>
      <c r="O196" s="14">
        <f>N196*VLOOKUP('Données projet'!$B$9,Paramètres!$A$1:$I$89,3,0)*VLOOKUP('Données projet'!$B$9,Paramètres!$A$1:$I$89,5,0)</f>
        <v>2.2760104911867532E-13</v>
      </c>
      <c r="P196" s="14">
        <f t="shared" si="141"/>
        <v>3.1070714519279848E-12</v>
      </c>
      <c r="Q196" s="22">
        <f t="shared" si="162"/>
        <v>5.8078879393229322E-12</v>
      </c>
      <c r="R196" s="62">
        <f t="shared" si="191"/>
        <v>293.33333333333911</v>
      </c>
      <c r="S196" s="62">
        <f ca="1">AVERAGE(OFFSET($R$3,0,0,'Données projet'!$E$9+1,1))-AVERAGE(OFFSET($H$3,0,0,'Données projet'!$E$9+1,1))</f>
        <v>183.98573418698061</v>
      </c>
      <c r="T196" s="62">
        <f t="shared" si="142"/>
        <v>158.42298722045609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294.57089926309249</v>
      </c>
      <c r="AO196" s="62">
        <f t="shared" si="144"/>
        <v>221.0956883062172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-9.6633812063373625E-13</v>
      </c>
      <c r="BE196" s="14">
        <f>BD196*VLOOKUP('Données projet'!$B$11,Paramètres!$A$1:$I$89,3,0)*VLOOKUP('Données projet'!$B$11,Paramètres!$A$1:$I$89,5,0)</f>
        <v>-8.7434273154940449E-13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312.29553270286209</v>
      </c>
      <c r="BJ196" s="62">
        <f t="shared" si="146"/>
        <v>175.8423124483154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3.4106051316484809E-13</v>
      </c>
      <c r="BZ196" s="14">
        <f>BY196*VLOOKUP('Données projet'!$B$12,Paramètres!$A$1:$I$89,3,0)*VLOOKUP('Données projet'!$B$12,Paramètres!$A$1:$I$89,5,0)</f>
        <v>2.5006556825246659E-13</v>
      </c>
      <c r="CA196" s="14">
        <f t="shared" si="170"/>
        <v>3.3765445850268018E-12</v>
      </c>
      <c r="CB196" s="22">
        <f t="shared" si="171"/>
        <v>6.3163460169613921E-12</v>
      </c>
      <c r="CC196" s="62">
        <f t="shared" ref="CC196:CC203" si="195">CB196+(BT196+BU196)*44/12</f>
        <v>293.33333333333962</v>
      </c>
      <c r="CD196" s="62">
        <f ca="1">AVERAGE(OFFSET($CC$3,0,0,'Données projet'!$E$12+1,1))-AVERAGE(OFFSET($H$3,0,0,'Données projet'!$E$12+1,1))</f>
        <v>217.14170654868826</v>
      </c>
      <c r="CE196" s="62">
        <f t="shared" si="148"/>
        <v>202.59844364241644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95.83599999999997</v>
      </c>
      <c r="D197" s="12">
        <f t="shared" ref="D197:D203" si="202">IFERROR(EXP(-1.0587+0.8836*LN(C197)+0.284),0)</f>
        <v>25.967539774636116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940.23785089192768</v>
      </c>
      <c r="H197" s="70">
        <f t="shared" si="192"/>
        <v>505.4744984408245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3.979039320256561E-13</v>
      </c>
      <c r="O197" s="14">
        <f>N197*VLOOKUP('Données projet'!$B$9,Paramètres!$A$1:$I$89,3,0)*VLOOKUP('Données projet'!$B$9,Paramètres!$A$1:$I$89,5,0)</f>
        <v>2.2760104911867532E-13</v>
      </c>
      <c r="P197" s="14">
        <f t="shared" ref="P197:P203" si="203">EXP(-1.0587+0.8836*LN(O197)+0.284)</f>
        <v>3.1070714519279848E-12</v>
      </c>
      <c r="Q197" s="22">
        <f t="shared" si="162"/>
        <v>5.8078879393229322E-12</v>
      </c>
      <c r="R197" s="62">
        <f t="shared" si="191"/>
        <v>293.33333333333911</v>
      </c>
      <c r="S197" s="62">
        <f ca="1">AVERAGE(OFFSET($R$3,0,0,'Données projet'!$E$9+1,1))-AVERAGE(OFFSET($H$3,0,0,'Données projet'!$E$9+1,1))</f>
        <v>183.98573418698061</v>
      </c>
      <c r="T197" s="62">
        <f t="shared" ref="T197:T203" si="204">$T$3</f>
        <v>158.42298722045609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294.57089926309249</v>
      </c>
      <c r="AO197" s="62">
        <f t="shared" ref="AO197:AO203" si="205">$AO$3</f>
        <v>221.0956883062172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-9.6633812063373625E-13</v>
      </c>
      <c r="BE197" s="14">
        <f>BD197*VLOOKUP('Données projet'!$B$11,Paramètres!$A$1:$I$89,3,0)*VLOOKUP('Données projet'!$B$11,Paramètres!$A$1:$I$89,5,0)</f>
        <v>-8.7434273154940449E-13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312.29553270286209</v>
      </c>
      <c r="BJ197" s="62">
        <f t="shared" ref="BJ197:BJ203" si="206">$BJ$3</f>
        <v>175.8423124483154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3.4106051316484809E-13</v>
      </c>
      <c r="BZ197" s="14">
        <f>BY197*VLOOKUP('Données projet'!$B$12,Paramètres!$A$1:$I$89,3,0)*VLOOKUP('Données projet'!$B$12,Paramètres!$A$1:$I$89,5,0)</f>
        <v>2.5006556825246659E-13</v>
      </c>
      <c r="CA197" s="14">
        <f t="shared" si="170"/>
        <v>3.3765445850268018E-12</v>
      </c>
      <c r="CB197" s="22">
        <f t="shared" si="171"/>
        <v>6.3163460169613921E-12</v>
      </c>
      <c r="CC197" s="62">
        <f t="shared" si="195"/>
        <v>293.33333333333962</v>
      </c>
      <c r="CD197" s="62">
        <f ca="1">AVERAGE(OFFSET($CC$3,0,0,'Données projet'!$E$12+1,1))-AVERAGE(OFFSET($H$3,0,0,'Données projet'!$E$12+1,1))</f>
        <v>217.14170654868826</v>
      </c>
      <c r="CE197" s="62">
        <f t="shared" ref="CE197:CE203" si="207">$CE$3</f>
        <v>202.59844364241644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96.32999999999997</v>
      </c>
      <c r="D198" s="12">
        <f t="shared" si="202"/>
        <v>26.08577713462325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944.96389367077575</v>
      </c>
      <c r="H198" s="70">
        <f t="shared" si="192"/>
        <v>506.5408118428021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3.979039320256561E-13</v>
      </c>
      <c r="O198" s="14">
        <f>N198*VLOOKUP('Données projet'!$B$9,Paramètres!$A$1:$I$89,3,0)*VLOOKUP('Données projet'!$B$9,Paramètres!$A$1:$I$89,5,0)</f>
        <v>2.2760104911867532E-13</v>
      </c>
      <c r="P198" s="14">
        <f t="shared" si="203"/>
        <v>3.1070714519279848E-12</v>
      </c>
      <c r="Q198" s="22">
        <f t="shared" si="162"/>
        <v>5.8078879393229322E-12</v>
      </c>
      <c r="R198" s="62">
        <f t="shared" si="191"/>
        <v>293.33333333333911</v>
      </c>
      <c r="S198" s="62">
        <f ca="1">AVERAGE(OFFSET($R$3,0,0,'Données projet'!$E$9+1,1))-AVERAGE(OFFSET($H$3,0,0,'Données projet'!$E$9+1,1))</f>
        <v>183.98573418698061</v>
      </c>
      <c r="T198" s="62">
        <f t="shared" si="204"/>
        <v>158.42298722045609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294.57089926309249</v>
      </c>
      <c r="AO198" s="62">
        <f t="shared" si="205"/>
        <v>221.0956883062172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-9.6633812063373625E-13</v>
      </c>
      <c r="BE198" s="14">
        <f>BD198*VLOOKUP('Données projet'!$B$11,Paramètres!$A$1:$I$89,3,0)*VLOOKUP('Données projet'!$B$11,Paramètres!$A$1:$I$89,5,0)</f>
        <v>-8.7434273154940449E-13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312.29553270286209</v>
      </c>
      <c r="BJ198" s="62">
        <f t="shared" si="206"/>
        <v>175.8423124483154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3.4106051316484809E-13</v>
      </c>
      <c r="BZ198" s="14">
        <f>BY198*VLOOKUP('Données projet'!$B$12,Paramètres!$A$1:$I$89,3,0)*VLOOKUP('Données projet'!$B$12,Paramètres!$A$1:$I$89,5,0)</f>
        <v>2.5006556825246659E-13</v>
      </c>
      <c r="CA198" s="14">
        <f t="shared" si="170"/>
        <v>3.3765445850268018E-12</v>
      </c>
      <c r="CB198" s="22">
        <f t="shared" si="171"/>
        <v>6.3163460169613921E-12</v>
      </c>
      <c r="CC198" s="62">
        <f t="shared" si="195"/>
        <v>293.33333333333962</v>
      </c>
      <c r="CD198" s="62">
        <f ca="1">AVERAGE(OFFSET($CC$3,0,0,'Données projet'!$E$12+1,1))-AVERAGE(OFFSET($H$3,0,0,'Données projet'!$E$12+1,1))</f>
        <v>217.14170654868826</v>
      </c>
      <c r="CE198" s="62">
        <f t="shared" si="207"/>
        <v>202.59844364241644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96.82399999999997</v>
      </c>
      <c r="D199" s="12">
        <f t="shared" si="202"/>
        <v>26.203943936735264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949.68939179234212</v>
      </c>
      <c r="H199" s="70">
        <f t="shared" si="192"/>
        <v>507.60700235648051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3.979039320256561E-13</v>
      </c>
      <c r="O199" s="14">
        <f>N199*VLOOKUP('Données projet'!$B$9,Paramètres!$A$1:$I$89,3,0)*VLOOKUP('Données projet'!$B$9,Paramètres!$A$1:$I$89,5,0)</f>
        <v>2.2760104911867532E-13</v>
      </c>
      <c r="P199" s="14">
        <f t="shared" si="203"/>
        <v>3.1070714519279848E-12</v>
      </c>
      <c r="Q199" s="22">
        <f t="shared" si="162"/>
        <v>5.8078879393229322E-12</v>
      </c>
      <c r="R199" s="62">
        <f t="shared" si="191"/>
        <v>293.33333333333911</v>
      </c>
      <c r="S199" s="62">
        <f ca="1">AVERAGE(OFFSET($R$3,0,0,'Données projet'!$E$9+1,1))-AVERAGE(OFFSET($H$3,0,0,'Données projet'!$E$9+1,1))</f>
        <v>183.98573418698061</v>
      </c>
      <c r="T199" s="62">
        <f t="shared" si="204"/>
        <v>158.42298722045609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294.57089926309249</v>
      </c>
      <c r="AO199" s="62">
        <f t="shared" si="205"/>
        <v>221.0956883062172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-9.6633812063373625E-13</v>
      </c>
      <c r="BE199" s="14">
        <f>BD199*VLOOKUP('Données projet'!$B$11,Paramètres!$A$1:$I$89,3,0)*VLOOKUP('Données projet'!$B$11,Paramètres!$A$1:$I$89,5,0)</f>
        <v>-8.7434273154940449E-13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312.29553270286209</v>
      </c>
      <c r="BJ199" s="62">
        <f t="shared" si="206"/>
        <v>175.8423124483154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3.4106051316484809E-13</v>
      </c>
      <c r="BZ199" s="14">
        <f>BY199*VLOOKUP('Données projet'!$B$12,Paramètres!$A$1:$I$89,3,0)*VLOOKUP('Données projet'!$B$12,Paramètres!$A$1:$I$89,5,0)</f>
        <v>2.5006556825246659E-13</v>
      </c>
      <c r="CA199" s="14">
        <f t="shared" si="170"/>
        <v>3.3765445850268018E-12</v>
      </c>
      <c r="CB199" s="22">
        <f t="shared" si="171"/>
        <v>6.3163460169613921E-12</v>
      </c>
      <c r="CC199" s="62">
        <f t="shared" si="195"/>
        <v>293.33333333333962</v>
      </c>
      <c r="CD199" s="62">
        <f ca="1">AVERAGE(OFFSET($CC$3,0,0,'Données projet'!$E$12+1,1))-AVERAGE(OFFSET($H$3,0,0,'Données projet'!$E$12+1,1))</f>
        <v>217.14170654868826</v>
      </c>
      <c r="CE199" s="62">
        <f t="shared" si="207"/>
        <v>202.59844364241644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97.317999999999969</v>
      </c>
      <c r="D200" s="12">
        <f t="shared" si="202"/>
        <v>26.32204058274829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954.4143483580566</v>
      </c>
      <c r="H200" s="70">
        <f t="shared" si="192"/>
        <v>508.67307068161983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3.979039320256561E-13</v>
      </c>
      <c r="O200" s="14">
        <f>N200*VLOOKUP('Données projet'!$B$9,Paramètres!$A$1:$I$89,3,0)*VLOOKUP('Données projet'!$B$9,Paramètres!$A$1:$I$89,5,0)</f>
        <v>2.2760104911867532E-13</v>
      </c>
      <c r="P200" s="14">
        <f t="shared" si="203"/>
        <v>3.1070714519279848E-12</v>
      </c>
      <c r="Q200" s="22">
        <f t="shared" si="162"/>
        <v>5.8078879393229322E-12</v>
      </c>
      <c r="R200" s="62">
        <f t="shared" si="191"/>
        <v>293.33333333333911</v>
      </c>
      <c r="S200" s="62">
        <f ca="1">AVERAGE(OFFSET($R$3,0,0,'Données projet'!$E$9+1,1))-AVERAGE(OFFSET($H$3,0,0,'Données projet'!$E$9+1,1))</f>
        <v>183.98573418698061</v>
      </c>
      <c r="T200" s="62">
        <f t="shared" si="204"/>
        <v>158.42298722045609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294.57089926309249</v>
      </c>
      <c r="AO200" s="62">
        <f t="shared" si="205"/>
        <v>221.0956883062172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-9.6633812063373625E-13</v>
      </c>
      <c r="BE200" s="14">
        <f>BD200*VLOOKUP('Données projet'!$B$11,Paramètres!$A$1:$I$89,3,0)*VLOOKUP('Données projet'!$B$11,Paramètres!$A$1:$I$89,5,0)</f>
        <v>-8.7434273154940449E-13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312.29553270286209</v>
      </c>
      <c r="BJ200" s="62">
        <f t="shared" si="206"/>
        <v>175.8423124483154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3.4106051316484809E-13</v>
      </c>
      <c r="BZ200" s="14">
        <f>BY200*VLOOKUP('Données projet'!$B$12,Paramètres!$A$1:$I$89,3,0)*VLOOKUP('Données projet'!$B$12,Paramètres!$A$1:$I$89,5,0)</f>
        <v>2.5006556825246659E-13</v>
      </c>
      <c r="CA200" s="14">
        <f t="shared" si="170"/>
        <v>3.3765445850268018E-12</v>
      </c>
      <c r="CB200" s="22">
        <f t="shared" si="171"/>
        <v>6.3163460169613921E-12</v>
      </c>
      <c r="CC200" s="62">
        <f t="shared" si="195"/>
        <v>293.33333333333962</v>
      </c>
      <c r="CD200" s="62">
        <f ca="1">AVERAGE(OFFSET($CC$3,0,0,'Données projet'!$E$12+1,1))-AVERAGE(OFFSET($H$3,0,0,'Données projet'!$E$12+1,1))</f>
        <v>217.14170654868826</v>
      </c>
      <c r="CE200" s="62">
        <f t="shared" si="207"/>
        <v>202.59844364241644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97.811999999999969</v>
      </c>
      <c r="D201" s="12">
        <f t="shared" si="202"/>
        <v>26.44006747012326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959.13876643603896</v>
      </c>
      <c r="H201" s="70">
        <f t="shared" si="192"/>
        <v>509.73901751046458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3.979039320256561E-13</v>
      </c>
      <c r="O201" s="14">
        <f>N201*VLOOKUP('Données projet'!$B$9,Paramètres!$A$1:$I$89,3,0)*VLOOKUP('Données projet'!$B$9,Paramètres!$A$1:$I$89,5,0)</f>
        <v>2.2760104911867532E-13</v>
      </c>
      <c r="P201" s="14">
        <f t="shared" si="203"/>
        <v>3.1070714519279848E-12</v>
      </c>
      <c r="Q201" s="22">
        <f t="shared" si="162"/>
        <v>5.8078879393229322E-12</v>
      </c>
      <c r="R201" s="62">
        <f t="shared" si="191"/>
        <v>293.33333333333911</v>
      </c>
      <c r="S201" s="62">
        <f ca="1">AVERAGE(OFFSET($R$3,0,0,'Données projet'!$E$9+1,1))-AVERAGE(OFFSET($H$3,0,0,'Données projet'!$E$9+1,1))</f>
        <v>183.98573418698061</v>
      </c>
      <c r="T201" s="62">
        <f t="shared" si="204"/>
        <v>158.42298722045609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294.57089926309249</v>
      </c>
      <c r="AO201" s="62">
        <f t="shared" si="205"/>
        <v>221.0956883062172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-9.6633812063373625E-13</v>
      </c>
      <c r="BE201" s="14">
        <f>BD201*VLOOKUP('Données projet'!$B$11,Paramètres!$A$1:$I$89,3,0)*VLOOKUP('Données projet'!$B$11,Paramètres!$A$1:$I$89,5,0)</f>
        <v>-8.7434273154940449E-13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312.29553270286209</v>
      </c>
      <c r="BJ201" s="62">
        <f t="shared" si="206"/>
        <v>175.8423124483154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3.4106051316484809E-13</v>
      </c>
      <c r="BZ201" s="14">
        <f>BY201*VLOOKUP('Données projet'!$B$12,Paramètres!$A$1:$I$89,3,0)*VLOOKUP('Données projet'!$B$12,Paramètres!$A$1:$I$89,5,0)</f>
        <v>2.5006556825246659E-13</v>
      </c>
      <c r="CA201" s="14">
        <f t="shared" si="170"/>
        <v>3.3765445850268018E-12</v>
      </c>
      <c r="CB201" s="22">
        <f t="shared" si="171"/>
        <v>6.3163460169613921E-12</v>
      </c>
      <c r="CC201" s="62">
        <f t="shared" si="195"/>
        <v>293.33333333333962</v>
      </c>
      <c r="CD201" s="62">
        <f ca="1">AVERAGE(OFFSET($CC$3,0,0,'Données projet'!$E$12+1,1))-AVERAGE(OFFSET($H$3,0,0,'Données projet'!$E$12+1,1))</f>
        <v>217.14170654868826</v>
      </c>
      <c r="CE201" s="62">
        <f t="shared" si="207"/>
        <v>202.59844364241644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98.305999999999969</v>
      </c>
      <c r="D202" s="12">
        <f t="shared" si="202"/>
        <v>26.558024992073921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963.86264906162307</v>
      </c>
      <c r="H202" s="70">
        <f t="shared" si="192"/>
        <v>510.80484352786198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3.979039320256561E-13</v>
      </c>
      <c r="O202" s="14">
        <f>N202*VLOOKUP('Données projet'!$B$9,Paramètres!$A$1:$I$89,3,0)*VLOOKUP('Données projet'!$B$9,Paramètres!$A$1:$I$89,5,0)</f>
        <v>2.2760104911867532E-13</v>
      </c>
      <c r="P202" s="14">
        <f t="shared" si="203"/>
        <v>3.1070714519279848E-12</v>
      </c>
      <c r="Q202" s="22">
        <f t="shared" si="162"/>
        <v>5.8078879393229322E-12</v>
      </c>
      <c r="R202" s="62">
        <f t="shared" si="191"/>
        <v>293.33333333333911</v>
      </c>
      <c r="S202" s="62">
        <f ca="1">AVERAGE(OFFSET($R$3,0,0,'Données projet'!$E$9+1,1))-AVERAGE(OFFSET($H$3,0,0,'Données projet'!$E$9+1,1))</f>
        <v>183.98573418698061</v>
      </c>
      <c r="T202" s="62">
        <f t="shared" si="204"/>
        <v>158.42298722045609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294.57089926309249</v>
      </c>
      <c r="AO202" s="62">
        <f t="shared" si="205"/>
        <v>221.0956883062172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-9.6633812063373625E-13</v>
      </c>
      <c r="BE202" s="14">
        <f>BD202*VLOOKUP('Données projet'!$B$11,Paramètres!$A$1:$I$89,3,0)*VLOOKUP('Données projet'!$B$11,Paramètres!$A$1:$I$89,5,0)</f>
        <v>-8.7434273154940449E-13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312.29553270286209</v>
      </c>
      <c r="BJ202" s="62">
        <f t="shared" si="206"/>
        <v>175.8423124483154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3.4106051316484809E-13</v>
      </c>
      <c r="BZ202" s="14">
        <f>BY202*VLOOKUP('Données projet'!$B$12,Paramètres!$A$1:$I$89,3,0)*VLOOKUP('Données projet'!$B$12,Paramètres!$A$1:$I$89,5,0)</f>
        <v>2.5006556825246659E-13</v>
      </c>
      <c r="CA202" s="14">
        <f t="shared" si="170"/>
        <v>3.3765445850268018E-12</v>
      </c>
      <c r="CB202" s="22">
        <f t="shared" si="171"/>
        <v>6.3163460169613921E-12</v>
      </c>
      <c r="CC202" s="62">
        <f t="shared" si="195"/>
        <v>293.33333333333962</v>
      </c>
      <c r="CD202" s="62">
        <f ca="1">AVERAGE(OFFSET($CC$3,0,0,'Données projet'!$E$12+1,1))-AVERAGE(OFFSET($H$3,0,0,'Données projet'!$E$12+1,1))</f>
        <v>217.14170654868826</v>
      </c>
      <c r="CE202" s="62">
        <f t="shared" si="207"/>
        <v>202.59844364241644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98.799999999999969</v>
      </c>
      <c r="D203" s="12">
        <f t="shared" si="202"/>
        <v>26.675913537633271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968.58599923787062</v>
      </c>
      <c r="H203" s="70">
        <f t="shared" si="192"/>
        <v>511.87054941137785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3.979039320256561E-13</v>
      </c>
      <c r="O203" s="14">
        <f>N203*VLOOKUP('Données projet'!$B$9,Paramètres!$A$1:$I$89,3,0)*VLOOKUP('Données projet'!$B$9,Paramètres!$A$1:$I$89,5,0)</f>
        <v>2.2760104911867532E-13</v>
      </c>
      <c r="P203" s="14">
        <f t="shared" si="203"/>
        <v>3.1070714519279848E-12</v>
      </c>
      <c r="Q203" s="22">
        <f t="shared" si="162"/>
        <v>5.8078879393229322E-12</v>
      </c>
      <c r="R203" s="62">
        <f t="shared" si="191"/>
        <v>293.33333333333911</v>
      </c>
      <c r="S203" s="62">
        <f ca="1">AVERAGE(OFFSET($R$3,0,0,'Données projet'!$E$9+1,1))-AVERAGE(OFFSET($H$3,0,0,'Données projet'!$E$9+1,1))</f>
        <v>183.98573418698061</v>
      </c>
      <c r="T203" s="62">
        <f t="shared" si="204"/>
        <v>158.42298722045609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294.57089926309249</v>
      </c>
      <c r="AO203" s="62">
        <f t="shared" si="205"/>
        <v>221.0956883062172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-9.6633812063373625E-13</v>
      </c>
      <c r="BE203" s="14">
        <f>BD203*VLOOKUP('Données projet'!$B$11,Paramètres!$A$1:$I$89,3,0)*VLOOKUP('Données projet'!$B$11,Paramètres!$A$1:$I$89,5,0)</f>
        <v>-8.7434273154940449E-13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312.29553270286209</v>
      </c>
      <c r="BJ203" s="62">
        <f t="shared" si="206"/>
        <v>175.8423124483154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3.4106051316484809E-13</v>
      </c>
      <c r="BZ203" s="14">
        <f>BY203*VLOOKUP('Données projet'!$B$12,Paramètres!$A$1:$I$89,3,0)*VLOOKUP('Données projet'!$B$12,Paramètres!$A$1:$I$89,5,0)</f>
        <v>2.5006556825246659E-13</v>
      </c>
      <c r="CA203" s="14">
        <f t="shared" si="170"/>
        <v>3.3765445850268018E-12</v>
      </c>
      <c r="CB203" s="22">
        <f t="shared" si="171"/>
        <v>6.3163460169613921E-12</v>
      </c>
      <c r="CC203" s="62">
        <f t="shared" si="195"/>
        <v>293.33333333333962</v>
      </c>
      <c r="CD203" s="62">
        <f ca="1">AVERAGE(OFFSET($CC$3,0,0,'Données projet'!$E$12+1,1))-AVERAGE(OFFSET($H$3,0,0,'Données projet'!$E$12+1,1))</f>
        <v>217.14170654868826</v>
      </c>
      <c r="CE203" s="62">
        <f t="shared" si="207"/>
        <v>202.59844364241644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1.201293267214846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1.244502252163008</v>
      </c>
      <c r="BA205" s="88">
        <f>EXP(LN('Données projet'!B88)/'Données projet'!A88)</f>
        <v>1.2054868146447177</v>
      </c>
      <c r="BV205" s="88">
        <f>EXP(LN('Données projet'!B114)/'Données projet'!A114)</f>
        <v>1.2730870686066207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sylvestre</v>
      </c>
      <c r="B6" s="155">
        <f>'Données projet'!D9</f>
        <v>0.68</v>
      </c>
      <c r="C6" s="156">
        <f ca="1">IF(OR('Données projet'!B9="",'Données projet'!C9="",'Données projet'!C9=0%),0,Calculateur!S3)</f>
        <v>183.98573418698061</v>
      </c>
      <c r="D6" s="156">
        <f>IF(OR('Données projet'!B9="",'Données projet'!C9="",'Données projet'!C9=0%),0,Calculateur!T3)</f>
        <v>158.42298722045609</v>
      </c>
      <c r="E6" s="156">
        <f ca="1">MIN(C6,D6)</f>
        <v>158.42298722045609</v>
      </c>
      <c r="F6" s="156">
        <f ca="1">E6*B6</f>
        <v>107.72763130991015</v>
      </c>
      <c r="G6" s="156">
        <f ca="1">F6*(100%-'Données projet'!$C$24)*(100%-'Données projet'!$C$25)*(100%-'Données projet'!$C$26)*(100%-'Données projet'!$C$27)</f>
        <v>96.954868178919142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10.234</v>
      </c>
      <c r="K6" s="160">
        <f>J6*(100%-'Données projet'!$C$24)*(100%-'Données projet'!$C$25)*(100%-'Données projet'!$C$26)*(100%-'Données projet'!$C$27)</f>
        <v>9.2105999999999995</v>
      </c>
      <c r="L6" s="161">
        <f ca="1">G6+I6+K6</f>
        <v>106.16546817891914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Pin laricio</v>
      </c>
      <c r="B7" s="163">
        <f>'Données projet'!D10</f>
        <v>0.51</v>
      </c>
      <c r="C7" s="156">
        <f ca="1">IF(OR('Données projet'!B10="",'Données projet'!C10="",'Données projet'!C10=0%),0,Calculateur!AN3)</f>
        <v>294.57089926309249</v>
      </c>
      <c r="D7" s="156">
        <f>IF(OR('Données projet'!B10="",'Données projet'!C10="",'Données projet'!C10=0%),0,Calculateur!AO3)</f>
        <v>221.0956883062172</v>
      </c>
      <c r="E7" s="156">
        <f t="shared" ref="E7:E15" ca="1" si="0">MIN(C7,D7)</f>
        <v>221.0956883062172</v>
      </c>
      <c r="F7" s="156">
        <f t="shared" ref="F7:F15" ca="1" si="1">E7*B7</f>
        <v>112.75880103617077</v>
      </c>
      <c r="G7" s="156">
        <f ca="1">F7*(100%-'Données projet'!$C$24)*(100%-'Données projet'!$C$25)*(100%-'Données projet'!$C$26)*(100%-'Données projet'!$C$27)</f>
        <v>101.4829209325537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14.693099999999999</v>
      </c>
      <c r="K7" s="160">
        <f>J7*(100%-'Données projet'!$C$24)*(100%-'Données projet'!$C$25)*(100%-'Données projet'!$C$26)*(100%-'Données projet'!$C$27)</f>
        <v>13.223789999999999</v>
      </c>
      <c r="L7" s="161">
        <f t="shared" ref="L7:L15" ca="1" si="2">G7+I7+K7</f>
        <v>114.70671093255369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Chêne sessile</v>
      </c>
      <c r="B8" s="163">
        <f>'Données projet'!D11</f>
        <v>0.34</v>
      </c>
      <c r="C8" s="156">
        <f ca="1">IF(OR('Données projet'!B11="",'Données projet'!C11="",'Données projet'!C11=0%),0,Calculateur!BI3)</f>
        <v>312.29553270286209</v>
      </c>
      <c r="D8" s="156">
        <f>IF(OR('Données projet'!B11="",'Données projet'!C11="",'Données projet'!C11=0%),0,Calculateur!BJ3)</f>
        <v>175.8423124483154</v>
      </c>
      <c r="E8" s="156">
        <f t="shared" ca="1" si="0"/>
        <v>175.8423124483154</v>
      </c>
      <c r="F8" s="156">
        <f t="shared" ca="1" si="1"/>
        <v>59.78638623242724</v>
      </c>
      <c r="G8" s="156">
        <f ca="1">F8*(100%-'Données projet'!$C$24)*(100%-'Données projet'!$C$25)*(100%-'Données projet'!$C$26)*(100%-'Données projet'!$C$27)</f>
        <v>53.807747609184517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2.4650000000000003</v>
      </c>
      <c r="K8" s="160">
        <f>J8*(100%-'Données projet'!$C$24)*(100%-'Données projet'!$C$25)*(100%-'Données projet'!$C$26)*(100%-'Données projet'!$C$27)</f>
        <v>2.2185000000000001</v>
      </c>
      <c r="L8" s="161">
        <f t="shared" ca="1" si="2"/>
        <v>56.026247609184516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Châtaignier</v>
      </c>
      <c r="B9" s="163">
        <f>'Données projet'!D12</f>
        <v>0.17</v>
      </c>
      <c r="C9" s="156">
        <f ca="1">IF(OR('Données projet'!B12="",'Données projet'!C12="",'Données projet'!C12=0%),0,Calculateur!CD3)</f>
        <v>217.14170654868826</v>
      </c>
      <c r="D9" s="156">
        <f>IF(OR('Données projet'!B12="",'Données projet'!C12="",'Données projet'!C12=0%),0,Calculateur!CE3)</f>
        <v>202.59844364241644</v>
      </c>
      <c r="E9" s="156">
        <f t="shared" ca="1" si="0"/>
        <v>202.59844364241644</v>
      </c>
      <c r="F9" s="156">
        <f t="shared" ca="1" si="1"/>
        <v>34.441735419210801</v>
      </c>
      <c r="G9" s="156">
        <f ca="1">F9*(100%-'Données projet'!$C$24)*(100%-'Données projet'!$C$25)*(100%-'Données projet'!$C$26)*(100%-'Données projet'!$C$27)</f>
        <v>30.997561877289723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4.2117500000000003</v>
      </c>
      <c r="K9" s="160">
        <f>J9*(100%-'Données projet'!$C$24)*(100%-'Données projet'!$C$25)*(100%-'Données projet'!$C$26)*(100%-'Données projet'!$C$27)</f>
        <v>3.7905750000000005</v>
      </c>
      <c r="L9" s="161">
        <f t="shared" ca="1" si="2"/>
        <v>34.788136877289723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314.71455399771889</v>
      </c>
      <c r="G16" s="175">
        <f t="shared" ca="1" si="3"/>
        <v>283.2430985979471</v>
      </c>
      <c r="H16" s="176">
        <f t="shared" si="3"/>
        <v>0</v>
      </c>
      <c r="I16" s="176">
        <f t="shared" si="3"/>
        <v>0</v>
      </c>
      <c r="J16" s="177">
        <f t="shared" si="3"/>
        <v>31.603850000000001</v>
      </c>
      <c r="K16" s="177">
        <f t="shared" si="3"/>
        <v>28.443465</v>
      </c>
      <c r="L16" s="178">
        <f t="shared" ca="1" si="3"/>
        <v>311.6865635979471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sylvestre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Pin laricio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Chêne sessile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Châtaignier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abSelected="1" zoomScale="80" zoomScaleNormal="80" workbookViewId="0">
      <selection activeCell="W26" sqref="W26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sylvestre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1200.3864626813142</v>
      </c>
      <c r="U10" s="190">
        <f>'Données projet'!D9</f>
        <v>0.68</v>
      </c>
      <c r="V10" s="189">
        <f>U10*T10</f>
        <v>816.26279462329376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Pin laricio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1901.5817978905743</v>
      </c>
      <c r="U11" s="190">
        <f>'Données projet'!D10</f>
        <v>0.51</v>
      </c>
      <c r="V11" s="189">
        <f t="shared" ref="V11" si="0">U11*T11</f>
        <v>969.80671692419287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Chêne sessile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728.8823513226331</v>
      </c>
      <c r="U12" s="190">
        <f>'Données projet'!D11</f>
        <v>0.34</v>
      </c>
      <c r="V12" s="189">
        <f t="shared" ref="V12:V19" si="1">U12*T12</f>
        <v>247.81999944969527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Châtaignier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1580.8098887385927</v>
      </c>
      <c r="U13" s="190">
        <f>'Données projet'!D12</f>
        <v>0.17</v>
      </c>
      <c r="V13" s="189">
        <f t="shared" si="1"/>
        <v>268.73768108556078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sylvestre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>
        <v>0</v>
      </c>
      <c r="I15" s="204">
        <v>0</v>
      </c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>
        <v>80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79.999999999999972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>
        <v>30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2399.9999999999991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16096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25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-25060.572807917259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30</v>
      </c>
      <c r="B24" s="193">
        <f>'Données projet'!D37</f>
        <v>35</v>
      </c>
      <c r="C24" s="206">
        <v>10</v>
      </c>
      <c r="D24" s="194">
        <f t="shared" ref="D24:D42" si="2">B24*C24</f>
        <v>350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120.60267129102429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35</v>
      </c>
      <c r="B25" s="193">
        <f>'Données projet'!D38</f>
        <v>28</v>
      </c>
      <c r="C25" s="206">
        <v>10</v>
      </c>
      <c r="D25" s="194">
        <f t="shared" si="2"/>
        <v>280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-25181.175479208283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40</v>
      </c>
      <c r="B26" s="193">
        <f>'Données projet'!D39</f>
        <v>37</v>
      </c>
      <c r="C26" s="206">
        <v>15</v>
      </c>
      <c r="D26" s="194">
        <f t="shared" si="2"/>
        <v>555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50</v>
      </c>
      <c r="B27" s="193">
        <f>'Données projet'!D40</f>
        <v>65</v>
      </c>
      <c r="C27" s="206">
        <v>20</v>
      </c>
      <c r="D27" s="194">
        <f t="shared" si="2"/>
        <v>1300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60</v>
      </c>
      <c r="B28" s="193">
        <f>'Données projet'!D41</f>
        <v>60</v>
      </c>
      <c r="C28" s="206">
        <v>30</v>
      </c>
      <c r="D28" s="194">
        <f t="shared" si="2"/>
        <v>1800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70</v>
      </c>
      <c r="B29" s="193">
        <f>'Données projet'!D42</f>
        <v>52</v>
      </c>
      <c r="C29" s="206">
        <v>40</v>
      </c>
      <c r="D29" s="194">
        <f t="shared" si="2"/>
        <v>2080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80</v>
      </c>
      <c r="B30" s="193">
        <f>'Données projet'!D43</f>
        <v>395</v>
      </c>
      <c r="C30" s="206">
        <v>50</v>
      </c>
      <c r="D30" s="194">
        <f t="shared" si="2"/>
        <v>19750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Pin laricio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22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25</v>
      </c>
      <c r="B55" s="193">
        <f>'Données projet'!D63</f>
        <v>33</v>
      </c>
      <c r="C55" s="204">
        <v>10</v>
      </c>
      <c r="D55" s="191">
        <f t="shared" ref="D55:D73" si="4">B55*C55</f>
        <v>330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30</v>
      </c>
      <c r="B56" s="193">
        <f>'Données projet'!D64</f>
        <v>34</v>
      </c>
      <c r="C56" s="204">
        <v>10</v>
      </c>
      <c r="D56" s="191">
        <f t="shared" si="4"/>
        <v>340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35</v>
      </c>
      <c r="B57" s="193">
        <f>'Données projet'!D65</f>
        <v>41</v>
      </c>
      <c r="C57" s="204">
        <v>15</v>
      </c>
      <c r="D57" s="191">
        <f t="shared" si="4"/>
        <v>615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40</v>
      </c>
      <c r="B58" s="193">
        <f>'Données projet'!D66</f>
        <v>41</v>
      </c>
      <c r="C58" s="204">
        <v>20</v>
      </c>
      <c r="D58" s="191">
        <f t="shared" si="4"/>
        <v>820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45</v>
      </c>
      <c r="B59" s="193">
        <f>'Données projet'!D67</f>
        <v>53</v>
      </c>
      <c r="C59" s="204">
        <v>25</v>
      </c>
      <c r="D59" s="191">
        <f t="shared" si="4"/>
        <v>1325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50</v>
      </c>
      <c r="B60" s="193">
        <f>'Données projet'!D68</f>
        <v>53</v>
      </c>
      <c r="C60" s="204">
        <v>30</v>
      </c>
      <c r="D60" s="191">
        <f t="shared" si="4"/>
        <v>1590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58</v>
      </c>
      <c r="B61" s="193">
        <f>'Données projet'!D69</f>
        <v>78</v>
      </c>
      <c r="C61" s="204">
        <v>35</v>
      </c>
      <c r="D61" s="191">
        <f t="shared" si="4"/>
        <v>2730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66</v>
      </c>
      <c r="B62" s="193">
        <f>'Données projet'!D70</f>
        <v>65</v>
      </c>
      <c r="C62" s="204">
        <v>40</v>
      </c>
      <c r="D62" s="191">
        <f t="shared" si="4"/>
        <v>2600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74</v>
      </c>
      <c r="B63" s="193">
        <f>'Données projet'!D71</f>
        <v>37</v>
      </c>
      <c r="C63" s="204">
        <v>40</v>
      </c>
      <c r="D63" s="191">
        <f t="shared" si="4"/>
        <v>1480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82</v>
      </c>
      <c r="B64" s="193">
        <f>'Données projet'!D72</f>
        <v>567</v>
      </c>
      <c r="C64" s="204">
        <v>50</v>
      </c>
      <c r="D64" s="191">
        <f t="shared" si="4"/>
        <v>28350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Chêne sessile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25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30</v>
      </c>
      <c r="B87" s="193">
        <f>'Données projet'!D90</f>
        <v>29</v>
      </c>
      <c r="C87" s="204">
        <v>10</v>
      </c>
      <c r="D87" s="191">
        <f t="shared" si="6"/>
        <v>290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35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40</v>
      </c>
      <c r="B89" s="193">
        <f>'Données projet'!D92</f>
        <v>42</v>
      </c>
      <c r="C89" s="204">
        <v>15</v>
      </c>
      <c r="D89" s="191">
        <f t="shared" si="6"/>
        <v>630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45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50</v>
      </c>
      <c r="B91" s="193">
        <f>'Données projet'!D94</f>
        <v>42</v>
      </c>
      <c r="C91" s="204">
        <v>20</v>
      </c>
      <c r="D91" s="191">
        <f t="shared" si="6"/>
        <v>840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55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60</v>
      </c>
      <c r="B93" s="193">
        <f>'Données projet'!D96</f>
        <v>42</v>
      </c>
      <c r="C93" s="204">
        <v>30</v>
      </c>
      <c r="D93" s="191">
        <f t="shared" si="6"/>
        <v>1260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65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70</v>
      </c>
      <c r="B95" s="193">
        <f>'Données projet'!D98</f>
        <v>42</v>
      </c>
      <c r="C95" s="204">
        <v>40</v>
      </c>
      <c r="D95" s="191">
        <f t="shared" si="6"/>
        <v>1680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75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80</v>
      </c>
      <c r="B97" s="193">
        <f>'Données projet'!D100</f>
        <v>42</v>
      </c>
      <c r="C97" s="204">
        <v>50</v>
      </c>
      <c r="D97" s="191">
        <f t="shared" si="6"/>
        <v>2100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90</v>
      </c>
      <c r="B98" s="193">
        <f>'Données projet'!D101</f>
        <v>42</v>
      </c>
      <c r="C98" s="204">
        <v>60</v>
      </c>
      <c r="D98" s="191">
        <f t="shared" si="6"/>
        <v>2520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100</v>
      </c>
      <c r="B99" s="193">
        <f>'Données projet'!D102</f>
        <v>42</v>
      </c>
      <c r="C99" s="204">
        <v>70</v>
      </c>
      <c r="D99" s="191">
        <f t="shared" si="6"/>
        <v>2940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110</v>
      </c>
      <c r="B100" s="193">
        <f>'Données projet'!D103</f>
        <v>39</v>
      </c>
      <c r="C100" s="204">
        <v>80</v>
      </c>
      <c r="D100" s="191">
        <f t="shared" si="6"/>
        <v>3120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120</v>
      </c>
      <c r="B101" s="193">
        <f>'Données projet'!D104</f>
        <v>35</v>
      </c>
      <c r="C101" s="204">
        <v>90</v>
      </c>
      <c r="D101" s="191">
        <f t="shared" si="6"/>
        <v>3150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130</v>
      </c>
      <c r="B102" s="193">
        <f>'Données projet'!D105</f>
        <v>31</v>
      </c>
      <c r="C102" s="204">
        <v>100</v>
      </c>
      <c r="D102" s="191">
        <f t="shared" si="6"/>
        <v>3100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140</v>
      </c>
      <c r="B103" s="193">
        <f>'Données projet'!D106</f>
        <v>27</v>
      </c>
      <c r="C103" s="204">
        <v>120</v>
      </c>
      <c r="D103" s="191">
        <f t="shared" si="6"/>
        <v>3240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150</v>
      </c>
      <c r="B104" s="193">
        <f>'Données projet'!D107</f>
        <v>293</v>
      </c>
      <c r="C104" s="204">
        <v>200</v>
      </c>
      <c r="D104" s="191">
        <f t="shared" si="6"/>
        <v>58600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7"/>
        <v>0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7"/>
        <v>0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7"/>
        <v>0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Châtaignier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7"/>
        <v>0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7"/>
        <v>0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>
        <f>IF(O108+1&lt;=MIN('Données projet'!$E$9:$E$18),O108+1,"STOP")</f>
        <v>76</v>
      </c>
      <c r="P109" s="197">
        <f t="shared" si="7"/>
        <v>0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>
        <f>IF(O109+1&lt;=MIN('Données projet'!$E$9:$E$18),O109+1,"STOP")</f>
        <v>77</v>
      </c>
      <c r="P110" s="197">
        <f t="shared" si="7"/>
        <v>0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>
        <f>IF(O110+1&lt;=MIN('Données projet'!$E$9:$E$18),O110+1,"STOP")</f>
        <v>78</v>
      </c>
      <c r="P111" s="197">
        <f t="shared" si="7"/>
        <v>0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>
        <f>IF(O111+1&lt;=MIN('Données projet'!$E$9:$E$18),O111+1,"STOP")</f>
        <v>79</v>
      </c>
      <c r="P112" s="197">
        <f t="shared" si="7"/>
        <v>0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>
        <f>IF(O112+1&lt;=MIN('Données projet'!$E$9:$E$18),O112+1,"STOP")</f>
        <v>80</v>
      </c>
      <c r="P113" s="197">
        <f t="shared" si="7"/>
        <v>0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str">
        <f>IF(O113+1&lt;=MIN('Données projet'!$E$9:$E$18),O113+1,"STOP")</f>
        <v>STOP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15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20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25</v>
      </c>
      <c r="B118" s="193">
        <f>'Données projet'!D116</f>
        <v>71.099999999999994</v>
      </c>
      <c r="C118" s="204">
        <v>10</v>
      </c>
      <c r="D118" s="191">
        <f t="shared" si="8"/>
        <v>711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30</v>
      </c>
      <c r="B119" s="193">
        <f>'Données projet'!D117</f>
        <v>28</v>
      </c>
      <c r="C119" s="204">
        <v>15</v>
      </c>
      <c r="D119" s="191">
        <f t="shared" si="8"/>
        <v>420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35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40</v>
      </c>
      <c r="B121" s="193">
        <f>'Données projet'!D119</f>
        <v>56</v>
      </c>
      <c r="C121" s="204">
        <v>20</v>
      </c>
      <c r="D121" s="191">
        <f t="shared" si="8"/>
        <v>1120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45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50</v>
      </c>
      <c r="B123" s="193">
        <f>'Données projet'!D121</f>
        <v>38.299999999999997</v>
      </c>
      <c r="C123" s="204">
        <v>25</v>
      </c>
      <c r="D123" s="191">
        <f t="shared" si="8"/>
        <v>957.49999999999989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55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60</v>
      </c>
      <c r="B125" s="193">
        <f>'Données projet'!D123</f>
        <v>25.200000000000003</v>
      </c>
      <c r="C125" s="204">
        <v>30</v>
      </c>
      <c r="D125" s="191">
        <f t="shared" si="8"/>
        <v>756.00000000000011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65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70</v>
      </c>
      <c r="B127" s="193">
        <f>'Données projet'!D125</f>
        <v>20.9</v>
      </c>
      <c r="C127" s="204">
        <v>40</v>
      </c>
      <c r="D127" s="191">
        <f t="shared" si="8"/>
        <v>836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75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80</v>
      </c>
      <c r="B129" s="193">
        <f>'Données projet'!D127</f>
        <v>284.60000000000002</v>
      </c>
      <c r="C129" s="204">
        <v>100</v>
      </c>
      <c r="D129" s="191">
        <f t="shared" si="8"/>
        <v>28460.000000000004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OCCI_OG</cp:lastModifiedBy>
  <dcterms:created xsi:type="dcterms:W3CDTF">2021-02-01T08:22:39Z</dcterms:created>
  <dcterms:modified xsi:type="dcterms:W3CDTF">2022-09-02T12:27:16Z</dcterms:modified>
</cp:coreProperties>
</file>