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amilleS3\Documents\2020-CNPF\1.CARBONE\1.Projets\Moët Hennessy\83-Galoupet\C+for n° 91 La Londe-les-Maures (Château Galoupet n°1)\"/>
    </mc:Choice>
  </mc:AlternateContent>
  <bookViews>
    <workbookView xWindow="0" yWindow="0" windowWidth="28800" windowHeight="1231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2" i="1" l="1"/>
  <c r="D101" i="1"/>
  <c r="D100" i="1"/>
  <c r="D99" i="1"/>
  <c r="D98" i="1"/>
  <c r="D97" i="1"/>
  <c r="D96" i="1"/>
  <c r="D95" i="1"/>
  <c r="D94" i="1"/>
  <c r="D93" i="1"/>
  <c r="D92" i="1"/>
  <c r="D91" i="1"/>
  <c r="B90" i="1"/>
  <c r="B89" i="1"/>
  <c r="D90" i="1"/>
  <c r="B102" i="1"/>
  <c r="B101" i="1"/>
  <c r="B100" i="1"/>
  <c r="B99" i="1"/>
  <c r="B98" i="1"/>
  <c r="B97" i="1"/>
  <c r="B96" i="1"/>
  <c r="B95" i="1"/>
  <c r="B94" i="1"/>
  <c r="B93" i="1"/>
  <c r="B92" i="1"/>
  <c r="B91" i="1"/>
  <c r="B88" i="1"/>
  <c r="D117" i="1"/>
  <c r="D4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83" i="2" l="1" a="1"/>
  <c r="BC83" i="2" s="1"/>
  <c r="BC31" i="2" a="1"/>
  <c r="BC31" i="2" s="1"/>
  <c r="BC164" i="2" a="1"/>
  <c r="BC164" i="2" s="1"/>
  <c r="BC181" i="2" a="1"/>
  <c r="BC181" i="2" s="1"/>
  <c r="BC126" i="2" a="1"/>
  <c r="BC126" i="2" s="1"/>
  <c r="BC18" i="2" a="1"/>
  <c r="BC18" i="2" s="1"/>
  <c r="BC84" i="2" a="1"/>
  <c r="BC84" i="2" s="1"/>
  <c r="BC65" i="2" a="1"/>
  <c r="BC65" i="2" s="1"/>
  <c r="BC38" i="2" a="1"/>
  <c r="BC38" i="2" s="1"/>
  <c r="BC32" i="2" a="1"/>
  <c r="BC32" i="2" s="1"/>
  <c r="BC114" i="2" a="1"/>
  <c r="BC114" i="2" s="1"/>
  <c r="BC151" i="2" a="1"/>
  <c r="BC151" i="2" s="1"/>
  <c r="BC192" i="2" a="1"/>
  <c r="BC192" i="2" s="1"/>
  <c r="BC82" i="2" a="1"/>
  <c r="BC82" i="2" s="1"/>
  <c r="BC7" i="2" a="1"/>
  <c r="BC7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BX107" i="2" a="1"/>
  <c r="BX107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10" i="2" l="1"/>
  <c r="BI47" i="2"/>
  <c r="BI100" i="2"/>
  <c r="BI52" i="2"/>
  <c r="BI79" i="2"/>
  <c r="BI6" i="2"/>
  <c r="BI196" i="2"/>
  <c r="BI84" i="2"/>
  <c r="BI42" i="2"/>
  <c r="BI43" i="2"/>
  <c r="BI131" i="2"/>
  <c r="BI186" i="2"/>
  <c r="BI140" i="2"/>
  <c r="BI132" i="2"/>
  <c r="BI87" i="2"/>
  <c r="BI173" i="2"/>
  <c r="BI147" i="2"/>
  <c r="BI187" i="2"/>
  <c r="BI199" i="2"/>
  <c r="BI53" i="2"/>
  <c r="BI80" i="2"/>
  <c r="BI97" i="2"/>
  <c r="BI168" i="2"/>
  <c r="BI120" i="2"/>
  <c r="BI49" i="2"/>
  <c r="BI178" i="2"/>
  <c r="BI103" i="2"/>
  <c r="BI64" i="2"/>
  <c r="BI85" i="2"/>
  <c r="BI166" i="2"/>
  <c r="BI153" i="2"/>
  <c r="BI22" i="2"/>
  <c r="BI8" i="2"/>
  <c r="BI115" i="2"/>
  <c r="BI188" i="2"/>
  <c r="BI142" i="2"/>
  <c r="BI129" i="2"/>
  <c r="BI150" i="2"/>
  <c r="BI149" i="2"/>
  <c r="BI114" i="2"/>
  <c r="BI175" i="2"/>
  <c r="BI54" i="2"/>
  <c r="BI156" i="2"/>
  <c r="BI183" i="2"/>
  <c r="BI176" i="2"/>
  <c r="BI125" i="2"/>
  <c r="BI181" i="2"/>
  <c r="BI68" i="2"/>
  <c r="BI9" i="2"/>
  <c r="BI102" i="2"/>
  <c r="BI21" i="2"/>
  <c r="BI152" i="2"/>
  <c r="BI190" i="2"/>
  <c r="BI18" i="2"/>
  <c r="BI101" i="2"/>
  <c r="BI193" i="2"/>
  <c r="BI106" i="2"/>
  <c r="BI69" i="2"/>
  <c r="BI127" i="2"/>
  <c r="BI136" i="2"/>
  <c r="BI105" i="2"/>
  <c r="BI162" i="2"/>
  <c r="BI113" i="2"/>
  <c r="BI82" i="2"/>
  <c r="BI93" i="2"/>
  <c r="BI33" i="2"/>
  <c r="BI63" i="2"/>
  <c r="BI11" i="2"/>
  <c r="BI174" i="2"/>
  <c r="BI95" i="2"/>
  <c r="BI96" i="2"/>
  <c r="BI144" i="2"/>
  <c r="BI91" i="2"/>
  <c r="BI65" i="2"/>
  <c r="BI50" i="2"/>
  <c r="BI134" i="2"/>
  <c r="BI124" i="2"/>
  <c r="BI130" i="2"/>
  <c r="BI15" i="2"/>
  <c r="BI99" i="2"/>
  <c r="BI158" i="2"/>
  <c r="BI107" i="2"/>
  <c r="BI139" i="2"/>
  <c r="BI137" i="2"/>
  <c r="BI194" i="2"/>
  <c r="BI148" i="2"/>
  <c r="BI108" i="2"/>
  <c r="BI171" i="2"/>
  <c r="BI45" i="2"/>
  <c r="BI159" i="2"/>
  <c r="BI7" i="2"/>
  <c r="BI48" i="2"/>
  <c r="BI35" i="2"/>
  <c r="BI73" i="2"/>
  <c r="BI77" i="2"/>
  <c r="BI141" i="2"/>
  <c r="BI34" i="2"/>
  <c r="BI10" i="2"/>
  <c r="BI89" i="2"/>
  <c r="BI145" i="2"/>
  <c r="BI122" i="2"/>
  <c r="BI17" i="2"/>
  <c r="BI5" i="2"/>
  <c r="BI74" i="2"/>
  <c r="BI30" i="2"/>
  <c r="BI83" i="2"/>
  <c r="BI163" i="2"/>
  <c r="BI198" i="2"/>
  <c r="BI111" i="2"/>
  <c r="BI195" i="2"/>
  <c r="BI90" i="2"/>
  <c r="BI66" i="2"/>
  <c r="BI179" i="2"/>
  <c r="BI197" i="2"/>
  <c r="BI182" i="2"/>
  <c r="BI86" i="2"/>
  <c r="BI138" i="2"/>
  <c r="BI191" i="2"/>
  <c r="BI177" i="2"/>
  <c r="BI161" i="2"/>
  <c r="BI112" i="2"/>
  <c r="BI14" i="2"/>
  <c r="BI151" i="2"/>
  <c r="BI155" i="2"/>
  <c r="BI121" i="2"/>
  <c r="BI39" i="2"/>
  <c r="BI109" i="2"/>
  <c r="BI200" i="2"/>
  <c r="BI189" i="2"/>
  <c r="BI32" i="2"/>
  <c r="BI36" i="2"/>
  <c r="BI72" i="2"/>
  <c r="BI170" i="2"/>
  <c r="BI185" i="2"/>
  <c r="BI88" i="2"/>
  <c r="BI76" i="2"/>
  <c r="BI25" i="2"/>
  <c r="BI29" i="2"/>
  <c r="BI184" i="2"/>
  <c r="BI164" i="2"/>
  <c r="BI119" i="2"/>
  <c r="BI201" i="2"/>
  <c r="BI56" i="2"/>
  <c r="BI128" i="2"/>
  <c r="BI27" i="2"/>
  <c r="BI165" i="2"/>
  <c r="BI57" i="2"/>
  <c r="BI20" i="2"/>
  <c r="BI62" i="2"/>
  <c r="BI61" i="2"/>
  <c r="BI117" i="2"/>
  <c r="BI24" i="2"/>
  <c r="BI160" i="2"/>
  <c r="BI180" i="2"/>
  <c r="BI4" i="2"/>
  <c r="BI44" i="2"/>
  <c r="BI202" i="2"/>
  <c r="BI104" i="2"/>
  <c r="BI46" i="2"/>
  <c r="BI13" i="2"/>
  <c r="BI116" i="2"/>
  <c r="BI37" i="2"/>
  <c r="BI3" i="2"/>
  <c r="C8" i="4" s="1"/>
  <c r="E8" i="4" s="1"/>
  <c r="F8" i="4" s="1"/>
  <c r="G8" i="4" s="1"/>
  <c r="L8" i="4" s="1"/>
  <c r="BI154" i="2"/>
  <c r="BI75" i="2"/>
  <c r="BI126" i="2"/>
  <c r="BI157" i="2"/>
  <c r="BI167" i="2"/>
  <c r="BI60" i="2"/>
  <c r="BI67" i="2"/>
  <c r="BI92" i="2"/>
  <c r="BI59" i="2"/>
  <c r="BI19" i="2"/>
  <c r="BI81" i="2"/>
  <c r="BI123" i="2"/>
  <c r="BI23" i="2"/>
  <c r="BI55" i="2"/>
  <c r="BI40" i="2"/>
  <c r="BI172" i="2"/>
  <c r="BI94" i="2"/>
  <c r="BI41" i="2"/>
  <c r="BI12" i="2"/>
  <c r="BI51" i="2"/>
  <c r="BI146" i="2"/>
  <c r="BI70" i="2"/>
  <c r="BI38" i="2"/>
  <c r="BI28" i="2"/>
  <c r="BI169" i="2"/>
  <c r="BI118" i="2"/>
  <c r="BI58" i="2"/>
  <c r="BI143" i="2"/>
  <c r="BI26" i="2"/>
  <c r="BI135" i="2"/>
  <c r="BI133" i="2"/>
  <c r="BI31" i="2"/>
  <c r="BI78" i="2"/>
  <c r="BI71" i="2"/>
  <c r="BI203" i="2"/>
  <c r="BI16" i="2"/>
  <c r="BI98" i="2"/>
  <c r="BI19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<sst xmlns="http://schemas.openxmlformats.org/spreadsheetml/2006/main" count="1173" uniqueCount="324">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</sst>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3.1949844301975641</c:v>
                </c:pt>
                <c:pt idx="2">
                  <c:v>3.6861486442505189</c:v>
                </c:pt>
                <c:pt idx="3">
                  <c:v>4.2530885286909905</c:v>
                </c:pt>
                <c:pt idx="4">
                  <c:v>4.9075337652808493</c:v>
                </c:pt>
                <c:pt idx="5">
                  <c:v>5.6630354161338632</c:v>
                </c:pt>
                <c:pt idx="6">
                  <c:v>6.5352495692815209</c:v>
                </c:pt>
                <c:pt idx="7">
                  <c:v>7.5422652752297656</c:v>
                </c:pt>
                <c:pt idx="8">
                  <c:v>8.7049837075457592</c:v>
                </c:pt>
                <c:pt idx="9">
                  <c:v>10.047556568212382</c:v>
                </c:pt>
                <c:pt idx="10">
                  <c:v>11.59789301718096</c:v>
                </c:pt>
                <c:pt idx="11">
                  <c:v>13.388245862171432</c:v>
                </c:pt>
                <c:pt idx="12">
                  <c:v>15.455889430493878</c:v>
                </c:pt>
                <c:pt idx="13">
                  <c:v>17.843903495596429</c:v>
                </c:pt>
                <c:pt idx="14">
                  <c:v>20.602079888979755</c:v>
                </c:pt>
                <c:pt idx="15">
                  <c:v>23.787971041454316</c:v>
                </c:pt>
                <c:pt idx="16">
                  <c:v>26.723910932747302</c:v>
                </c:pt>
                <c:pt idx="17">
                  <c:v>32.19494178473294</c:v>
                </c:pt>
                <c:pt idx="18">
                  <c:v>37.640212630241642</c:v>
                </c:pt>
                <c:pt idx="19">
                  <c:v>43.063997027321172</c:v>
                </c:pt>
                <c:pt idx="20">
                  <c:v>48.469395303665067</c:v>
                </c:pt>
                <c:pt idx="21">
                  <c:v>53.858755241611668</c:v>
                </c:pt>
                <c:pt idx="22">
                  <c:v>59.23391377881763</c:v>
                </c:pt>
                <c:pt idx="23">
                  <c:v>64.596345624270867</c:v>
                </c:pt>
                <c:pt idx="24">
                  <c:v>69.947259581690631</c:v>
                </c:pt>
                <c:pt idx="25">
                  <c:v>75.287663669456649</c:v>
                </c:pt>
                <c:pt idx="26">
                  <c:v>80.618410693922087</c:v>
                </c:pt>
                <c:pt idx="27">
                  <c:v>85.940231077879261</c:v>
                </c:pt>
                <c:pt idx="28">
                  <c:v>91.253757094999585</c:v>
                </c:pt>
                <c:pt idx="29">
                  <c:v>96.559541140851465</c:v>
                </c:pt>
                <c:pt idx="30">
                  <c:v>101.85806976238833</c:v>
                </c:pt>
                <c:pt idx="31">
                  <c:v>103.98118360615562</c:v>
                </c:pt>
                <c:pt idx="32">
                  <c:v>106.10322599785003</c:v>
                </c:pt>
                <c:pt idx="33">
                  <c:v>108.22422147909747</c:v>
                </c:pt>
                <c:pt idx="34">
                  <c:v>110.34419354723842</c:v>
                </c:pt>
                <c:pt idx="35">
                  <c:v>112.46316471947425</c:v>
                </c:pt>
                <c:pt idx="36">
                  <c:v>114.58115659190939</c:v>
                </c:pt>
                <c:pt idx="37">
                  <c:v>116.69818989398408</c:v>
                </c:pt>
                <c:pt idx="38">
                  <c:v>118.81428453873752</c:v>
                </c:pt>
                <c:pt idx="39">
                  <c:v>120.92945966929015</c:v>
                </c:pt>
                <c:pt idx="40">
                  <c:v>123.04373370189347</c:v>
                </c:pt>
                <c:pt idx="41">
                  <c:v>125.15712436585532</c:v>
                </c:pt>
                <c:pt idx="42">
                  <c:v>127.2696487406195</c:v>
                </c:pt>
                <c:pt idx="43">
                  <c:v>129.38132329024566</c:v>
                </c:pt>
                <c:pt idx="44">
                  <c:v>131.49216389551384</c:v>
                </c:pt>
                <c:pt idx="45">
                  <c:v>133.60218588385234</c:v>
                </c:pt>
                <c:pt idx="46">
                  <c:v>135.71140405727081</c:v>
                </c:pt>
                <c:pt idx="47">
                  <c:v>137.81983271845957</c:v>
                </c:pt>
                <c:pt idx="48">
                  <c:v>139.92748569520398</c:v>
                </c:pt>
                <c:pt idx="49">
                  <c:v>130.94310954225176</c:v>
                </c:pt>
                <c:pt idx="50">
                  <c:v>137.11861518013617</c:v>
                </c:pt>
                <c:pt idx="51">
                  <c:v>143.28743140284391</c:v>
                </c:pt>
                <c:pt idx="52">
                  <c:v>149.44988742037384</c:v>
                </c:pt>
                <c:pt idx="53">
                  <c:v>155.60628301731109</c:v>
                </c:pt>
                <c:pt idx="54">
                  <c:v>161.75689226967384</c:v>
                </c:pt>
                <c:pt idx="55">
                  <c:v>167.9019666656329</c:v>
                </c:pt>
                <c:pt idx="56">
                  <c:v>174.04173774450919</c:v>
                </c:pt>
                <c:pt idx="57">
                  <c:v>180.17641934315125</c:v>
                </c:pt>
                <c:pt idx="58">
                  <c:v>186.30620951977571</c:v>
                </c:pt>
                <c:pt idx="59">
                  <c:v>192.43129221090157</c:v>
                </c:pt>
                <c:pt idx="60">
                  <c:v>198.55183866590994</c:v>
                </c:pt>
                <c:pt idx="61">
                  <c:v>204.66800869515851</c:v>
                </c:pt>
                <c:pt idx="62">
                  <c:v>210.77995176085074</c:v>
                </c:pt>
                <c:pt idx="63">
                  <c:v>216.88780793455678</c:v>
                </c:pt>
                <c:pt idx="64">
                  <c:v>200.16239393671924</c:v>
                </c:pt>
                <c:pt idx="65">
                  <c:v>206.96406386456263</c:v>
                </c:pt>
                <c:pt idx="66">
                  <c:v>213.76057005507562</c:v>
                </c:pt>
                <c:pt idx="67">
                  <c:v>220.5521001023271</c:v>
                </c:pt>
                <c:pt idx="68">
                  <c:v>227.33882908592145</c:v>
                </c:pt>
                <c:pt idx="69">
                  <c:v>234.12092076291739</c:v>
                </c:pt>
                <c:pt idx="70">
                  <c:v>240.89852861422355</c:v>
                </c:pt>
                <c:pt idx="71">
                  <c:v>247.67179676692135</c:v>
                </c:pt>
                <c:pt idx="72">
                  <c:v>254.44086081029073</c:v>
                </c:pt>
                <c:pt idx="73">
                  <c:v>261.20584852035182</c:v>
                </c:pt>
                <c:pt idx="74">
                  <c:v>267.96688050533498</c:v>
                </c:pt>
                <c:pt idx="75">
                  <c:v>274.72407078252769</c:v>
                </c:pt>
                <c:pt idx="76">
                  <c:v>281.47752729533948</c:v>
                </c:pt>
                <c:pt idx="77">
                  <c:v>288.22735237809775</c:v>
                </c:pt>
                <c:pt idx="78">
                  <c:v>294.97364317498312</c:v>
                </c:pt>
                <c:pt idx="79">
                  <c:v>270.17338659758155</c:v>
                </c:pt>
                <c:pt idx="80">
                  <c:v>277.39559392080099</c:v>
                </c:pt>
                <c:pt idx="81">
                  <c:v>284.61358109920002</c:v>
                </c:pt>
                <c:pt idx="82">
                  <c:v>291.82747037945143</c:v>
                </c:pt>
                <c:pt idx="83">
                  <c:v>299.03737746422831</c:v>
                </c:pt>
                <c:pt idx="84">
                  <c:v>306.24341201535486</c:v>
                </c:pt>
                <c:pt idx="85">
                  <c:v>313.44567810708321</c:v>
                </c:pt>
                <c:pt idx="86">
                  <c:v>320.64427463549805</c:v>
                </c:pt>
                <c:pt idx="87">
                  <c:v>327.83929568920394</c:v>
                </c:pt>
                <c:pt idx="88">
                  <c:v>335.03083088574698</c:v>
                </c:pt>
                <c:pt idx="89">
                  <c:v>342.21896567761974</c:v>
                </c:pt>
                <c:pt idx="90">
                  <c:v>349.40378163119493</c:v>
                </c:pt>
                <c:pt idx="91">
                  <c:v>356.58535668150222</c:v>
                </c:pt>
                <c:pt idx="92">
                  <c:v>363.76376536539584</c:v>
                </c:pt>
                <c:pt idx="93">
                  <c:v>370.93907903534273</c:v>
                </c:pt>
                <c:pt idx="94">
                  <c:v>378.11136605579651</c:v>
                </c:pt>
                <c:pt idx="95">
                  <c:v>385.28069198388545</c:v>
                </c:pt>
                <c:pt idx="96">
                  <c:v>392.4471197359403</c:v>
                </c:pt>
                <c:pt idx="97">
                  <c:v>399.61070974121913</c:v>
                </c:pt>
                <c:pt idx="98">
                  <c:v>406.77152008402646</c:v>
                </c:pt>
                <c:pt idx="99">
                  <c:v>413.92960663529919</c:v>
                </c:pt>
                <c:pt idx="100">
                  <c:v>421.0850231746104</c:v>
                </c:pt>
                <c:pt idx="101">
                  <c:v>428.23782150344556</c:v>
                </c:pt>
                <c:pt idx="102">
                  <c:v>435.38805155051085</c:v>
                </c:pt>
                <c:pt idx="103">
                  <c:v>442.5357614697611</c:v>
                </c:pt>
                <c:pt idx="104">
                  <c:v>449.68099773176186</c:v>
                </c:pt>
                <c:pt idx="105">
                  <c:v>456.8238052089402</c:v>
                </c:pt>
                <c:pt idx="106">
                  <c:v>463.96422725522228</c:v>
                </c:pt>
                <c:pt idx="107">
                  <c:v>471.10230578051278</c:v>
                </c:pt>
                <c:pt idx="108">
                  <c:v>478.23808132042376</c:v>
                </c:pt>
                <c:pt idx="109">
                  <c:v>433.46586104001631</c:v>
                </c:pt>
                <c:pt idx="110">
                  <c:v>440.67033380071058</c:v>
                </c:pt>
                <c:pt idx="111">
                  <c:v>447.87228176287641</c:v>
                </c:pt>
                <c:pt idx="112">
                  <c:v>455.07175127649111</c:v>
                </c:pt>
                <c:pt idx="113">
                  <c:v>462.26878710450302</c:v>
                </c:pt>
                <c:pt idx="114">
                  <c:v>469.46343250157776</c:v>
                </c:pt>
                <c:pt idx="115">
                  <c:v>476.65572928776129</c:v>
                </c:pt>
                <c:pt idx="116">
                  <c:v>483.84571791746771</c:v>
                </c:pt>
                <c:pt idx="117">
                  <c:v>491.03343754414692</c:v>
                </c:pt>
                <c:pt idx="118">
                  <c:v>498.21892608097255</c:v>
                </c:pt>
                <c:pt idx="119">
                  <c:v>505.40222025784169</c:v>
                </c:pt>
                <c:pt idx="120">
                  <c:v>512.58335567496704</c:v>
                </c:pt>
                <c:pt idx="121">
                  <c:v>519.76236685330775</c:v>
                </c:pt>
                <c:pt idx="122">
                  <c:v>526.9392872820689</c:v>
                </c:pt>
                <c:pt idx="123">
                  <c:v>534.11414946347702</c:v>
                </c:pt>
                <c:pt idx="124">
                  <c:v>541.28698495502579</c:v>
                </c:pt>
                <c:pt idx="125">
                  <c:v>548.45782440936409</c:v>
                </c:pt>
                <c:pt idx="126">
                  <c:v>555.6266976119897</c:v>
                </c:pt>
                <c:pt idx="127">
                  <c:v>562.79363351689676</c:v>
                </c:pt>
                <c:pt idx="128">
                  <c:v>569.95866028031151</c:v>
                </c:pt>
                <c:pt idx="129">
                  <c:v>577.12180529264469</c:v>
                </c:pt>
                <c:pt idx="130">
                  <c:v>584.28309520877292</c:v>
                </c:pt>
                <c:pt idx="131">
                  <c:v>591.44255597676181</c:v>
                </c:pt>
                <c:pt idx="132">
                  <c:v>598.60021286512142</c:v>
                </c:pt>
                <c:pt idx="133">
                  <c:v>605.75609048869376</c:v>
                </c:pt>
                <c:pt idx="134">
                  <c:v>612.91021283325131</c:v>
                </c:pt>
                <c:pt idx="135">
                  <c:v>620.06260327888947</c:v>
                </c:pt>
                <c:pt idx="136">
                  <c:v>627.21328462228087</c:v>
                </c:pt>
                <c:pt idx="137">
                  <c:v>634.36227909786464</c:v>
                </c:pt>
                <c:pt idx="138">
                  <c:v>641.50960839802951</c:v>
                </c:pt>
                <c:pt idx="139">
                  <c:v>578.27486419242587</c:v>
                </c:pt>
                <c:pt idx="140">
                  <c:v>584.80684302924499</c:v>
                </c:pt>
                <c:pt idx="141">
                  <c:v>591.33730154487625</c:v>
                </c:pt>
                <c:pt idx="142">
                  <c:v>597.86625890108246</c:v>
                </c:pt>
                <c:pt idx="143">
                  <c:v>604.39373380688869</c:v>
                </c:pt>
                <c:pt idx="144">
                  <c:v>610.91974453416049</c:v>
                </c:pt>
                <c:pt idx="145">
                  <c:v>617.44430893248034</c:v>
                </c:pt>
                <c:pt idx="146">
                  <c:v>623.96744444336434</c:v>
                </c:pt>
                <c:pt idx="147">
                  <c:v>630.48916811385209</c:v>
                </c:pt>
                <c:pt idx="148">
                  <c:v>637.00949660950585</c:v>
                </c:pt>
                <c:pt idx="149">
                  <c:v>643.52844622684836</c:v>
                </c:pt>
                <c:pt idx="150">
                  <c:v>650.04603290527302</c:v>
                </c:pt>
                <c:pt idx="151">
                  <c:v>656.56227223845019</c:v>
                </c:pt>
                <c:pt idx="152">
                  <c:v>663.07717948525567</c:v>
                </c:pt>
                <c:pt idx="153">
                  <c:v>669.59076958025025</c:v>
                </c:pt>
                <c:pt idx="154">
                  <c:v>676.10305714372919</c:v>
                </c:pt>
                <c:pt idx="155">
                  <c:v>682.61405649136282</c:v>
                </c:pt>
                <c:pt idx="156">
                  <c:v>689.12378164345273</c:v>
                </c:pt>
                <c:pt idx="157">
                  <c:v>695.63224633381878</c:v>
                </c:pt>
                <c:pt idx="158">
                  <c:v>702.13946401833675</c:v>
                </c:pt>
                <c:pt idx="159">
                  <c:v>708.64544788314163</c:v>
                </c:pt>
                <c:pt idx="160">
                  <c:v>715.15021085251703</c:v>
                </c:pt>
                <c:pt idx="161">
                  <c:v>721.65376559647973</c:v>
                </c:pt>
                <c:pt idx="162">
                  <c:v>728.15612453807807</c:v>
                </c:pt>
                <c:pt idx="163">
                  <c:v>734.65729986041617</c:v>
                </c:pt>
                <c:pt idx="164">
                  <c:v>741.15730351341654</c:v>
                </c:pt>
                <c:pt idx="165">
                  <c:v>747.65614722033285</c:v>
                </c:pt>
                <c:pt idx="166">
                  <c:v>754.15384248402461</c:v>
                </c:pt>
                <c:pt idx="167">
                  <c:v>760.65040059300543</c:v>
                </c:pt>
                <c:pt idx="168">
                  <c:v>767.14583262727172</c:v>
                </c:pt>
                <c:pt idx="169">
                  <c:v>689.22683877959844</c:v>
                </c:pt>
                <c:pt idx="170">
                  <c:v>694.76980955194824</c:v>
                </c:pt>
                <c:pt idx="171">
                  <c:v>700.31187459212413</c:v>
                </c:pt>
                <c:pt idx="172">
                  <c:v>705.85304207906495</c:v>
                </c:pt>
                <c:pt idx="173">
                  <c:v>711.39332005281756</c:v>
                </c:pt>
                <c:pt idx="174">
                  <c:v>716.93271641798253</c:v>
                </c:pt>
                <c:pt idx="175">
                  <c:v>722.47123894704646</c:v>
                </c:pt>
                <c:pt idx="176">
                  <c:v>728.0088952836096</c:v>
                </c:pt>
                <c:pt idx="177">
                  <c:v>733.54569294550674</c:v>
                </c:pt>
                <c:pt idx="178">
                  <c:v>739.08163932783179</c:v>
                </c:pt>
                <c:pt idx="179">
                  <c:v>744.61674170586639</c:v>
                </c:pt>
                <c:pt idx="180">
                  <c:v>750.15100723791522</c:v>
                </c:pt>
                <c:pt idx="181">
                  <c:v>755.68444296805626</c:v>
                </c:pt>
                <c:pt idx="182">
                  <c:v>761.21705582880315</c:v>
                </c:pt>
                <c:pt idx="183">
                  <c:v>766.74885264368947</c:v>
                </c:pt>
                <c:pt idx="184">
                  <c:v>772.27984012977083</c:v>
                </c:pt>
                <c:pt idx="185">
                  <c:v>777.8100249000554</c:v>
                </c:pt>
                <c:pt idx="186">
                  <c:v>783.33941346585891</c:v>
                </c:pt>
                <c:pt idx="187">
                  <c:v>788.86801223909106</c:v>
                </c:pt>
                <c:pt idx="188">
                  <c:v>794.39582753447394</c:v>
                </c:pt>
                <c:pt idx="189">
                  <c:v>799.92286557169609</c:v>
                </c:pt>
                <c:pt idx="190">
                  <c:v>805.44913247750355</c:v>
                </c:pt>
                <c:pt idx="191">
                  <c:v>810.97463428773062</c:v>
                </c:pt>
                <c:pt idx="192">
                  <c:v>816.49937694927212</c:v>
                </c:pt>
                <c:pt idx="193">
                  <c:v>822.02336632200013</c:v>
                </c:pt>
                <c:pt idx="194">
                  <c:v>827.54660818062666</c:v>
                </c:pt>
                <c:pt idx="195">
                  <c:v>833.06910821651343</c:v>
                </c:pt>
                <c:pt idx="196">
                  <c:v>838.59087203942988</c:v>
                </c:pt>
                <c:pt idx="197">
                  <c:v>844.1119051792665</c:v>
                </c:pt>
                <c:pt idx="198">
                  <c:v>849.63221308769653</c:v>
                </c:pt>
                <c:pt idx="199">
                  <c:v>855.15180113979602</c:v>
                </c:pt>
                <c:pt idx="200">
                  <c:v>860.67067463561614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454208"/>
        <c:axId val="221453120"/>
      </c:scatterChart>
      <c:valAx>
        <c:axId val="221454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1453120"/>
        <c:crosses val="autoZero"/>
        <c:crossBetween val="midCat"/>
      </c:valAx>
      <c:valAx>
        <c:axId val="22145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1454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55104"/>
        <c:axId val="211650208"/>
      </c:scatterChart>
      <c:valAx>
        <c:axId val="211655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50208"/>
        <c:crosses val="autoZero"/>
        <c:crossBetween val="midCat"/>
      </c:valAx>
      <c:valAx>
        <c:axId val="21165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55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234.34307827690762</c:v>
                </c:pt>
                <c:pt idx="42">
                  <c:v>247.31737533025003</c:v>
                </c:pt>
                <c:pt idx="43">
                  <c:v>260.27622505120576</c:v>
                </c:pt>
                <c:pt idx="44">
                  <c:v>273.220505160855</c:v>
                </c:pt>
                <c:pt idx="45">
                  <c:v>286.15100338127621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299.06843040054582</c:v>
                </c:pt>
                <c:pt idx="52">
                  <c:v>311.97343047900409</c:v>
                </c:pt>
                <c:pt idx="53">
                  <c:v>324.86659020772595</c:v>
                </c:pt>
                <c:pt idx="54">
                  <c:v>337.74844580317352</c:v>
                </c:pt>
                <c:pt idx="55">
                  <c:v>350.61948923031781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360.725163121957</c:v>
                </c:pt>
                <c:pt idx="62">
                  <c:v>373.11914099479742</c:v>
                </c:pt>
                <c:pt idx="63">
                  <c:v>385.5041479951206</c:v>
                </c:pt>
                <c:pt idx="64">
                  <c:v>397.88051297693852</c:v>
                </c:pt>
                <c:pt idx="65">
                  <c:v>410.24854266397227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414.82723721388487</c:v>
                </c:pt>
                <c:pt idx="72">
                  <c:v>426.26923464137008</c:v>
                </c:pt>
                <c:pt idx="73">
                  <c:v>437.70462758915511</c:v>
                </c:pt>
                <c:pt idx="74">
                  <c:v>449.13361294375403</c:v>
                </c:pt>
                <c:pt idx="75">
                  <c:v>460.55637675309475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459.18596767967614</c:v>
                </c:pt>
                <c:pt idx="82">
                  <c:v>469.23362495798051</c:v>
                </c:pt>
                <c:pt idx="83">
                  <c:v>479.27669956446061</c:v>
                </c:pt>
                <c:pt idx="84">
                  <c:v>489.31530108112526</c:v>
                </c:pt>
                <c:pt idx="85">
                  <c:v>499.34953422631753</c:v>
                </c:pt>
                <c:pt idx="86">
                  <c:v>444.56277557365314</c:v>
                </c:pt>
                <c:pt idx="87">
                  <c:v>453.70345497828936</c:v>
                </c:pt>
                <c:pt idx="88">
                  <c:v>462.84019859006759</c:v>
                </c:pt>
                <c:pt idx="89">
                  <c:v>471.97309508291988</c:v>
                </c:pt>
                <c:pt idx="90">
                  <c:v>481.1022294181027</c:v>
                </c:pt>
                <c:pt idx="91">
                  <c:v>490.22768306866254</c:v>
                </c:pt>
                <c:pt idx="92">
                  <c:v>499.34953422631753</c:v>
                </c:pt>
                <c:pt idx="93">
                  <c:v>508.46785799243213</c:v>
                </c:pt>
                <c:pt idx="94">
                  <c:v>517.58272655458029</c:v>
                </c:pt>
                <c:pt idx="95">
                  <c:v>526.69420935002245</c:v>
                </c:pt>
                <c:pt idx="96">
                  <c:v>470.60340248231086</c:v>
                </c:pt>
                <c:pt idx="97">
                  <c:v>478.36387923123061</c:v>
                </c:pt>
                <c:pt idx="98">
                  <c:v>486.12167933752761</c:v>
                </c:pt>
                <c:pt idx="99">
                  <c:v>493.87685155793525</c:v>
                </c:pt>
                <c:pt idx="100">
                  <c:v>501.62944299248096</c:v>
                </c:pt>
                <c:pt idx="101">
                  <c:v>509.37949916607204</c:v>
                </c:pt>
                <c:pt idx="102">
                  <c:v>517.12706410485578</c:v>
                </c:pt>
                <c:pt idx="103">
                  <c:v>524.87218040776497</c:v>
                </c:pt>
                <c:pt idx="104">
                  <c:v>532.61488931362055</c:v>
                </c:pt>
                <c:pt idx="105">
                  <c:v>540.35523076412767</c:v>
                </c:pt>
                <c:pt idx="106">
                  <c:v>483.38393478600693</c:v>
                </c:pt>
                <c:pt idx="107">
                  <c:v>490.22768306866277</c:v>
                </c:pt>
                <c:pt idx="108">
                  <c:v>497.069405012402</c:v>
                </c:pt>
                <c:pt idx="109">
                  <c:v>503.90913245527855</c:v>
                </c:pt>
                <c:pt idx="110">
                  <c:v>510.7468963001516</c:v>
                </c:pt>
                <c:pt idx="111">
                  <c:v>517.5827265545804</c:v>
                </c:pt>
                <c:pt idx="112">
                  <c:v>524.41665236850611</c:v>
                </c:pt>
                <c:pt idx="113">
                  <c:v>531.24870206986236</c:v>
                </c:pt>
                <c:pt idx="114">
                  <c:v>538.07890319826015</c:v>
                </c:pt>
                <c:pt idx="115">
                  <c:v>544.90728253687359</c:v>
                </c:pt>
                <c:pt idx="116">
                  <c:v>491.14002903381885</c:v>
                </c:pt>
                <c:pt idx="117">
                  <c:v>496.61335261438376</c:v>
                </c:pt>
                <c:pt idx="118">
                  <c:v>502.08539839288795</c:v>
                </c:pt>
                <c:pt idx="119">
                  <c:v>507.55618226902021</c:v>
                </c:pt>
                <c:pt idx="120">
                  <c:v>513.02571977154446</c:v>
                </c:pt>
                <c:pt idx="121">
                  <c:v>518.49402607090303</c:v>
                </c:pt>
                <c:pt idx="122">
                  <c:v>523.96111599125982</c:v>
                </c:pt>
                <c:pt idx="123">
                  <c:v>529.42700402201604</c:v>
                </c:pt>
                <c:pt idx="124">
                  <c:v>534.89170432882406</c:v>
                </c:pt>
                <c:pt idx="125">
                  <c:v>540.3552307641279</c:v>
                </c:pt>
                <c:pt idx="126">
                  <c:v>492.50848060673201</c:v>
                </c:pt>
                <c:pt idx="127">
                  <c:v>497.06940501240206</c:v>
                </c:pt>
                <c:pt idx="128">
                  <c:v>501.62944299248142</c:v>
                </c:pt>
                <c:pt idx="129">
                  <c:v>506.1886037478867</c:v>
                </c:pt>
                <c:pt idx="130">
                  <c:v>510.74689630015172</c:v>
                </c:pt>
                <c:pt idx="131">
                  <c:v>515.30432949652743</c:v>
                </c:pt>
                <c:pt idx="132">
                  <c:v>519.86091201489683</c:v>
                </c:pt>
                <c:pt idx="133">
                  <c:v>524.41665236850611</c:v>
                </c:pt>
                <c:pt idx="134">
                  <c:v>528.9715589105233</c:v>
                </c:pt>
                <c:pt idx="135">
                  <c:v>533.52563983843038</c:v>
                </c:pt>
                <c:pt idx="136">
                  <c:v>493.87685155793548</c:v>
                </c:pt>
                <c:pt idx="137">
                  <c:v>497.52544854631668</c:v>
                </c:pt>
                <c:pt idx="138">
                  <c:v>501.17347881997563</c:v>
                </c:pt>
                <c:pt idx="139">
                  <c:v>504.82094708965991</c:v>
                </c:pt>
                <c:pt idx="140">
                  <c:v>508.46785799243224</c:v>
                </c:pt>
                <c:pt idx="141">
                  <c:v>512.1142160933565</c:v>
                </c:pt>
                <c:pt idx="142">
                  <c:v>515.76002588713084</c:v>
                </c:pt>
                <c:pt idx="143">
                  <c:v>519.40529179967325</c:v>
                </c:pt>
                <c:pt idx="144">
                  <c:v>523.05001818966059</c:v>
                </c:pt>
                <c:pt idx="145">
                  <c:v>526.69420935002256</c:v>
                </c:pt>
                <c:pt idx="146">
                  <c:v>529.42700402201592</c:v>
                </c:pt>
                <c:pt idx="147">
                  <c:v>532.15950176791523</c:v>
                </c:pt>
                <c:pt idx="148">
                  <c:v>534.89170432882372</c:v>
                </c:pt>
                <c:pt idx="149">
                  <c:v>537.62361342659187</c:v>
                </c:pt>
                <c:pt idx="150">
                  <c:v>540.35523076412755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456384"/>
        <c:axId val="221454752"/>
      </c:scatterChart>
      <c:valAx>
        <c:axId val="221456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1454752"/>
        <c:crosses val="autoZero"/>
        <c:crossBetween val="midCat"/>
      </c:valAx>
      <c:valAx>
        <c:axId val="22145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1456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3.6038523216474965</c:v>
                </c:pt>
                <c:pt idx="2">
                  <c:v>4.4546892674447527</c:v>
                </c:pt>
                <c:pt idx="3">
                  <c:v>5.5071590503325867</c:v>
                </c:pt>
                <c:pt idx="4">
                  <c:v>6.8092140107911483</c:v>
                </c:pt>
                <c:pt idx="5">
                  <c:v>8.4202480767507613</c:v>
                </c:pt>
                <c:pt idx="6">
                  <c:v>10.413835079559021</c:v>
                </c:pt>
                <c:pt idx="7">
                  <c:v>12.881124266283038</c:v>
                </c:pt>
                <c:pt idx="8">
                  <c:v>15.935051139291664</c:v>
                </c:pt>
                <c:pt idx="9">
                  <c:v>19.715559891224242</c:v>
                </c:pt>
                <c:pt idx="10">
                  <c:v>24.396081057709111</c:v>
                </c:pt>
                <c:pt idx="11">
                  <c:v>28.286962138614555</c:v>
                </c:pt>
                <c:pt idx="12">
                  <c:v>32.162848423159012</c:v>
                </c:pt>
                <c:pt idx="13">
                  <c:v>36.02581139040344</c:v>
                </c:pt>
                <c:pt idx="14">
                  <c:v>39.877438839002529</c:v>
                </c:pt>
                <c:pt idx="15">
                  <c:v>43.718984894330454</c:v>
                </c:pt>
                <c:pt idx="16">
                  <c:v>47.55146405511352</c:v>
                </c:pt>
                <c:pt idx="17">
                  <c:v>51.375713096572383</c:v>
                </c:pt>
                <c:pt idx="18">
                  <c:v>55.192433449688359</c:v>
                </c:pt>
                <c:pt idx="19">
                  <c:v>59.002221171131602</c:v>
                </c:pt>
                <c:pt idx="20">
                  <c:v>62.805588723200408</c:v>
                </c:pt>
                <c:pt idx="21">
                  <c:v>66.581663451243472</c:v>
                </c:pt>
                <c:pt idx="22">
                  <c:v>70.352213633205309</c:v>
                </c:pt>
                <c:pt idx="23">
                  <c:v>74.117578194106059</c:v>
                </c:pt>
                <c:pt idx="24">
                  <c:v>77.878058678845548</c:v>
                </c:pt>
                <c:pt idx="25">
                  <c:v>81.633925024362284</c:v>
                </c:pt>
                <c:pt idx="26">
                  <c:v>85.385420209648188</c:v>
                </c:pt>
                <c:pt idx="27">
                  <c:v>89.13276404262065</c:v>
                </c:pt>
                <c:pt idx="28">
                  <c:v>92.876156274455525</c:v>
                </c:pt>
                <c:pt idx="29">
                  <c:v>96.615779183735299</c:v>
                </c:pt>
                <c:pt idx="30">
                  <c:v>100.35179973817013</c:v>
                </c:pt>
                <c:pt idx="31">
                  <c:v>77.506469490634331</c:v>
                </c:pt>
                <c:pt idx="32">
                  <c:v>80.912805504558591</c:v>
                </c:pt>
                <c:pt idx="33">
                  <c:v>84.315510812538406</c:v>
                </c:pt>
                <c:pt idx="34">
                  <c:v>87.714753145447233</c:v>
                </c:pt>
                <c:pt idx="35">
                  <c:v>91.110686124684605</c:v>
                </c:pt>
                <c:pt idx="36">
                  <c:v>94.503450943440896</c:v>
                </c:pt>
                <c:pt idx="37">
                  <c:v>97.893177793031555</c:v>
                </c:pt>
                <c:pt idx="38">
                  <c:v>101.27998708064888</c:v>
                </c:pt>
                <c:pt idx="39">
                  <c:v>104.66399047514896</c:v>
                </c:pt>
                <c:pt idx="40">
                  <c:v>108.04529181006245</c:v>
                </c:pt>
                <c:pt idx="41">
                  <c:v>95.844914127099344</c:v>
                </c:pt>
                <c:pt idx="42">
                  <c:v>98.938013551923504</c:v>
                </c:pt>
                <c:pt idx="43">
                  <c:v>102.0287117296421</c:v>
                </c:pt>
                <c:pt idx="44">
                  <c:v>105.11709192777158</c:v>
                </c:pt>
                <c:pt idx="45">
                  <c:v>108.20323210413194</c:v>
                </c:pt>
                <c:pt idx="46">
                  <c:v>111.28720539089134</c:v>
                </c:pt>
                <c:pt idx="47">
                  <c:v>114.36908052197434</c:v>
                </c:pt>
                <c:pt idx="48">
                  <c:v>117.44892221184303</c:v>
                </c:pt>
                <c:pt idx="49">
                  <c:v>120.52679149234375</c:v>
                </c:pt>
                <c:pt idx="50">
                  <c:v>123.60274601323903</c:v>
                </c:pt>
                <c:pt idx="51">
                  <c:v>110.44537595104651</c:v>
                </c:pt>
                <c:pt idx="52">
                  <c:v>113.15971675356572</c:v>
                </c:pt>
                <c:pt idx="53">
                  <c:v>115.87246161964269</c:v>
                </c:pt>
                <c:pt idx="54">
                  <c:v>118.58365332237622</c:v>
                </c:pt>
                <c:pt idx="55">
                  <c:v>121.29333251241081</c:v>
                </c:pt>
                <c:pt idx="56">
                  <c:v>124.00153786947804</c:v>
                </c:pt>
                <c:pt idx="57">
                  <c:v>126.70830623996585</c:v>
                </c:pt>
                <c:pt idx="58">
                  <c:v>129.41367276208069</c:v>
                </c:pt>
                <c:pt idx="59">
                  <c:v>132.11767097996417</c:v>
                </c:pt>
                <c:pt idx="60">
                  <c:v>134.82033294795062</c:v>
                </c:pt>
                <c:pt idx="61">
                  <c:v>120.44277978712059</c:v>
                </c:pt>
                <c:pt idx="62">
                  <c:v>122.95201839976524</c:v>
                </c:pt>
                <c:pt idx="63">
                  <c:v>125.46001182365784</c:v>
                </c:pt>
                <c:pt idx="64">
                  <c:v>127.96678855466116</c:v>
                </c:pt>
                <c:pt idx="65">
                  <c:v>130.47237587714338</c:v>
                </c:pt>
                <c:pt idx="66">
                  <c:v>132.97679993833268</c:v>
                </c:pt>
                <c:pt idx="67">
                  <c:v>135.48008581675938</c:v>
                </c:pt>
                <c:pt idx="68">
                  <c:v>137.98225758536006</c:v>
                </c:pt>
                <c:pt idx="69">
                  <c:v>140.4833383697511</c:v>
                </c:pt>
                <c:pt idx="70">
                  <c:v>142.98335040212251</c:v>
                </c:pt>
                <c:pt idx="71">
                  <c:v>128.77415657500157</c:v>
                </c:pt>
                <c:pt idx="72">
                  <c:v>131.00688948910491</c:v>
                </c:pt>
                <c:pt idx="73">
                  <c:v>133.23870280408644</c:v>
                </c:pt>
                <c:pt idx="74">
                  <c:v>135.46961415473911</c:v>
                </c:pt>
                <c:pt idx="75">
                  <c:v>137.69964054556218</c:v>
                </c:pt>
                <c:pt idx="76">
                  <c:v>139.92879838338379</c:v>
                </c:pt>
                <c:pt idx="77">
                  <c:v>142.15710350778929</c:v>
                </c:pt>
                <c:pt idx="78">
                  <c:v>144.38457121953653</c:v>
                </c:pt>
                <c:pt idx="79">
                  <c:v>146.61121630712043</c:v>
                </c:pt>
                <c:pt idx="80">
                  <c:v>148.83705307163439</c:v>
                </c:pt>
                <c:pt idx="81">
                  <c:v>134.09765714123549</c:v>
                </c:pt>
                <c:pt idx="82">
                  <c:v>136.20258349070693</c:v>
                </c:pt>
                <c:pt idx="83">
                  <c:v>138.30672664890611</c:v>
                </c:pt>
                <c:pt idx="84">
                  <c:v>140.41010025679188</c:v>
                </c:pt>
                <c:pt idx="85">
                  <c:v>142.51271751182404</c:v>
                </c:pt>
                <c:pt idx="86">
                  <c:v>144.61459118887487</c:v>
                </c:pt>
                <c:pt idx="87">
                  <c:v>146.71573365985807</c:v>
                </c:pt>
                <c:pt idx="88">
                  <c:v>148.81615691217073</c:v>
                </c:pt>
                <c:pt idx="89">
                  <c:v>150.91587256603668</c:v>
                </c:pt>
                <c:pt idx="90">
                  <c:v>153.01489189083119</c:v>
                </c:pt>
                <c:pt idx="91">
                  <c:v>138.81955979162947</c:v>
                </c:pt>
                <c:pt idx="92">
                  <c:v>140.72397143205973</c:v>
                </c:pt>
                <c:pt idx="93">
                  <c:v>142.62776454340624</c:v>
                </c:pt>
                <c:pt idx="94">
                  <c:v>144.53094857798479</c:v>
                </c:pt>
                <c:pt idx="95">
                  <c:v>146.43353271796309</c:v>
                </c:pt>
                <c:pt idx="96">
                  <c:v>148.33552588657841</c:v>
                </c:pt>
                <c:pt idx="97">
                  <c:v>150.23693675874816</c:v>
                </c:pt>
                <c:pt idx="98">
                  <c:v>152.13777377111361</c:v>
                </c:pt>
                <c:pt idx="99">
                  <c:v>154.03804513155387</c:v>
                </c:pt>
                <c:pt idx="100">
                  <c:v>155.93775882820455</c:v>
                </c:pt>
                <c:pt idx="101">
                  <c:v>142.40812736891726</c:v>
                </c:pt>
                <c:pt idx="102">
                  <c:v>144.13363033504481</c:v>
                </c:pt>
                <c:pt idx="103">
                  <c:v>145.8586386861692</c:v>
                </c:pt>
                <c:pt idx="104">
                  <c:v>147.58315911969544</c:v>
                </c:pt>
                <c:pt idx="105">
                  <c:v>149.30719816316565</c:v>
                </c:pt>
                <c:pt idx="106">
                  <c:v>151.03076218052834</c:v>
                </c:pt>
                <c:pt idx="107">
                  <c:v>152.75385737810484</c:v>
                </c:pt>
                <c:pt idx="108">
                  <c:v>154.47648981027194</c:v>
                </c:pt>
                <c:pt idx="109">
                  <c:v>156.19866538487699</c:v>
                </c:pt>
                <c:pt idx="110">
                  <c:v>157.92038986840086</c:v>
                </c:pt>
                <c:pt idx="111">
                  <c:v>144.99096861539422</c:v>
                </c:pt>
                <c:pt idx="112">
                  <c:v>146.57986075395738</c:v>
                </c:pt>
                <c:pt idx="113">
                  <c:v>148.1683411656681</c:v>
                </c:pt>
                <c:pt idx="114">
                  <c:v>149.75641490446353</c:v>
                </c:pt>
                <c:pt idx="115">
                  <c:v>151.34408690795206</c:v>
                </c:pt>
                <c:pt idx="116">
                  <c:v>152.9313620013136</c:v>
                </c:pt>
                <c:pt idx="117">
                  <c:v>154.51824490102925</c:v>
                </c:pt>
                <c:pt idx="118">
                  <c:v>156.10474021844891</c:v>
                </c:pt>
                <c:pt idx="119">
                  <c:v>157.69085246320597</c:v>
                </c:pt>
                <c:pt idx="120">
                  <c:v>159.27658604648744</c:v>
                </c:pt>
                <c:pt idx="121">
                  <c:v>146.94566557188628</c:v>
                </c:pt>
                <c:pt idx="122">
                  <c:v>148.3982189964137</c:v>
                </c:pt>
                <c:pt idx="123">
                  <c:v>149.85043294068831</c:v>
                </c:pt>
                <c:pt idx="124">
                  <c:v>151.30231117173253</c:v>
                </c:pt>
                <c:pt idx="125">
                  <c:v>152.75385737810481</c:v>
                </c:pt>
                <c:pt idx="126">
                  <c:v>154.20507517228268</c:v>
                </c:pt>
                <c:pt idx="127">
                  <c:v>155.65596809295104</c:v>
                </c:pt>
                <c:pt idx="128">
                  <c:v>157.10653960720077</c:v>
                </c:pt>
                <c:pt idx="129">
                  <c:v>158.55679311264149</c:v>
                </c:pt>
                <c:pt idx="130">
                  <c:v>160.00673193943234</c:v>
                </c:pt>
                <c:pt idx="131">
                  <c:v>148.29373012846656</c:v>
                </c:pt>
                <c:pt idx="132">
                  <c:v>149.63105533180203</c:v>
                </c:pt>
                <c:pt idx="133">
                  <c:v>150.96809537649028</c:v>
                </c:pt>
                <c:pt idx="134">
                  <c:v>152.30485315436039</c:v>
                </c:pt>
                <c:pt idx="135">
                  <c:v>153.64133150214636</c:v>
                </c:pt>
                <c:pt idx="136">
                  <c:v>154.97753320301845</c:v>
                </c:pt>
                <c:pt idx="137">
                  <c:v>156.31346098805969</c:v>
                </c:pt>
                <c:pt idx="138">
                  <c:v>157.64911753768874</c:v>
                </c:pt>
                <c:pt idx="139">
                  <c:v>158.9845054830314</c:v>
                </c:pt>
                <c:pt idx="140">
                  <c:v>160.3196274072447</c:v>
                </c:pt>
                <c:pt idx="141">
                  <c:v>149.24451419512653</c:v>
                </c:pt>
                <c:pt idx="142">
                  <c:v>150.48762925245842</c:v>
                </c:pt>
                <c:pt idx="143">
                  <c:v>151.73049944911116</c:v>
                </c:pt>
                <c:pt idx="144">
                  <c:v>152.97312708182787</c:v>
                </c:pt>
                <c:pt idx="145">
                  <c:v>154.21551440685181</c:v>
                </c:pt>
                <c:pt idx="146">
                  <c:v>155.457663640969</c:v>
                </c:pt>
                <c:pt idx="147">
                  <c:v>156.69957696251626</c:v>
                </c:pt>
                <c:pt idx="148">
                  <c:v>157.94125651235507</c:v>
                </c:pt>
                <c:pt idx="149">
                  <c:v>159.18270439481341</c:v>
                </c:pt>
                <c:pt idx="150">
                  <c:v>160.42392267859614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460192"/>
        <c:axId val="211654560"/>
      </c:scatterChart>
      <c:valAx>
        <c:axId val="221460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54560"/>
        <c:crosses val="autoZero"/>
        <c:crossBetween val="midCat"/>
      </c:valAx>
      <c:valAx>
        <c:axId val="21165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146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3.3511891503277718</c:v>
                </c:pt>
                <c:pt idx="2">
                  <c:v>6.5421972732745077</c:v>
                </c:pt>
                <c:pt idx="3">
                  <c:v>9.6814749649617564</c:v>
                </c:pt>
                <c:pt idx="4">
                  <c:v>12.788864815186301</c:v>
                </c:pt>
                <c:pt idx="5">
                  <c:v>15.873360136127141</c:v>
                </c:pt>
                <c:pt idx="6">
                  <c:v>18.940091088532451</c:v>
                </c:pt>
                <c:pt idx="7">
                  <c:v>21.992364888676033</c:v>
                </c:pt>
                <c:pt idx="8">
                  <c:v>25.032485143261386</c:v>
                </c:pt>
                <c:pt idx="9">
                  <c:v>28.06214503251984</c:v>
                </c:pt>
                <c:pt idx="10">
                  <c:v>31.082639400933747</c:v>
                </c:pt>
                <c:pt idx="11">
                  <c:v>34.094989138251094</c:v>
                </c:pt>
                <c:pt idx="12">
                  <c:v>37.100018871560671</c:v>
                </c:pt>
                <c:pt idx="13">
                  <c:v>40.098407952817141</c:v>
                </c:pt>
                <c:pt idx="14">
                  <c:v>43.090725281126389</c:v>
                </c:pt>
                <c:pt idx="15">
                  <c:v>46.077453879078284</c:v>
                </c:pt>
                <c:pt idx="16">
                  <c:v>49.059008722674925</c:v>
                </c:pt>
                <c:pt idx="17">
                  <c:v>52.035749984103347</c:v>
                </c:pt>
                <c:pt idx="18">
                  <c:v>55.007993068659154</c:v>
                </c:pt>
                <c:pt idx="19">
                  <c:v>57.97601635729864</c:v>
                </c:pt>
                <c:pt idx="20">
                  <c:v>60.940067272679158</c:v>
                </c:pt>
                <c:pt idx="21">
                  <c:v>63.900367097514298</c:v>
                </c:pt>
                <c:pt idx="22">
                  <c:v>66.857114849143016</c:v>
                </c:pt>
                <c:pt idx="23">
                  <c:v>69.810490429718215</c:v>
                </c:pt>
                <c:pt idx="24">
                  <c:v>72.760657213077295</c:v>
                </c:pt>
                <c:pt idx="25">
                  <c:v>75.707764188318961</c:v>
                </c:pt>
                <c:pt idx="26">
                  <c:v>78.651947750753365</c:v>
                </c:pt>
                <c:pt idx="27">
                  <c:v>81.593333209571469</c:v>
                </c:pt>
                <c:pt idx="28">
                  <c:v>84.53203606587708</c:v>
                </c:pt>
                <c:pt idx="29">
                  <c:v>87.46816310301233</c:v>
                </c:pt>
                <c:pt idx="30">
                  <c:v>90.401813322268211</c:v>
                </c:pt>
                <c:pt idx="31">
                  <c:v>93.333078750329022</c:v>
                </c:pt>
                <c:pt idx="32">
                  <c:v>96.262045139603686</c:v>
                </c:pt>
                <c:pt idx="33">
                  <c:v>99.188792578556715</c:v>
                </c:pt>
                <c:pt idx="34">
                  <c:v>102.11339602598044</c:v>
                </c:pt>
                <c:pt idx="35">
                  <c:v>105.03592578064634</c:v>
                </c:pt>
                <c:pt idx="36">
                  <c:v>107.95644789577254</c:v>
                </c:pt>
                <c:pt idx="37">
                  <c:v>110.8750245461449</c:v>
                </c:pt>
                <c:pt idx="38">
                  <c:v>113.79171435443352</c:v>
                </c:pt>
                <c:pt idx="39">
                  <c:v>116.70657268219348</c:v>
                </c:pt>
                <c:pt idx="40">
                  <c:v>119.61965189017972</c:v>
                </c:pt>
                <c:pt idx="41">
                  <c:v>71.982894180779354</c:v>
                </c:pt>
                <c:pt idx="42">
                  <c:v>77.164036473208213</c:v>
                </c:pt>
                <c:pt idx="43">
                  <c:v>82.336331256201959</c:v>
                </c:pt>
                <c:pt idx="44">
                  <c:v>87.500414302247677</c:v>
                </c:pt>
                <c:pt idx="45">
                  <c:v>92.656839966202583</c:v>
                </c:pt>
                <c:pt idx="46">
                  <c:v>97.806095669612276</c:v>
                </c:pt>
                <c:pt idx="47">
                  <c:v>102.94861316373584</c:v>
                </c:pt>
                <c:pt idx="48">
                  <c:v>108.08477741643145</c:v>
                </c:pt>
                <c:pt idx="49">
                  <c:v>113.21493371581617</c:v>
                </c:pt>
                <c:pt idx="50">
                  <c:v>118.33939341491471</c:v>
                </c:pt>
                <c:pt idx="51">
                  <c:v>123.4584386261961</c:v>
                </c:pt>
                <c:pt idx="52">
                  <c:v>128.57232609450958</c:v>
                </c:pt>
                <c:pt idx="53">
                  <c:v>133.68129041989661</c:v>
                </c:pt>
                <c:pt idx="54">
                  <c:v>138.78554676063968</c:v>
                </c:pt>
                <c:pt idx="55">
                  <c:v>143.88529311683061</c:v>
                </c:pt>
                <c:pt idx="56">
                  <c:v>88.274353703223667</c:v>
                </c:pt>
                <c:pt idx="57">
                  <c:v>92.914469239867529</c:v>
                </c:pt>
                <c:pt idx="58">
                  <c:v>97.548796303129961</c:v>
                </c:pt>
                <c:pt idx="59">
                  <c:v>102.17764948692297</c:v>
                </c:pt>
                <c:pt idx="60">
                  <c:v>106.80131246670827</c:v>
                </c:pt>
                <c:pt idx="61">
                  <c:v>111.42004227671579</c:v>
                </c:pt>
                <c:pt idx="62">
                  <c:v>116.03407283859671</c:v>
                </c:pt>
                <c:pt idx="63">
                  <c:v>120.64361789774557</c:v>
                </c:pt>
                <c:pt idx="64">
                  <c:v>125.24887348606275</c:v>
                </c:pt>
                <c:pt idx="65">
                  <c:v>129.85002000252641</c:v>
                </c:pt>
                <c:pt idx="66">
                  <c:v>134.44722398262996</c:v>
                </c:pt>
                <c:pt idx="67">
                  <c:v>139.04063961250026</c:v>
                </c:pt>
                <c:pt idx="68">
                  <c:v>143.63041003194337</c:v>
                </c:pt>
                <c:pt idx="69">
                  <c:v>148.21666846179906</c:v>
                </c:pt>
                <c:pt idx="70">
                  <c:v>152.79953918411763</c:v>
                </c:pt>
                <c:pt idx="71">
                  <c:v>102.94861316373573</c:v>
                </c:pt>
                <c:pt idx="72">
                  <c:v>106.80131246670818</c:v>
                </c:pt>
                <c:pt idx="73">
                  <c:v>110.6505863648823</c:v>
                </c:pt>
                <c:pt idx="74">
                  <c:v>114.4965712094956</c:v>
                </c:pt>
                <c:pt idx="75">
                  <c:v>118.33939341491458</c:v>
                </c:pt>
                <c:pt idx="76">
                  <c:v>122.17917048965741</c:v>
                </c:pt>
                <c:pt idx="77">
                  <c:v>126.0160119306443</c:v>
                </c:pt>
                <c:pt idx="78">
                  <c:v>129.85002000252635</c:v>
                </c:pt>
                <c:pt idx="79">
                  <c:v>133.6812904198965</c:v>
                </c:pt>
                <c:pt idx="80">
                  <c:v>137.50991294698474</c:v>
                </c:pt>
                <c:pt idx="81">
                  <c:v>141.33597192689044</c:v>
                </c:pt>
                <c:pt idx="82">
                  <c:v>145.15954675035783</c:v>
                </c:pt>
                <c:pt idx="83">
                  <c:v>148.98071227244824</c:v>
                </c:pt>
                <c:pt idx="84">
                  <c:v>152.79953918411763</c:v>
                </c:pt>
                <c:pt idx="85">
                  <c:v>156.61609434461198</c:v>
                </c:pt>
                <c:pt idx="86">
                  <c:v>160.43044107968717</c:v>
                </c:pt>
                <c:pt idx="87">
                  <c:v>164.24263944991466</c:v>
                </c:pt>
                <c:pt idx="88">
                  <c:v>168.0527464927151</c:v>
                </c:pt>
                <c:pt idx="89">
                  <c:v>171.8608164412426</c:v>
                </c:pt>
                <c:pt idx="90">
                  <c:v>175.66690092280896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48576"/>
        <c:axId val="211649120"/>
      </c:scatterChart>
      <c:valAx>
        <c:axId val="211648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49120"/>
        <c:crosses val="autoZero"/>
        <c:crossBetween val="midCat"/>
      </c:valAx>
      <c:valAx>
        <c:axId val="21164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4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55648"/>
        <c:axId val="211654016"/>
      </c:scatterChart>
      <c:valAx>
        <c:axId val="211655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54016"/>
        <c:crosses val="autoZero"/>
        <c:crossBetween val="midCat"/>
      </c:valAx>
      <c:valAx>
        <c:axId val="21165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55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44768"/>
        <c:axId val="211659456"/>
      </c:scatterChart>
      <c:valAx>
        <c:axId val="211644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59456"/>
        <c:crosses val="autoZero"/>
        <c:crossBetween val="midCat"/>
      </c:valAx>
      <c:valAx>
        <c:axId val="2116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4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46400"/>
        <c:axId val="211648032"/>
      </c:scatterChart>
      <c:valAx>
        <c:axId val="211646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48032"/>
        <c:crosses val="autoZero"/>
        <c:crossBetween val="midCat"/>
      </c:valAx>
      <c:valAx>
        <c:axId val="21164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46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45312"/>
        <c:axId val="211660000"/>
      </c:scatterChart>
      <c:valAx>
        <c:axId val="211645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60000"/>
        <c:crosses val="autoZero"/>
        <c:crossBetween val="midCat"/>
      </c:valAx>
      <c:valAx>
        <c:axId val="21166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45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51296"/>
        <c:axId val="211649664"/>
      </c:scatterChart>
      <c:valAx>
        <c:axId val="211651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49664"/>
        <c:crosses val="autoZero"/>
        <c:crossBetween val="midCat"/>
      </c:valAx>
      <c:valAx>
        <c:axId val="2116496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51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D19" sqref="D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9.3130000000000006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10</v>
      </c>
      <c r="C9" s="35">
        <v>0.40097712874476538</v>
      </c>
      <c r="D9" s="36">
        <f t="shared" ref="D9:D18" si="0">C9*$C$5</f>
        <v>3.7343000000000002</v>
      </c>
      <c r="E9" s="37">
        <v>200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52</v>
      </c>
      <c r="C10" s="35">
        <v>9.3310426285836984E-3</v>
      </c>
      <c r="D10" s="36">
        <f t="shared" si="0"/>
        <v>8.6899999999999991E-2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39</v>
      </c>
      <c r="C11" s="35">
        <v>0.13669601632127135</v>
      </c>
      <c r="D11" s="36">
        <f t="shared" si="0"/>
        <v>1.2730500000000002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90</v>
      </c>
      <c r="C12" s="35">
        <v>4.0878342102437445E-2</v>
      </c>
      <c r="D12" s="36">
        <f t="shared" si="0"/>
        <v>0.38069999999999993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0.58788252979705791</v>
      </c>
      <c r="D19" s="41">
        <f>SUM(D9:D18)</f>
        <v>5.4749500000000006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Chêne-liège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9.2505469155875719</v>
      </c>
      <c r="C36" s="63">
        <v>1</v>
      </c>
      <c r="D36" s="63">
        <v>1.0278385461763968</v>
      </c>
      <c r="E36" s="54"/>
      <c r="F36" s="54"/>
      <c r="G36" s="54"/>
      <c r="H36" s="54">
        <v>1</v>
      </c>
      <c r="I36" s="52">
        <f>IFERROR(B36/A36,"")</f>
        <v>0.61670312770583813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41.331064782676115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2.2072237608843297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48</v>
      </c>
      <c r="B38" s="63">
        <v>57.265382620574975</v>
      </c>
      <c r="C38" s="63">
        <v>2</v>
      </c>
      <c r="D38" s="63">
        <v>6.362820291174998</v>
      </c>
      <c r="E38" s="54"/>
      <c r="F38" s="54"/>
      <c r="G38" s="54"/>
      <c r="H38" s="54"/>
      <c r="I38" s="56">
        <f t="shared" si="1"/>
        <v>0.88523987988327002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63</v>
      </c>
      <c r="B39" s="63">
        <v>89.776055639950002</v>
      </c>
      <c r="C39" s="63">
        <v>3</v>
      </c>
      <c r="D39" s="63">
        <v>9.9751172933277701</v>
      </c>
      <c r="E39" s="54"/>
      <c r="F39" s="54"/>
      <c r="G39" s="54"/>
      <c r="H39" s="54"/>
      <c r="I39" s="52">
        <f t="shared" si="1"/>
        <v>2.591566220703335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78</v>
      </c>
      <c r="B40" s="63">
        <v>123.04101689897288</v>
      </c>
      <c r="C40" s="63">
        <v>4</v>
      </c>
      <c r="D40" s="63">
        <v>13.671224099885858</v>
      </c>
      <c r="E40" s="54"/>
      <c r="F40" s="54"/>
      <c r="G40" s="54"/>
      <c r="H40" s="54"/>
      <c r="I40" s="52">
        <f t="shared" si="1"/>
        <v>2.8826719034900434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108</v>
      </c>
      <c r="B41" s="63">
        <v>201.81994952906686</v>
      </c>
      <c r="C41" s="63">
        <v>5</v>
      </c>
      <c r="D41" s="63">
        <v>22.424438836562977</v>
      </c>
      <c r="E41" s="54"/>
      <c r="F41" s="54"/>
      <c r="G41" s="54"/>
      <c r="H41" s="54"/>
      <c r="I41" s="56">
        <f t="shared" si="1"/>
        <v>3.0816718909993281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138</v>
      </c>
      <c r="B42" s="63">
        <v>272.57120705106797</v>
      </c>
      <c r="C42" s="63">
        <v>6</v>
      </c>
      <c r="D42" s="63">
        <v>30.285689672340869</v>
      </c>
      <c r="E42" s="54"/>
      <c r="F42" s="54"/>
      <c r="G42" s="54"/>
      <c r="H42" s="54"/>
      <c r="I42" s="56">
        <f t="shared" si="1"/>
        <v>3.1058565452854698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168</v>
      </c>
      <c r="B43" s="63">
        <v>327.27579313422586</v>
      </c>
      <c r="C43" s="63">
        <v>7</v>
      </c>
      <c r="D43" s="63">
        <v>36.363977014913992</v>
      </c>
      <c r="E43" s="54"/>
      <c r="F43" s="54"/>
      <c r="G43" s="54"/>
      <c r="H43" s="54"/>
      <c r="I43" s="52">
        <f t="shared" si="1"/>
        <v>2.8330091918499591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200</v>
      </c>
      <c r="B44" s="63">
        <v>368.11889573735397</v>
      </c>
      <c r="C44" s="63">
        <v>8</v>
      </c>
      <c r="D44" s="63">
        <f>B44</f>
        <v>368.11889573735397</v>
      </c>
      <c r="E44" s="54"/>
      <c r="F44" s="54"/>
      <c r="G44" s="54"/>
      <c r="H44" s="54"/>
      <c r="I44" s="52">
        <f t="shared" si="1"/>
        <v>2.4127212380638152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Cormier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/>
      <c r="D62" s="63"/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/>
      <c r="D63" s="63"/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1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/>
      <c r="D65" s="63"/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121</v>
      </c>
      <c r="C66" s="63">
        <v>2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/>
      <c r="D67" s="63"/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149</v>
      </c>
      <c r="C68" s="63">
        <v>3</v>
      </c>
      <c r="D68" s="63">
        <v>28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148</v>
      </c>
      <c r="C69" s="53"/>
      <c r="D69" s="53"/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175</v>
      </c>
      <c r="C70" s="53">
        <v>4</v>
      </c>
      <c r="D70" s="53">
        <v>28</v>
      </c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172</v>
      </c>
      <c r="C71" s="53"/>
      <c r="D71" s="53"/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197</v>
      </c>
      <c r="C72" s="53">
        <v>5</v>
      </c>
      <c r="D72" s="53">
        <v>28</v>
      </c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/>
      <c r="D73" s="53"/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214</v>
      </c>
      <c r="C74" s="53">
        <v>6</v>
      </c>
      <c r="D74" s="53">
        <v>28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95</v>
      </c>
      <c r="B75" s="53">
        <v>226</v>
      </c>
      <c r="C75" s="53">
        <v>7</v>
      </c>
      <c r="D75" s="53">
        <v>28</v>
      </c>
      <c r="E75" s="54"/>
      <c r="F75" s="54"/>
      <c r="G75" s="54"/>
      <c r="H75" s="54"/>
      <c r="I75" s="52">
        <f t="shared" si="2"/>
        <v>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105</v>
      </c>
      <c r="B76" s="53">
        <v>232</v>
      </c>
      <c r="C76" s="53">
        <v>8</v>
      </c>
      <c r="D76" s="53">
        <v>28</v>
      </c>
      <c r="E76" s="54"/>
      <c r="F76" s="54"/>
      <c r="G76" s="54"/>
      <c r="H76" s="54"/>
      <c r="I76" s="52">
        <f t="shared" si="2"/>
        <v>3.4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115</v>
      </c>
      <c r="B77" s="53">
        <v>234</v>
      </c>
      <c r="C77" s="53">
        <v>9</v>
      </c>
      <c r="D77" s="53">
        <v>26</v>
      </c>
      <c r="E77" s="54"/>
      <c r="F77" s="54"/>
      <c r="G77" s="54"/>
      <c r="H77" s="54"/>
      <c r="I77" s="52">
        <f t="shared" si="2"/>
        <v>3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125</v>
      </c>
      <c r="B78" s="53">
        <v>232</v>
      </c>
      <c r="C78" s="53">
        <v>10</v>
      </c>
      <c r="D78" s="53">
        <v>23</v>
      </c>
      <c r="E78" s="54"/>
      <c r="F78" s="54"/>
      <c r="G78" s="54"/>
      <c r="H78" s="54"/>
      <c r="I78" s="52">
        <f t="shared" si="2"/>
        <v>2.4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135</v>
      </c>
      <c r="B79" s="53">
        <v>229</v>
      </c>
      <c r="C79" s="53">
        <v>11</v>
      </c>
      <c r="D79" s="53">
        <v>19</v>
      </c>
      <c r="E79" s="54"/>
      <c r="F79" s="54"/>
      <c r="G79" s="54"/>
      <c r="H79" s="54"/>
      <c r="I79" s="52">
        <f t="shared" si="2"/>
        <v>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145</v>
      </c>
      <c r="B80" s="53">
        <v>226</v>
      </c>
      <c r="C80" s="53"/>
      <c r="D80" s="53"/>
      <c r="E80" s="54"/>
      <c r="F80" s="54"/>
      <c r="G80" s="54"/>
      <c r="H80" s="54"/>
      <c r="I80" s="52">
        <f t="shared" si="2"/>
        <v>1.6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232</v>
      </c>
      <c r="C81" s="53">
        <v>12</v>
      </c>
      <c r="D81" s="53">
        <v>232</v>
      </c>
      <c r="E81" s="54"/>
      <c r="F81" s="54"/>
      <c r="G81" s="54"/>
      <c r="H81" s="54"/>
      <c r="I81" s="52">
        <f t="shared" si="2"/>
        <v>1.2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pignon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f>21.6/2.4</f>
        <v>9.0000000000000018</v>
      </c>
      <c r="C88" s="63"/>
      <c r="D88" s="63"/>
      <c r="E88" s="54"/>
      <c r="F88" s="54"/>
      <c r="G88" s="54"/>
      <c r="H88" s="93"/>
      <c r="I88" s="56">
        <f>IFERROR(B88/A88,"")</f>
        <v>0.90000000000000013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f>53.3/2.4+3.9/2.4</f>
        <v>23.833333333333332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1.4833333333333329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79.8/2.4+(3.9+8.9)/2.4</f>
        <v>38.583333333333336</v>
      </c>
      <c r="C90" s="63">
        <v>1</v>
      </c>
      <c r="D90" s="63">
        <f>(3.9+8.9+12)/2.4</f>
        <v>10.333333333333334</v>
      </c>
      <c r="E90" s="93"/>
      <c r="F90" s="93"/>
      <c r="G90" s="93"/>
      <c r="H90" s="93">
        <v>1</v>
      </c>
      <c r="I90" s="56">
        <f t="shared" si="3"/>
        <v>1.4750000000000003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f>99.9/2.4</f>
        <v>41.625000000000007</v>
      </c>
      <c r="C91" s="63">
        <v>2</v>
      </c>
      <c r="D91" s="63">
        <f>14.5/2.4</f>
        <v>6.041666666666667</v>
      </c>
      <c r="E91" s="93"/>
      <c r="F91" s="93"/>
      <c r="G91" s="93"/>
      <c r="H91" s="93"/>
      <c r="I91" s="56">
        <f t="shared" si="3"/>
        <v>1.3375000000000008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50</v>
      </c>
      <c r="B92" s="63">
        <f>114.7/2.4</f>
        <v>47.791666666666671</v>
      </c>
      <c r="C92" s="63">
        <v>3</v>
      </c>
      <c r="D92" s="63">
        <f>15.1/2.4</f>
        <v>6.291666666666667</v>
      </c>
      <c r="E92" s="93"/>
      <c r="F92" s="93"/>
      <c r="G92" s="93"/>
      <c r="H92" s="93"/>
      <c r="I92" s="56">
        <f t="shared" si="3"/>
        <v>1.2208333333333328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60</v>
      </c>
      <c r="B93" s="63">
        <f>125.4/2.4</f>
        <v>52.250000000000007</v>
      </c>
      <c r="C93" s="63">
        <v>4</v>
      </c>
      <c r="D93" s="63">
        <f>16.1/2.4</f>
        <v>6.7083333333333339</v>
      </c>
      <c r="E93" s="93"/>
      <c r="F93" s="93"/>
      <c r="G93" s="93"/>
      <c r="H93" s="93"/>
      <c r="I93" s="56">
        <f t="shared" si="3"/>
        <v>1.075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70</v>
      </c>
      <c r="B94" s="63">
        <f>133.2/2.4</f>
        <v>55.5</v>
      </c>
      <c r="C94" s="63">
        <v>5</v>
      </c>
      <c r="D94" s="63">
        <f>15.7/2.4</f>
        <v>6.541666666666667</v>
      </c>
      <c r="E94" s="93"/>
      <c r="F94" s="93"/>
      <c r="G94" s="93"/>
      <c r="H94" s="93"/>
      <c r="I94" s="56">
        <f t="shared" si="3"/>
        <v>0.9958333333333329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80</v>
      </c>
      <c r="B95" s="63">
        <f>138.8/2.4</f>
        <v>57.833333333333343</v>
      </c>
      <c r="C95" s="63">
        <v>6</v>
      </c>
      <c r="D95" s="63">
        <f>16.1/2.4</f>
        <v>6.7083333333333339</v>
      </c>
      <c r="E95" s="93"/>
      <c r="F95" s="93"/>
      <c r="G95" s="93"/>
      <c r="H95" s="93"/>
      <c r="I95" s="56">
        <f t="shared" si="3"/>
        <v>0.88750000000000073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90</v>
      </c>
      <c r="B96" s="63">
        <f>142.8/2.4</f>
        <v>59.500000000000007</v>
      </c>
      <c r="C96" s="63">
        <v>7</v>
      </c>
      <c r="D96" s="63">
        <f>15.4/2.4</f>
        <v>6.416666666666667</v>
      </c>
      <c r="E96" s="93"/>
      <c r="F96" s="93"/>
      <c r="G96" s="93"/>
      <c r="H96" s="93"/>
      <c r="I96" s="56">
        <f t="shared" si="3"/>
        <v>0.83750000000000002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100</v>
      </c>
      <c r="B97" s="63">
        <f>145.6/2.4</f>
        <v>60.666666666666664</v>
      </c>
      <c r="C97" s="63">
        <v>8</v>
      </c>
      <c r="D97" s="63">
        <f>14.6/2.4</f>
        <v>6.083333333333333</v>
      </c>
      <c r="E97" s="93"/>
      <c r="F97" s="93"/>
      <c r="G97" s="93"/>
      <c r="H97" s="93"/>
      <c r="I97" s="56">
        <f t="shared" si="3"/>
        <v>0.75833333333333219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110</v>
      </c>
      <c r="B98" s="63">
        <f>147.5/2.4</f>
        <v>61.458333333333336</v>
      </c>
      <c r="C98" s="63">
        <v>9</v>
      </c>
      <c r="D98" s="63">
        <f>13.9/2.4</f>
        <v>5.791666666666667</v>
      </c>
      <c r="E98" s="93"/>
      <c r="F98" s="93"/>
      <c r="G98" s="93"/>
      <c r="H98" s="93"/>
      <c r="I98" s="56">
        <f t="shared" si="3"/>
        <v>0.68750000000000067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120</v>
      </c>
      <c r="B99" s="63">
        <f>148.8/2.4</f>
        <v>62.000000000000007</v>
      </c>
      <c r="C99" s="63">
        <v>10</v>
      </c>
      <c r="D99" s="63">
        <f>13.2/2.4</f>
        <v>5.5</v>
      </c>
      <c r="E99" s="93"/>
      <c r="F99" s="93"/>
      <c r="G99" s="93"/>
      <c r="H99" s="93"/>
      <c r="I99" s="56">
        <f t="shared" si="3"/>
        <v>0.63333333333333353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130</v>
      </c>
      <c r="B100" s="63">
        <f>149.5/2.4</f>
        <v>62.291666666666671</v>
      </c>
      <c r="C100" s="63">
        <v>11</v>
      </c>
      <c r="D100" s="63">
        <f>12.5/2.4</f>
        <v>5.2083333333333339</v>
      </c>
      <c r="E100" s="68"/>
      <c r="F100" s="68"/>
      <c r="G100" s="68"/>
      <c r="H100" s="68"/>
      <c r="I100" s="56">
        <f t="shared" si="3"/>
        <v>0.57916666666666639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140</v>
      </c>
      <c r="B101" s="63">
        <f>149.8/2.4</f>
        <v>62.416666666666671</v>
      </c>
      <c r="C101" s="63">
        <v>12</v>
      </c>
      <c r="D101" s="63">
        <f>11.8/2.4</f>
        <v>4.916666666666667</v>
      </c>
      <c r="E101" s="68"/>
      <c r="F101" s="68"/>
      <c r="G101" s="68"/>
      <c r="H101" s="68"/>
      <c r="I101" s="56">
        <f t="shared" si="3"/>
        <v>0.53333333333333355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150</v>
      </c>
      <c r="B102" s="53">
        <f>149.9/2.4</f>
        <v>62.458333333333336</v>
      </c>
      <c r="C102" s="63">
        <v>13</v>
      </c>
      <c r="D102" s="53">
        <f>B102</f>
        <v>62.458333333333336</v>
      </c>
      <c r="E102" s="57"/>
      <c r="F102" s="57"/>
      <c r="G102" s="57"/>
      <c r="H102" s="57"/>
      <c r="I102" s="56">
        <f t="shared" si="3"/>
        <v>0.49583333333333285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d'Alep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40</v>
      </c>
      <c r="B114" s="63">
        <v>91</v>
      </c>
      <c r="C114" s="53">
        <v>1</v>
      </c>
      <c r="D114" s="63">
        <v>41</v>
      </c>
      <c r="E114" s="54"/>
      <c r="F114" s="54"/>
      <c r="G114" s="54"/>
      <c r="H114" s="54"/>
      <c r="I114" s="56">
        <f>IFERROR(B114/A114,"")</f>
        <v>2.2749999999999999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55</v>
      </c>
      <c r="B115" s="63">
        <v>110</v>
      </c>
      <c r="C115" s="53">
        <v>2</v>
      </c>
      <c r="D115" s="63">
        <v>47</v>
      </c>
      <c r="E115" s="54"/>
      <c r="F115" s="54"/>
      <c r="G115" s="54"/>
      <c r="H115" s="54"/>
      <c r="I115" s="56">
        <f t="shared" ref="I115:I133" si="4">IF(A115&lt;&gt;0,(B115-(B114-D114))/(A115-A114),"")</f>
        <v>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70</v>
      </c>
      <c r="B116" s="63">
        <v>117</v>
      </c>
      <c r="C116" s="53">
        <v>3</v>
      </c>
      <c r="D116" s="63">
        <v>42</v>
      </c>
      <c r="E116" s="54"/>
      <c r="F116" s="54"/>
      <c r="G116" s="54"/>
      <c r="H116" s="54"/>
      <c r="I116" s="56">
        <f t="shared" si="4"/>
        <v>3.6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90</v>
      </c>
      <c r="B117" s="63">
        <v>135</v>
      </c>
      <c r="C117" s="53">
        <v>4</v>
      </c>
      <c r="D117" s="63">
        <f>B117</f>
        <v>135</v>
      </c>
      <c r="E117" s="54"/>
      <c r="F117" s="54"/>
      <c r="G117" s="54"/>
      <c r="H117" s="54"/>
      <c r="I117" s="56">
        <f t="shared" si="4"/>
        <v>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9" sqref="G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1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Chêne-liège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Cormier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pignon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d'Alep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308.00850473946429</v>
      </c>
      <c r="T3" s="62">
        <f>IF('Données projet'!E9&gt;30,$R$33-$H$33,LOOKUP('Données projet'!$E$9,$A$3:$A$203,R3:R203)-LOOKUP('Données projet'!$E$9,$A$3:$A$203,$H$3:$H$203))</f>
        <v>70.709140667951715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271.76512254565102</v>
      </c>
      <c r="AO3" s="62">
        <f>IF('Données projet'!E10&gt;30,$AM$33-$H$33,LOOKUP('Données projet'!$E$10,$A$3:$A$203,AM3:AM203)-LOOKUP('Données projet'!$E$10,$A$3:$A$203,$H$3:$H$203))</f>
        <v>99.160986083974535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43.16958872930951</v>
      </c>
      <c r="BJ3" s="62">
        <f>IF('Données projet'!E11&gt;30,$BH$33-$H$33,LOOKUP('Données projet'!$E$11,$A$3:$A$203,BH3:BH203)-LOOKUP('Données projet'!$E$11,$A$3:$A$203,$H$3:$H$203))</f>
        <v>69.202870643733547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49.695493809293282</v>
      </c>
      <c r="CE3" s="62">
        <f>IF('Données projet'!E12&gt;30,$CC$33-$H$33,LOOKUP('Données projet'!$E$12,$A$3:$A$203,CC3:CC203)-LOOKUP('Données projet'!$E$12,$A$3:$A$203,$H$3:$H$203))</f>
        <v>59.252884227831601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0.4446</v>
      </c>
      <c r="D4" s="12">
        <f>IFERROR(EXP(-1.0587+0.8836*LN(C4)+0.284),0)</f>
        <v>0.22516344164861962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5.1701037600946078</v>
      </c>
      <c r="H4" s="70">
        <f t="shared" ref="H4:H67" si="1">(B4+E4+F4)*44/12+(C4+D4)*0.475*44/12</f>
        <v>294.49983799420465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0.61670312770583813</v>
      </c>
      <c r="N4" s="14">
        <f>IF('Données projet'!$A$36&gt;35,N3+M4-V3,IF(A4&lt;'Données projet'!$A$36,$K$205^A4,IF(A4='Données projet'!$A$36,'Données projet'!$B$36,N3+M4-V3)))</f>
        <v>1.1598749277334361</v>
      </c>
      <c r="O4" s="14">
        <f>N4*VLOOKUP('Données projet'!$B$9,Paramètres!$A$1:$I$89,3,0)*VLOOKUP('Données projet'!$B$9,Paramètres!$A$1:$I$89,5,0)</f>
        <v>1.2665834210849123</v>
      </c>
      <c r="P4" s="14">
        <f>EXP(-1.0587+0.8836*LN(O4)+0.284)</f>
        <v>0.56785740008115315</v>
      </c>
      <c r="Q4" s="22">
        <f t="shared" ref="Q4:Q34" si="2">(O4+P4)*0.475*44/12</f>
        <v>3.1949844301975641</v>
      </c>
      <c r="R4" s="62">
        <f t="shared" si="0"/>
        <v>296.52831776353088</v>
      </c>
      <c r="S4" s="62">
        <f ca="1">AVERAGE(OFFSET($R$3,0,0,'Données projet'!$E$9+1,1))-AVERAGE(OFFSET($H$3,0,0,'Données projet'!$E$9+1,1))</f>
        <v>308.00850473946429</v>
      </c>
      <c r="T4" s="62">
        <f>$T$3</f>
        <v>70.709140667951715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1.233271056696907</v>
      </c>
      <c r="AK4" s="14">
        <f>EXP(-1.0587+0.8836*LN(AJ4)+0.284)</f>
        <v>0.55464025923604754</v>
      </c>
      <c r="AL4" s="22">
        <f t="shared" ref="AL4:AL67" si="4">(AJ4+AK4)*0.475*44/12</f>
        <v>3.113945541916562</v>
      </c>
      <c r="AM4" s="62">
        <f t="shared" ref="AM4:AM67" si="5">AL4+(AD4+AE4)*44/12</f>
        <v>296.44727887524988</v>
      </c>
      <c r="AN4" s="62">
        <f ca="1">AVERAGE(OFFSET($AM$3,0,0,'Données projet'!$E$10+1,1))-AVERAGE(OFFSET($H$3,0,0,'Données projet'!$E$10+1,1))</f>
        <v>271.76512254565102</v>
      </c>
      <c r="AO4" s="62">
        <f>$AO$3</f>
        <v>99.160986083974535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0.90000000000000013</v>
      </c>
      <c r="BD4" s="13">
        <f>IF('Données projet'!$A$88&gt;35,BD3+BC4-BL3,IF(A4&lt;'Données projet'!$A$88,$BA$205^A4,IF(A4='Données projet'!$A$88,'Données projet'!$B$88,BD3+BC4-BL3)))</f>
        <v>1.2457309396155174</v>
      </c>
      <c r="BE4" s="14">
        <f>BD4*VLOOKUP('Données projet'!$B$11,Paramètres!$A$1:$I$89,3,0)*VLOOKUP('Données projet'!$B$11,Paramètres!$A$1:$I$89,5,0)</f>
        <v>1.4350820424370758</v>
      </c>
      <c r="BF4" s="14">
        <f>EXP(-1.0587+0.8836*LN(BE4)+0.284)</f>
        <v>0.63411546281507547</v>
      </c>
      <c r="BG4" s="22">
        <f t="shared" ref="BG4:BG67" si="7">(BE4+BF4)*0.475*44/12</f>
        <v>3.6038523216474965</v>
      </c>
      <c r="BH4" s="62">
        <f t="shared" ref="BH4:BH67" si="8">BG4+(AY4+AZ4)*44/12</f>
        <v>296.93718565498079</v>
      </c>
      <c r="BI4" s="62">
        <f ca="1">AVERAGE(OFFSET($BH$3,0,0,'Données projet'!$E$11+1,1))-AVERAGE(OFFSET($H$3,0,0,'Données projet'!$E$11+1,1))</f>
        <v>43.16958872930951</v>
      </c>
      <c r="BJ4" s="62">
        <f>$BJ$3</f>
        <v>69.202870643733547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2.2749999999999999</v>
      </c>
      <c r="BY4" s="13">
        <f>IF('Données projet'!$A$114&gt;35,BY3+BX4-CG3,IF(A4&lt;'Données projet'!$A$114,$BV$205^A4,IF(A4='Données projet'!$A$114,'Données projet'!$B$114,BY3+BX4-CG3)))</f>
        <v>2.2749999999999999</v>
      </c>
      <c r="BZ4" s="14">
        <f>BY4*VLOOKUP('Données projet'!$B$12,Paramètres!$A$1:$I$89,3,0)*VLOOKUP('Données projet'!$B$12,Paramètres!$A$1:$I$89,5,0)</f>
        <v>1.330875</v>
      </c>
      <c r="CA4" s="14">
        <f>EXP(-1.0587+0.8836*LN(BZ4)+0.284)</f>
        <v>0.59325274181498866</v>
      </c>
      <c r="CB4" s="22">
        <f t="shared" ref="CB4:CB67" si="10">(BZ4+CA4)*0.475*44/12</f>
        <v>3.3511891503277718</v>
      </c>
      <c r="CC4" s="62">
        <f t="shared" ref="CC4:CC67" si="11">CB4+(BT4+BU4)*44/12</f>
        <v>296.68452248366111</v>
      </c>
      <c r="CD4" s="62">
        <f ca="1">AVERAGE(OFFSET($CC$3,0,0,'Données projet'!$E$12+1,1))-AVERAGE(OFFSET($H$3,0,0,'Données projet'!$E$12+1,1))</f>
        <v>49.695493809293282</v>
      </c>
      <c r="CE4" s="62">
        <f>$CE$3</f>
        <v>59.252884227831601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5" s="12">
        <f t="shared" ref="D5:D68" si="32">IFERROR(EXP(-1.0587+0.8836*LN(C5)+0.284),0)</f>
        <v>0.41542055579923082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10.07075516757301</v>
      </c>
      <c r="H5" s="70">
        <f t="shared" si="1"/>
        <v>295.60554746801699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0.61670312770583813</v>
      </c>
      <c r="N5" s="14">
        <f>IF('Données projet'!$A$36&gt;35,N4+M5-V4,IF(A5&lt;'Données projet'!$A$36,$K$205^A5,IF(A5='Données projet'!$A$36,'Données projet'!$B$36,N4+M5-V4)))</f>
        <v>1.3453098479846437</v>
      </c>
      <c r="O5" s="14">
        <f>N5*VLOOKUP('Données projet'!$B$9,Paramètres!$A$1:$I$89,3,0)*VLOOKUP('Données projet'!$B$9,Paramètres!$A$1:$I$89,5,0)</f>
        <v>1.4690783539992307</v>
      </c>
      <c r="P5" s="14">
        <f t="shared" ref="P5:P68" si="33">EXP(-1.0587+0.8836*LN(O5)+0.284)</f>
        <v>0.64737062834556469</v>
      </c>
      <c r="Q5" s="22">
        <f t="shared" si="2"/>
        <v>3.6861486442505189</v>
      </c>
      <c r="R5" s="62">
        <f t="shared" si="0"/>
        <v>297.01948197758384</v>
      </c>
      <c r="S5" s="62">
        <f ca="1">AVERAGE(OFFSET($R$3,0,0,'Données projet'!$E$9+1,1))-AVERAGE(OFFSET($H$3,0,0,'Données projet'!$E$9+1,1))</f>
        <v>308.00850473946429</v>
      </c>
      <c r="T5" s="62">
        <f t="shared" ref="T5:T68" si="34">$T$3</f>
        <v>70.709140667951715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1.4130039941344348</v>
      </c>
      <c r="AK5" s="14">
        <f t="shared" ref="AK5:AK68" si="35">EXP(-1.0587+0.8836*LN(AJ5)+0.284)</f>
        <v>0.62548768551477418</v>
      </c>
      <c r="AL5" s="22">
        <f t="shared" si="4"/>
        <v>3.5503730087223722</v>
      </c>
      <c r="AM5" s="62">
        <f t="shared" si="5"/>
        <v>296.88370634205569</v>
      </c>
      <c r="AN5" s="62">
        <f ca="1">AVERAGE(OFFSET($AM$3,0,0,'Données projet'!$E$10+1,1))-AVERAGE(OFFSET($H$3,0,0,'Données projet'!$E$10+1,1))</f>
        <v>271.76512254565102</v>
      </c>
      <c r="AO5" s="62">
        <f t="shared" ref="AO5:AO68" si="36">$AO$3</f>
        <v>99.160986083974535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0.90000000000000013</v>
      </c>
      <c r="BD5" s="13">
        <f>IF('Données projet'!$A$88&gt;35,BD4+BC5-BL4,IF(A5&lt;'Données projet'!$A$88,$BA$205^A5,IF(A5='Données projet'!$A$88,'Données projet'!$B$88,BD4+BC5-BL4)))</f>
        <v>1.5518455739153598</v>
      </c>
      <c r="BE5" s="14">
        <f>BD5*VLOOKUP('Données projet'!$B$11,Paramètres!$A$1:$I$89,3,0)*VLOOKUP('Données projet'!$B$11,Paramètres!$A$1:$I$89,5,0)</f>
        <v>1.7877261011504944</v>
      </c>
      <c r="BF5" s="14">
        <f t="shared" ref="BF5:BF68" si="37">EXP(-1.0587+0.8836*LN(BE5)+0.284)</f>
        <v>0.76999022465510569</v>
      </c>
      <c r="BG5" s="22">
        <f t="shared" si="7"/>
        <v>4.4546892674447527</v>
      </c>
      <c r="BH5" s="62">
        <f t="shared" si="8"/>
        <v>297.78802260077805</v>
      </c>
      <c r="BI5" s="62">
        <f ca="1">AVERAGE(OFFSET($BH$3,0,0,'Données projet'!$E$11+1,1))-AVERAGE(OFFSET($H$3,0,0,'Données projet'!$E$11+1,1))</f>
        <v>43.16958872930951</v>
      </c>
      <c r="BJ5" s="62">
        <f t="shared" ref="BJ5:BJ68" si="38">$BJ$3</f>
        <v>69.202870643733547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2.2749999999999999</v>
      </c>
      <c r="BY5" s="13">
        <f>IF('Données projet'!$A$114&gt;35,BY4+BX5-CG4,IF(A5&lt;'Données projet'!$A$114,$BV$205^A5,IF(A5='Données projet'!$A$114,'Données projet'!$B$114,BY4+BX5-CG4)))</f>
        <v>4.55</v>
      </c>
      <c r="BZ5" s="14">
        <f>BY5*VLOOKUP('Données projet'!$B$12,Paramètres!$A$1:$I$89,3,0)*VLOOKUP('Données projet'!$B$12,Paramètres!$A$1:$I$89,5,0)</f>
        <v>2.6617500000000001</v>
      </c>
      <c r="CA5" s="14">
        <f t="shared" ref="CA5:CA68" si="39">EXP(-1.0587+0.8836*LN(BZ5)+0.284)</f>
        <v>1.0945355157556989</v>
      </c>
      <c r="CB5" s="22">
        <f t="shared" si="10"/>
        <v>6.5421972732745077</v>
      </c>
      <c r="CC5" s="62">
        <f t="shared" si="11"/>
        <v>299.87553060660781</v>
      </c>
      <c r="CD5" s="62">
        <f ca="1">AVERAGE(OFFSET($CC$3,0,0,'Données projet'!$E$12+1,1))-AVERAGE(OFFSET($H$3,0,0,'Données projet'!$E$12+1,1))</f>
        <v>49.695493809293282</v>
      </c>
      <c r="CE5" s="62">
        <f t="shared" ref="CE5:CE68" si="40">$CE$3</f>
        <v>59.252884227831601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1.3338000000000001</v>
      </c>
      <c r="D6" s="12">
        <f t="shared" si="32"/>
        <v>0.59440467835601563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14.884386990818369</v>
      </c>
      <c r="H6" s="70">
        <f t="shared" si="1"/>
        <v>296.69162314813673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0.61670312770583813</v>
      </c>
      <c r="N6" s="14">
        <f>IF('Données projet'!$A$36&gt;35,N5+M6-V5,IF(A6&lt;'Données projet'!$A$36,$K$205^A6,IF(A6='Données projet'!$A$36,'Données projet'!$B$36,N5+M6-V5)))</f>
        <v>1.5603911627102687</v>
      </c>
      <c r="O6" s="14">
        <f>N6*VLOOKUP('Données projet'!$B$9,Paramètres!$A$1:$I$89,3,0)*VLOOKUP('Données projet'!$B$9,Paramètres!$A$1:$I$89,5,0)</f>
        <v>1.7039471496796132</v>
      </c>
      <c r="P6" s="14">
        <f t="shared" si="33"/>
        <v>0.7380175557888986</v>
      </c>
      <c r="Q6" s="22">
        <f t="shared" si="2"/>
        <v>4.2530885286909905</v>
      </c>
      <c r="R6" s="62">
        <f t="shared" si="0"/>
        <v>297.58642186202428</v>
      </c>
      <c r="S6" s="62">
        <f ca="1">AVERAGE(OFFSET($R$3,0,0,'Données projet'!$E$9+1,1))-AVERAGE(OFFSET($H$3,0,0,'Données projet'!$E$9+1,1))</f>
        <v>308.00850473946429</v>
      </c>
      <c r="T6" s="62">
        <f t="shared" si="34"/>
        <v>70.709140667951715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1.6189306289140883</v>
      </c>
      <c r="AK6" s="14">
        <f t="shared" si="35"/>
        <v>0.70538486562354785</v>
      </c>
      <c r="AL6" s="22">
        <f t="shared" si="4"/>
        <v>4.0481828196530492</v>
      </c>
      <c r="AM6" s="62">
        <f t="shared" si="5"/>
        <v>297.38151615298636</v>
      </c>
      <c r="AN6" s="62">
        <f ca="1">AVERAGE(OFFSET($AM$3,0,0,'Données projet'!$E$10+1,1))-AVERAGE(OFFSET($H$3,0,0,'Données projet'!$E$10+1,1))</f>
        <v>271.76512254565102</v>
      </c>
      <c r="AO6" s="62">
        <f t="shared" si="36"/>
        <v>99.160986083974535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0.90000000000000013</v>
      </c>
      <c r="BD6" s="13">
        <f>IF('Données projet'!$A$88&gt;35,BD5+BC6-BL5,IF(A6&lt;'Données projet'!$A$88,$BA$205^A6,IF(A6='Données projet'!$A$88,'Données projet'!$B$88,BD5+BC6-BL5)))</f>
        <v>1.9331820449317632</v>
      </c>
      <c r="BE6" s="14">
        <f>BD6*VLOOKUP('Données projet'!$B$11,Paramètres!$A$1:$I$89,3,0)*VLOOKUP('Données projet'!$B$11,Paramètres!$A$1:$I$89,5,0)</f>
        <v>2.2270257157613909</v>
      </c>
      <c r="BF6" s="14">
        <f t="shared" si="37"/>
        <v>0.93497948060181701</v>
      </c>
      <c r="BG6" s="22">
        <f t="shared" si="7"/>
        <v>5.5071590503325867</v>
      </c>
      <c r="BH6" s="62">
        <f t="shared" si="8"/>
        <v>298.84049238366589</v>
      </c>
      <c r="BI6" s="62">
        <f ca="1">AVERAGE(OFFSET($BH$3,0,0,'Données projet'!$E$11+1,1))-AVERAGE(OFFSET($H$3,0,0,'Données projet'!$E$11+1,1))</f>
        <v>43.16958872930951</v>
      </c>
      <c r="BJ6" s="62">
        <f t="shared" si="38"/>
        <v>69.202870643733547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2.2749999999999999</v>
      </c>
      <c r="BY6" s="13">
        <f>IF('Données projet'!$A$114&gt;35,BY5+BX6-CG5,IF(A6&lt;'Données projet'!$A$114,$BV$205^A6,IF(A6='Données projet'!$A$114,'Données projet'!$B$114,BY5+BX6-CG5)))</f>
        <v>6.8249999999999993</v>
      </c>
      <c r="BZ6" s="14">
        <f>BY6*VLOOKUP('Données projet'!$B$12,Paramètres!$A$1:$I$89,3,0)*VLOOKUP('Données projet'!$B$12,Paramètres!$A$1:$I$89,5,0)</f>
        <v>3.9926249999999994</v>
      </c>
      <c r="CA6" s="14">
        <f t="shared" si="39"/>
        <v>1.5661166066766079</v>
      </c>
      <c r="CB6" s="22">
        <f t="shared" si="10"/>
        <v>9.6814749649617564</v>
      </c>
      <c r="CC6" s="62">
        <f t="shared" si="11"/>
        <v>303.01480829829507</v>
      </c>
      <c r="CD6" s="62">
        <f ca="1">AVERAGE(OFFSET($CC$3,0,0,'Données projet'!$E$12+1,1))-AVERAGE(OFFSET($H$3,0,0,'Données projet'!$E$12+1,1))</f>
        <v>49.695493809293282</v>
      </c>
      <c r="CE6" s="62">
        <f t="shared" si="40"/>
        <v>59.252884227831601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7" s="12">
        <f t="shared" si="32"/>
        <v>0.76643986660078545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19.644377917620098</v>
      </c>
      <c r="H7" s="70">
        <f t="shared" si="1"/>
        <v>297.76559610099633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0.61670312770583813</v>
      </c>
      <c r="N7" s="14">
        <f>IF('Données projet'!$A$36&gt;35,N6+M7-V6,IF(A7&lt;'Données projet'!$A$36,$K$205^A7,IF(A7='Données projet'!$A$36,'Données projet'!$B$36,N6+M7-V6)))</f>
        <v>1.8098585870844652</v>
      </c>
      <c r="O7" s="14">
        <f>N7*VLOOKUP('Données projet'!$B$9,Paramètres!$A$1:$I$89,3,0)*VLOOKUP('Données projet'!$B$9,Paramètres!$A$1:$I$89,5,0)</f>
        <v>1.9763655770962361</v>
      </c>
      <c r="P7" s="14">
        <f t="shared" si="33"/>
        <v>0.84135715895018448</v>
      </c>
      <c r="Q7" s="22">
        <f t="shared" si="2"/>
        <v>4.9075337652808493</v>
      </c>
      <c r="R7" s="62">
        <f t="shared" si="0"/>
        <v>298.24086709861416</v>
      </c>
      <c r="S7" s="62">
        <f ca="1">AVERAGE(OFFSET($R$3,0,0,'Données projet'!$E$9+1,1))-AVERAGE(OFFSET($H$3,0,0,'Données projet'!$E$9+1,1))</f>
        <v>308.00850473946429</v>
      </c>
      <c r="T7" s="62">
        <f t="shared" si="34"/>
        <v>70.709140667951715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1.8548683458192732</v>
      </c>
      <c r="AK7" s="14">
        <f t="shared" si="35"/>
        <v>0.79548777725536501</v>
      </c>
      <c r="AL7" s="22">
        <f t="shared" si="4"/>
        <v>4.6160369143549937</v>
      </c>
      <c r="AM7" s="62">
        <f t="shared" si="5"/>
        <v>297.94937024768831</v>
      </c>
      <c r="AN7" s="62">
        <f ca="1">AVERAGE(OFFSET($AM$3,0,0,'Données projet'!$E$10+1,1))-AVERAGE(OFFSET($H$3,0,0,'Données projet'!$E$10+1,1))</f>
        <v>271.76512254565102</v>
      </c>
      <c r="AO7" s="62">
        <f t="shared" si="36"/>
        <v>99.160986083974535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0.90000000000000013</v>
      </c>
      <c r="BD7" s="13">
        <f>IF('Données projet'!$A$88&gt;35,BD6+BC7-BL6,IF(A7&lt;'Données projet'!$A$88,$BA$205^A7,IF(A7='Données projet'!$A$88,'Données projet'!$B$88,BD6+BC7-BL6)))</f>
        <v>2.4082246852806923</v>
      </c>
      <c r="BE7" s="14">
        <f>BD7*VLOOKUP('Données projet'!$B$11,Paramètres!$A$1:$I$89,3,0)*VLOOKUP('Données projet'!$B$11,Paramètres!$A$1:$I$89,5,0)</f>
        <v>2.7742748374433575</v>
      </c>
      <c r="BF7" s="14">
        <f t="shared" si="37"/>
        <v>1.1353217237764408</v>
      </c>
      <c r="BG7" s="22">
        <f t="shared" si="7"/>
        <v>6.8092140107911483</v>
      </c>
      <c r="BH7" s="62">
        <f t="shared" si="8"/>
        <v>300.14254734412447</v>
      </c>
      <c r="BI7" s="62">
        <f ca="1">AVERAGE(OFFSET($BH$3,0,0,'Données projet'!$E$11+1,1))-AVERAGE(OFFSET($H$3,0,0,'Données projet'!$E$11+1,1))</f>
        <v>43.16958872930951</v>
      </c>
      <c r="BJ7" s="62">
        <f t="shared" si="38"/>
        <v>69.202870643733547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2.2749999999999999</v>
      </c>
      <c r="BY7" s="13">
        <f>IF('Données projet'!$A$114&gt;35,BY6+BX7-CG6,IF(A7&lt;'Données projet'!$A$114,$BV$205^A7,IF(A7='Données projet'!$A$114,'Données projet'!$B$114,BY6+BX7-CG6)))</f>
        <v>9.1</v>
      </c>
      <c r="BZ7" s="14">
        <f>BY7*VLOOKUP('Données projet'!$B$12,Paramètres!$A$1:$I$89,3,0)*VLOOKUP('Données projet'!$B$12,Paramètres!$A$1:$I$89,5,0)</f>
        <v>5.3235000000000001</v>
      </c>
      <c r="CA7" s="14">
        <f t="shared" si="39"/>
        <v>2.0193888891021827</v>
      </c>
      <c r="CB7" s="22">
        <f t="shared" si="10"/>
        <v>12.788864815186301</v>
      </c>
      <c r="CC7" s="62">
        <f t="shared" si="11"/>
        <v>306.1221981485196</v>
      </c>
      <c r="CD7" s="62">
        <f ca="1">AVERAGE(OFFSET($CC$3,0,0,'Données projet'!$E$12+1,1))-AVERAGE(OFFSET($H$3,0,0,'Données projet'!$E$12+1,1))</f>
        <v>49.695493809293282</v>
      </c>
      <c r="CE7" s="62">
        <f t="shared" si="40"/>
        <v>59.252884227831601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2.2229999999999999</v>
      </c>
      <c r="D8" s="12">
        <f t="shared" si="32"/>
        <v>0.93348592504562822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24.365856263510111</v>
      </c>
      <c r="H8" s="70">
        <f t="shared" si="1"/>
        <v>298.83087965278776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0.61670312770583813</v>
      </c>
      <c r="N8" s="14">
        <f>IF('Données projet'!$A$36&gt;35,N7+M8-V7,IF(A8&lt;'Données projet'!$A$36,$K$205^A8,IF(A8='Données projet'!$A$36,'Données projet'!$B$36,N7+M8-V7)))</f>
        <v>2.0992095979023331</v>
      </c>
      <c r="O8" s="14">
        <f>N8*VLOOKUP('Données projet'!$B$9,Paramètres!$A$1:$I$89,3,0)*VLOOKUP('Données projet'!$B$9,Paramètres!$A$1:$I$89,5,0)</f>
        <v>2.2923368809093478</v>
      </c>
      <c r="P8" s="14">
        <f t="shared" si="33"/>
        <v>0.95916670730148246</v>
      </c>
      <c r="Q8" s="22">
        <f t="shared" si="2"/>
        <v>5.6630354161338632</v>
      </c>
      <c r="R8" s="62">
        <f t="shared" si="0"/>
        <v>298.99636874946719</v>
      </c>
      <c r="S8" s="62">
        <f ca="1">AVERAGE(OFFSET($R$3,0,0,'Données projet'!$E$9+1,1))-AVERAGE(OFFSET($H$3,0,0,'Données projet'!$E$9+1,1))</f>
        <v>308.00850473946429</v>
      </c>
      <c r="T8" s="62">
        <f t="shared" si="34"/>
        <v>70.709140667951715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2.1251908629526004</v>
      </c>
      <c r="AK8" s="14">
        <f t="shared" si="35"/>
        <v>0.89710005785748825</v>
      </c>
      <c r="AL8" s="22">
        <f t="shared" si="4"/>
        <v>5.2638233537442369</v>
      </c>
      <c r="AM8" s="62">
        <f t="shared" si="5"/>
        <v>298.59715668707753</v>
      </c>
      <c r="AN8" s="62">
        <f ca="1">AVERAGE(OFFSET($AM$3,0,0,'Données projet'!$E$10+1,1))-AVERAGE(OFFSET($H$3,0,0,'Données projet'!$E$10+1,1))</f>
        <v>271.76512254565102</v>
      </c>
      <c r="AO8" s="62">
        <f t="shared" si="36"/>
        <v>99.160986083974535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0.90000000000000013</v>
      </c>
      <c r="BD8" s="13">
        <f>IF('Données projet'!$A$88&gt;35,BD7+BC8-BL7,IF(A8&lt;'Données projet'!$A$88,$BA$205^A8,IF(A8='Données projet'!$A$88,'Données projet'!$B$88,BD7+BC8-BL7)))</f>
        <v>3.0000000000000004</v>
      </c>
      <c r="BE8" s="14">
        <f>BD8*VLOOKUP('Données projet'!$B$11,Paramètres!$A$1:$I$89,3,0)*VLOOKUP('Données projet'!$B$11,Paramètres!$A$1:$I$89,5,0)</f>
        <v>3.4560000000000004</v>
      </c>
      <c r="BF8" s="14">
        <f t="shared" si="37"/>
        <v>1.3785921971774702</v>
      </c>
      <c r="BG8" s="22">
        <f t="shared" si="7"/>
        <v>8.4202480767507613</v>
      </c>
      <c r="BH8" s="62">
        <f t="shared" si="8"/>
        <v>301.75358141008405</v>
      </c>
      <c r="BI8" s="62">
        <f ca="1">AVERAGE(OFFSET($BH$3,0,0,'Données projet'!$E$11+1,1))-AVERAGE(OFFSET($H$3,0,0,'Données projet'!$E$11+1,1))</f>
        <v>43.16958872930951</v>
      </c>
      <c r="BJ8" s="62">
        <f t="shared" si="38"/>
        <v>69.202870643733547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2.2749999999999999</v>
      </c>
      <c r="BY8" s="13">
        <f>IF('Données projet'!$A$114&gt;35,BY7+BX8-CG7,IF(A8&lt;'Données projet'!$A$114,$BV$205^A8,IF(A8='Données projet'!$A$114,'Données projet'!$B$114,BY7+BX8-CG7)))</f>
        <v>11.375</v>
      </c>
      <c r="BZ8" s="14">
        <f>BY8*VLOOKUP('Données projet'!$B$12,Paramètres!$A$1:$I$89,3,0)*VLOOKUP('Données projet'!$B$12,Paramètres!$A$1:$I$89,5,0)</f>
        <v>6.6543750000000008</v>
      </c>
      <c r="CA8" s="14">
        <f t="shared" si="39"/>
        <v>2.4595159872500334</v>
      </c>
      <c r="CB8" s="22">
        <f t="shared" si="10"/>
        <v>15.873360136127141</v>
      </c>
      <c r="CC8" s="62">
        <f t="shared" si="11"/>
        <v>309.20669346946045</v>
      </c>
      <c r="CD8" s="62">
        <f ca="1">AVERAGE(OFFSET($CC$3,0,0,'Données projet'!$E$12+1,1))-AVERAGE(OFFSET($H$3,0,0,'Données projet'!$E$12+1,1))</f>
        <v>49.695493809293282</v>
      </c>
      <c r="CE8" s="62">
        <f t="shared" si="40"/>
        <v>59.252884227831601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2.6675999999999997</v>
      </c>
      <c r="D9" s="12">
        <f t="shared" si="32"/>
        <v>1.0966608080083624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29.057451851292623</v>
      </c>
      <c r="H9" s="70">
        <f t="shared" si="1"/>
        <v>299.88942090728119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0.61670312770583813</v>
      </c>
      <c r="N9" s="14">
        <f>IF('Données projet'!$A$36&gt;35,N8+M9-V8,IF(A9&lt;'Données projet'!$A$36,$K$205^A9,IF(A9='Données projet'!$A$36,'Données projet'!$B$36,N8+M9-V8)))</f>
        <v>2.434820580664304</v>
      </c>
      <c r="O9" s="14">
        <f>N9*VLOOKUP('Données projet'!$B$9,Paramètres!$A$1:$I$89,3,0)*VLOOKUP('Données projet'!$B$9,Paramètres!$A$1:$I$89,5,0)</f>
        <v>2.6588240740854197</v>
      </c>
      <c r="P9" s="14">
        <f t="shared" si="33"/>
        <v>1.0934723293298076</v>
      </c>
      <c r="Q9" s="22">
        <f t="shared" si="2"/>
        <v>6.5352495692815209</v>
      </c>
      <c r="R9" s="62">
        <f t="shared" si="0"/>
        <v>299.86858290261483</v>
      </c>
      <c r="S9" s="62">
        <f ca="1">AVERAGE(OFFSET($R$3,0,0,'Données projet'!$E$9+1,1))-AVERAGE(OFFSET($H$3,0,0,'Données projet'!$E$9+1,1))</f>
        <v>308.00850473946429</v>
      </c>
      <c r="T9" s="62">
        <f t="shared" si="34"/>
        <v>70.709140667951715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2.4349093099555601</v>
      </c>
      <c r="AK9" s="14">
        <f t="shared" si="35"/>
        <v>1.0116918660706939</v>
      </c>
      <c r="AL9" s="22">
        <f t="shared" si="4"/>
        <v>6.0028303815790593</v>
      </c>
      <c r="AM9" s="62">
        <f t="shared" si="5"/>
        <v>299.33616371491235</v>
      </c>
      <c r="AN9" s="62">
        <f ca="1">AVERAGE(OFFSET($AM$3,0,0,'Données projet'!$E$10+1,1))-AVERAGE(OFFSET($H$3,0,0,'Données projet'!$E$10+1,1))</f>
        <v>271.76512254565102</v>
      </c>
      <c r="AO9" s="62">
        <f t="shared" si="36"/>
        <v>99.160986083974535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0.90000000000000013</v>
      </c>
      <c r="BD9" s="13">
        <f>IF('Données projet'!$A$88&gt;35,BD8+BC9-BL8,IF(A9&lt;'Données projet'!$A$88,$BA$205^A9,IF(A9='Données projet'!$A$88,'Données projet'!$B$88,BD8+BC9-BL8)))</f>
        <v>3.7371928188465526</v>
      </c>
      <c r="BE9" s="14">
        <f>BD9*VLOOKUP('Données projet'!$B$11,Paramètres!$A$1:$I$89,3,0)*VLOOKUP('Données projet'!$B$11,Paramètres!$A$1:$I$89,5,0)</f>
        <v>4.3052461273112286</v>
      </c>
      <c r="BF9" s="14">
        <f t="shared" si="37"/>
        <v>1.6739893250671571</v>
      </c>
      <c r="BG9" s="22">
        <f t="shared" si="7"/>
        <v>10.413835079559021</v>
      </c>
      <c r="BH9" s="62">
        <f t="shared" si="8"/>
        <v>303.74716841289234</v>
      </c>
      <c r="BI9" s="62">
        <f ca="1">AVERAGE(OFFSET($BH$3,0,0,'Données projet'!$E$11+1,1))-AVERAGE(OFFSET($H$3,0,0,'Données projet'!$E$11+1,1))</f>
        <v>43.16958872930951</v>
      </c>
      <c r="BJ9" s="62">
        <f t="shared" si="38"/>
        <v>69.202870643733547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2.2749999999999999</v>
      </c>
      <c r="BY9" s="13">
        <f>IF('Données projet'!$A$114&gt;35,BY8+BX9-CG8,IF(A9&lt;'Données projet'!$A$114,$BV$205^A9,IF(A9='Données projet'!$A$114,'Données projet'!$B$114,BY8+BX9-CG8)))</f>
        <v>13.65</v>
      </c>
      <c r="BZ9" s="14">
        <f>BY9*VLOOKUP('Données projet'!$B$12,Paramètres!$A$1:$I$89,3,0)*VLOOKUP('Données projet'!$B$12,Paramètres!$A$1:$I$89,5,0)</f>
        <v>7.9852500000000006</v>
      </c>
      <c r="CA9" s="14">
        <f t="shared" si="39"/>
        <v>2.889443447961217</v>
      </c>
      <c r="CB9" s="22">
        <f t="shared" si="10"/>
        <v>18.940091088532451</v>
      </c>
      <c r="CC9" s="62">
        <f t="shared" si="11"/>
        <v>312.27342442186574</v>
      </c>
      <c r="CD9" s="62">
        <f ca="1">AVERAGE(OFFSET($CC$3,0,0,'Données projet'!$E$12+1,1))-AVERAGE(OFFSET($H$3,0,0,'Données projet'!$E$12+1,1))</f>
        <v>49.695493809293282</v>
      </c>
      <c r="CE9" s="62">
        <f t="shared" si="40"/>
        <v>59.252884227831601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3.1121999999999996</v>
      </c>
      <c r="D10" s="12">
        <f t="shared" si="32"/>
        <v>1.2566852174113516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33.724727994052543</v>
      </c>
      <c r="H10" s="70">
        <f t="shared" si="1"/>
        <v>300.94247508699141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0.61670312770583813</v>
      </c>
      <c r="N10" s="14">
        <f>IF('Données projet'!$A$36&gt;35,N9+M10-V9,IF(A10&lt;'Données projet'!$A$36,$K$205^A10,IF(A10='Données projet'!$A$36,'Données projet'!$B$36,N9+M10-V9)))</f>
        <v>2.8240873450418928</v>
      </c>
      <c r="O10" s="14">
        <f>N10*VLOOKUP('Données projet'!$B$9,Paramètres!$A$1:$I$89,3,0)*VLOOKUP('Données projet'!$B$9,Paramètres!$A$1:$I$89,5,0)</f>
        <v>3.0839033807857468</v>
      </c>
      <c r="P10" s="14">
        <f t="shared" si="33"/>
        <v>1.2465838585806257</v>
      </c>
      <c r="Q10" s="22">
        <f t="shared" si="2"/>
        <v>7.5422652752297656</v>
      </c>
      <c r="R10" s="62">
        <f t="shared" si="0"/>
        <v>300.87559860856305</v>
      </c>
      <c r="S10" s="62">
        <f ca="1">AVERAGE(OFFSET($R$3,0,0,'Données projet'!$E$9+1,1))-AVERAGE(OFFSET($H$3,0,0,'Données projet'!$E$9+1,1))</f>
        <v>308.00850473946429</v>
      </c>
      <c r="T10" s="62">
        <f t="shared" si="34"/>
        <v>70.709140667951715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2.7897651223058633</v>
      </c>
      <c r="AK10" s="14">
        <f t="shared" si="35"/>
        <v>1.1409211524498617</v>
      </c>
      <c r="AL10" s="22">
        <f t="shared" si="4"/>
        <v>6.8459452618662198</v>
      </c>
      <c r="AM10" s="62">
        <f t="shared" si="5"/>
        <v>300.17927859519955</v>
      </c>
      <c r="AN10" s="62">
        <f ca="1">AVERAGE(OFFSET($AM$3,0,0,'Données projet'!$E$10+1,1))-AVERAGE(OFFSET($H$3,0,0,'Données projet'!$E$10+1,1))</f>
        <v>271.76512254565102</v>
      </c>
      <c r="AO10" s="62">
        <f t="shared" si="36"/>
        <v>99.160986083974535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0.90000000000000013</v>
      </c>
      <c r="BD10" s="13">
        <f>IF('Données projet'!$A$88&gt;35,BD9+BC10-BL9,IF(A10&lt;'Données projet'!$A$88,$BA$205^A10,IF(A10='Données projet'!$A$88,'Données projet'!$B$88,BD9+BC10-BL9)))</f>
        <v>4.6555367217460804</v>
      </c>
      <c r="BE10" s="14">
        <f>BD10*VLOOKUP('Données projet'!$B$11,Paramètres!$A$1:$I$89,3,0)*VLOOKUP('Données projet'!$B$11,Paramètres!$A$1:$I$89,5,0)</f>
        <v>5.3631783034514848</v>
      </c>
      <c r="BF10" s="14">
        <f t="shared" si="37"/>
        <v>2.0326825192947577</v>
      </c>
      <c r="BG10" s="22">
        <f t="shared" si="7"/>
        <v>12.881124266283038</v>
      </c>
      <c r="BH10" s="62">
        <f t="shared" si="8"/>
        <v>306.21445759961637</v>
      </c>
      <c r="BI10" s="62">
        <f ca="1">AVERAGE(OFFSET($BH$3,0,0,'Données projet'!$E$11+1,1))-AVERAGE(OFFSET($H$3,0,0,'Données projet'!$E$11+1,1))</f>
        <v>43.16958872930951</v>
      </c>
      <c r="BJ10" s="62">
        <f t="shared" si="38"/>
        <v>69.202870643733547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2.2749999999999999</v>
      </c>
      <c r="BY10" s="13">
        <f>IF('Données projet'!$A$114&gt;35,BY9+BX10-CG9,IF(A10&lt;'Données projet'!$A$114,$BV$205^A10,IF(A10='Données projet'!$A$114,'Données projet'!$B$114,BY9+BX10-CG9)))</f>
        <v>15.925000000000001</v>
      </c>
      <c r="BZ10" s="14">
        <f>BY10*VLOOKUP('Données projet'!$B$12,Paramètres!$A$1:$I$89,3,0)*VLOOKUP('Données projet'!$B$12,Paramètres!$A$1:$I$89,5,0)</f>
        <v>9.3161250000000013</v>
      </c>
      <c r="CA10" s="14">
        <f t="shared" si="39"/>
        <v>3.3110701513929359</v>
      </c>
      <c r="CB10" s="22">
        <f t="shared" si="10"/>
        <v>21.992364888676033</v>
      </c>
      <c r="CC10" s="62">
        <f t="shared" si="11"/>
        <v>315.32569822200935</v>
      </c>
      <c r="CD10" s="62">
        <f ca="1">AVERAGE(OFFSET($CC$3,0,0,'Données projet'!$E$12+1,1))-AVERAGE(OFFSET($H$3,0,0,'Données projet'!$E$12+1,1))</f>
        <v>49.695493809293282</v>
      </c>
      <c r="CE10" s="62">
        <f t="shared" si="40"/>
        <v>59.252884227831601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3.5567999999999995</v>
      </c>
      <c r="D11" s="12">
        <f t="shared" si="32"/>
        <v>1.4140611505968179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38.37155975899298</v>
      </c>
      <c r="H11" s="70">
        <f t="shared" si="1"/>
        <v>301.9909165039561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0.61670312770583813</v>
      </c>
      <c r="N11" s="14">
        <f>IF('Données projet'!$A$36&gt;35,N10+M11-V10,IF(A11&lt;'Données projet'!$A$36,$K$205^A11,IF(A11='Données projet'!$A$36,'Données projet'!$B$36,N10+M11-V10)))</f>
        <v>3.2755881052433766</v>
      </c>
      <c r="O11" s="14">
        <f>N11*VLOOKUP('Données projet'!$B$9,Paramètres!$A$1:$I$89,3,0)*VLOOKUP('Données projet'!$B$9,Paramètres!$A$1:$I$89,5,0)</f>
        <v>3.5769422109257674</v>
      </c>
      <c r="P11" s="14">
        <f t="shared" si="33"/>
        <v>1.4211345589569651</v>
      </c>
      <c r="Q11" s="22">
        <f t="shared" si="2"/>
        <v>8.7049837075457592</v>
      </c>
      <c r="R11" s="62">
        <f t="shared" si="0"/>
        <v>302.03831704087906</v>
      </c>
      <c r="S11" s="62">
        <f ca="1">AVERAGE(OFFSET($R$3,0,0,'Données projet'!$E$9+1,1))-AVERAGE(OFFSET($H$3,0,0,'Données projet'!$E$9+1,1))</f>
        <v>308.00850473946429</v>
      </c>
      <c r="T11" s="62">
        <f t="shared" si="34"/>
        <v>70.709140667951715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3.1963364737294016</v>
      </c>
      <c r="AK11" s="14">
        <f t="shared" si="35"/>
        <v>1.28665764721742</v>
      </c>
      <c r="AL11" s="22">
        <f t="shared" si="4"/>
        <v>7.8078814273157144</v>
      </c>
      <c r="AM11" s="62">
        <f t="shared" si="5"/>
        <v>301.14121476064901</v>
      </c>
      <c r="AN11" s="62">
        <f ca="1">AVERAGE(OFFSET($AM$3,0,0,'Données projet'!$E$10+1,1))-AVERAGE(OFFSET($H$3,0,0,'Données projet'!$E$10+1,1))</f>
        <v>271.76512254565102</v>
      </c>
      <c r="AO11" s="62">
        <f t="shared" si="36"/>
        <v>99.160986083974535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0.90000000000000013</v>
      </c>
      <c r="BD11" s="13">
        <f>IF('Données projet'!$A$88&gt;35,BD10+BC11-BL10,IF(A11&lt;'Données projet'!$A$88,$BA$205^A11,IF(A11='Données projet'!$A$88,'Données projet'!$B$88,BD10+BC11-BL10)))</f>
        <v>5.7995461347952899</v>
      </c>
      <c r="BE11" s="14">
        <f>BD11*VLOOKUP('Données projet'!$B$11,Paramètres!$A$1:$I$89,3,0)*VLOOKUP('Données projet'!$B$11,Paramètres!$A$1:$I$89,5,0)</f>
        <v>6.6810771472841735</v>
      </c>
      <c r="BF11" s="14">
        <f t="shared" si="37"/>
        <v>2.468234511639269</v>
      </c>
      <c r="BG11" s="22">
        <f t="shared" si="7"/>
        <v>15.935051139291664</v>
      </c>
      <c r="BH11" s="62">
        <f t="shared" si="8"/>
        <v>309.26838447262497</v>
      </c>
      <c r="BI11" s="62">
        <f ca="1">AVERAGE(OFFSET($BH$3,0,0,'Données projet'!$E$11+1,1))-AVERAGE(OFFSET($H$3,0,0,'Données projet'!$E$11+1,1))</f>
        <v>43.16958872930951</v>
      </c>
      <c r="BJ11" s="62">
        <f t="shared" si="38"/>
        <v>69.202870643733547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2.2749999999999999</v>
      </c>
      <c r="BY11" s="13">
        <f>IF('Données projet'!$A$114&gt;35,BY10+BX11-CG10,IF(A11&lt;'Données projet'!$A$114,$BV$205^A11,IF(A11='Données projet'!$A$114,'Données projet'!$B$114,BY10+BX11-CG10)))</f>
        <v>18.2</v>
      </c>
      <c r="BZ11" s="14">
        <f>BY11*VLOOKUP('Données projet'!$B$12,Paramètres!$A$1:$I$89,3,0)*VLOOKUP('Données projet'!$B$12,Paramètres!$A$1:$I$89,5,0)</f>
        <v>10.647</v>
      </c>
      <c r="CA11" s="14">
        <f t="shared" si="39"/>
        <v>3.725718742542425</v>
      </c>
      <c r="CB11" s="22">
        <f t="shared" si="10"/>
        <v>25.032485143261386</v>
      </c>
      <c r="CC11" s="62">
        <f t="shared" si="11"/>
        <v>318.36581847659471</v>
      </c>
      <c r="CD11" s="62">
        <f ca="1">AVERAGE(OFFSET($CC$3,0,0,'Données projet'!$E$12+1,1))-AVERAGE(OFFSET($H$3,0,0,'Données projet'!$E$12+1,1))</f>
        <v>49.695493809293282</v>
      </c>
      <c r="CE11" s="62">
        <f t="shared" si="40"/>
        <v>59.252884227831601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4.0013999999999994</v>
      </c>
      <c r="D12" s="12">
        <f t="shared" si="32"/>
        <v>1.5691575819972117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43.000795369803036</v>
      </c>
      <c r="H12" s="70">
        <f t="shared" si="1"/>
        <v>303.0353877886451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0.61670312770583813</v>
      </c>
      <c r="N12" s="14">
        <f>IF('Données projet'!$A$36&gt;35,N11+M12-V11,IF(A12&lt;'Données projet'!$A$36,$K$205^A12,IF(A12='Données projet'!$A$36,'Données projet'!$B$36,N11+M12-V11)))</f>
        <v>3.7992725168536645</v>
      </c>
      <c r="O12" s="14">
        <f>N12*VLOOKUP('Données projet'!$B$9,Paramètres!$A$1:$I$89,3,0)*VLOOKUP('Données projet'!$B$9,Paramètres!$A$1:$I$89,5,0)</f>
        <v>4.1488055884042012</v>
      </c>
      <c r="P12" s="14">
        <f t="shared" si="33"/>
        <v>1.6201264124832908</v>
      </c>
      <c r="Q12" s="22">
        <f t="shared" si="2"/>
        <v>10.047556568212382</v>
      </c>
      <c r="R12" s="62">
        <f t="shared" si="0"/>
        <v>303.38088990154569</v>
      </c>
      <c r="S12" s="62">
        <f ca="1">AVERAGE(OFFSET($R$3,0,0,'Données projet'!$E$9+1,1))-AVERAGE(OFFSET($H$3,0,0,'Données projet'!$E$9+1,1))</f>
        <v>308.00850473946429</v>
      </c>
      <c r="T12" s="62">
        <f t="shared" si="34"/>
        <v>70.709140667951715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3.6621602197279119</v>
      </c>
      <c r="AK12" s="14">
        <f t="shared" si="35"/>
        <v>1.4510099121120625</v>
      </c>
      <c r="AL12" s="22">
        <f t="shared" si="4"/>
        <v>8.9054379796212881</v>
      </c>
      <c r="AM12" s="62">
        <f t="shared" si="5"/>
        <v>302.23877131295461</v>
      </c>
      <c r="AN12" s="62">
        <f ca="1">AVERAGE(OFFSET($AM$3,0,0,'Données projet'!$E$10+1,1))-AVERAGE(OFFSET($H$3,0,0,'Données projet'!$E$10+1,1))</f>
        <v>271.76512254565102</v>
      </c>
      <c r="AO12" s="62">
        <f t="shared" si="36"/>
        <v>99.160986083974535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0.90000000000000013</v>
      </c>
      <c r="BD12" s="13">
        <f>IF('Données projet'!$A$88&gt;35,BD11+BC12-BL11,IF(A12&lt;'Données projet'!$A$88,$BA$205^A12,IF(A12='Données projet'!$A$88,'Données projet'!$B$88,BD11+BC12-BL11)))</f>
        <v>7.2246740558420788</v>
      </c>
      <c r="BE12" s="14">
        <f>BD12*VLOOKUP('Données projet'!$B$11,Paramètres!$A$1:$I$89,3,0)*VLOOKUP('Données projet'!$B$11,Paramètres!$A$1:$I$89,5,0)</f>
        <v>8.3228245123300741</v>
      </c>
      <c r="BF12" s="14">
        <f t="shared" si="37"/>
        <v>2.9971141811958071</v>
      </c>
      <c r="BG12" s="22">
        <f t="shared" si="7"/>
        <v>19.715559891224242</v>
      </c>
      <c r="BH12" s="62">
        <f t="shared" si="8"/>
        <v>313.04889322455756</v>
      </c>
      <c r="BI12" s="62">
        <f ca="1">AVERAGE(OFFSET($BH$3,0,0,'Données projet'!$E$11+1,1))-AVERAGE(OFFSET($H$3,0,0,'Données projet'!$E$11+1,1))</f>
        <v>43.16958872930951</v>
      </c>
      <c r="BJ12" s="62">
        <f t="shared" si="38"/>
        <v>69.202870643733547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2.2749999999999999</v>
      </c>
      <c r="BY12" s="13">
        <f>IF('Données projet'!$A$114&gt;35,BY11+BX12-CG11,IF(A12&lt;'Données projet'!$A$114,$BV$205^A12,IF(A12='Données projet'!$A$114,'Données projet'!$B$114,BY11+BX12-CG11)))</f>
        <v>20.474999999999998</v>
      </c>
      <c r="BZ12" s="14">
        <f>BY12*VLOOKUP('Données projet'!$B$12,Paramètres!$A$1:$I$89,3,0)*VLOOKUP('Données projet'!$B$12,Paramètres!$A$1:$I$89,5,0)</f>
        <v>11.977874999999999</v>
      </c>
      <c r="CA12" s="14">
        <f t="shared" si="39"/>
        <v>4.134361382308045</v>
      </c>
      <c r="CB12" s="22">
        <f t="shared" si="10"/>
        <v>28.06214503251984</v>
      </c>
      <c r="CC12" s="62">
        <f t="shared" si="11"/>
        <v>321.39547836585314</v>
      </c>
      <c r="CD12" s="62">
        <f ca="1">AVERAGE(OFFSET($CC$3,0,0,'Données projet'!$E$12+1,1))-AVERAGE(OFFSET($H$3,0,0,'Données projet'!$E$12+1,1))</f>
        <v>49.695493809293282</v>
      </c>
      <c r="CE12" s="62">
        <f t="shared" si="40"/>
        <v>59.252884227831601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13" s="12">
        <f t="shared" si="32"/>
        <v>1.7222566815192897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47.614612980148905</v>
      </c>
      <c r="H13" s="70">
        <f t="shared" si="1"/>
        <v>304.07638038697939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0.61670312770583813</v>
      </c>
      <c r="N13" s="14">
        <f>IF('Données projet'!$A$36&gt;35,N12+M13-V12,IF(A13&lt;'Données projet'!$A$36,$K$205^A13,IF(A13='Données projet'!$A$36,'Données projet'!$B$36,N12+M13-V12)))</f>
        <v>4.4066809359252739</v>
      </c>
      <c r="O13" s="14">
        <f>N13*VLOOKUP('Données projet'!$B$9,Paramètres!$A$1:$I$89,3,0)*VLOOKUP('Données projet'!$B$9,Paramètres!$A$1:$I$89,5,0)</f>
        <v>4.8120955820303992</v>
      </c>
      <c r="P13" s="14">
        <f t="shared" si="33"/>
        <v>1.8469817484084301</v>
      </c>
      <c r="Q13" s="22">
        <f t="shared" si="2"/>
        <v>11.59789301718096</v>
      </c>
      <c r="R13" s="62">
        <f t="shared" si="0"/>
        <v>304.93122635051429</v>
      </c>
      <c r="S13" s="62">
        <f ca="1">AVERAGE(OFFSET($R$3,0,0,'Données projet'!$E$9+1,1))-AVERAGE(OFFSET($H$3,0,0,'Données projet'!$E$9+1,1))</f>
        <v>308.00850473946429</v>
      </c>
      <c r="T13" s="62">
        <f t="shared" si="34"/>
        <v>70.709140667951715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4.1958716127621871</v>
      </c>
      <c r="AK13" s="14">
        <f t="shared" si="35"/>
        <v>1.63635584772744</v>
      </c>
      <c r="AL13" s="22">
        <f t="shared" si="4"/>
        <v>10.157796160352767</v>
      </c>
      <c r="AM13" s="62">
        <f t="shared" si="5"/>
        <v>303.49112949368606</v>
      </c>
      <c r="AN13" s="62">
        <f ca="1">AVERAGE(OFFSET($AM$3,0,0,'Données projet'!$E$10+1,1))-AVERAGE(OFFSET($H$3,0,0,'Données projet'!$E$10+1,1))</f>
        <v>271.76512254565102</v>
      </c>
      <c r="AO13" s="62">
        <f t="shared" si="36"/>
        <v>99.160986083974535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>
        <f>VLOOKUP(A13,'Données projet'!$A$87:$I$107,2,0)</f>
        <v>9.0000000000000018</v>
      </c>
      <c r="BB13" s="13">
        <f>VLOOKUP(A13,'Données projet'!$A$87:$I$107,9,0)</f>
        <v>0.90000000000000013</v>
      </c>
      <c r="BC13" s="13">
        <f t="array" ref="BC13">INDEX(BB:BB,MIN(IF(ISNUMBER(BB13:BB209),ROW(BB13:BB209),"")))</f>
        <v>0.90000000000000013</v>
      </c>
      <c r="BD13" s="13">
        <f>IF('Données projet'!$A$88&gt;35,BD12+BC13-BL12,IF(A13&lt;'Données projet'!$A$88,$BA$205^A13,IF(A13='Données projet'!$A$88,'Données projet'!$B$88,BD12+BC13-BL12)))</f>
        <v>9.0000000000000018</v>
      </c>
      <c r="BE13" s="14">
        <f>BD13*VLOOKUP('Données projet'!$B$11,Paramètres!$A$1:$I$89,3,0)*VLOOKUP('Données projet'!$B$11,Paramètres!$A$1:$I$89,5,0)</f>
        <v>10.368</v>
      </c>
      <c r="BF13" s="14">
        <f t="shared" si="37"/>
        <v>3.639319267584177</v>
      </c>
      <c r="BG13" s="22">
        <f t="shared" si="7"/>
        <v>24.396081057709111</v>
      </c>
      <c r="BH13" s="62">
        <f t="shared" si="8"/>
        <v>317.72941439104244</v>
      </c>
      <c r="BI13" s="62">
        <f ca="1">AVERAGE(OFFSET($BH$3,0,0,'Données projet'!$E$11+1,1))-AVERAGE(OFFSET($H$3,0,0,'Données projet'!$E$11+1,1))</f>
        <v>43.16958872930951</v>
      </c>
      <c r="BJ13" s="62">
        <f t="shared" si="38"/>
        <v>69.202870643733547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2.2749999999999999</v>
      </c>
      <c r="BY13" s="13">
        <f>IF('Données projet'!$A$114&gt;35,BY12+BX13-CG12,IF(A13&lt;'Données projet'!$A$114,$BV$205^A13,IF(A13='Données projet'!$A$114,'Données projet'!$B$114,BY12+BX13-CG12)))</f>
        <v>22.749999999999996</v>
      </c>
      <c r="BZ13" s="14">
        <f>BY13*VLOOKUP('Données projet'!$B$12,Paramètres!$A$1:$I$89,3,0)*VLOOKUP('Données projet'!$B$12,Paramètres!$A$1:$I$89,5,0)</f>
        <v>13.30875</v>
      </c>
      <c r="CA13" s="14">
        <f t="shared" si="39"/>
        <v>4.5377415220672273</v>
      </c>
      <c r="CB13" s="22">
        <f t="shared" si="10"/>
        <v>31.082639400933747</v>
      </c>
      <c r="CC13" s="62">
        <f t="shared" si="11"/>
        <v>324.41597273426709</v>
      </c>
      <c r="CD13" s="62">
        <f ca="1">AVERAGE(OFFSET($CC$3,0,0,'Données projet'!$E$12+1,1))-AVERAGE(OFFSET($H$3,0,0,'Données projet'!$E$12+1,1))</f>
        <v>49.695493809293282</v>
      </c>
      <c r="CE13" s="62">
        <f t="shared" si="40"/>
        <v>59.252884227831601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4.8906000000000001</v>
      </c>
      <c r="D14" s="12">
        <f t="shared" si="32"/>
        <v>1.8735809194047854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52.214729904177297</v>
      </c>
      <c r="H14" s="70">
        <f t="shared" si="1"/>
        <v>305.11428176796329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0.61670312770583813</v>
      </c>
      <c r="N14" s="14">
        <f>IF('Données projet'!$A$36&gt;35,N13+M14-V13,IF(A14&lt;'Données projet'!$A$36,$K$205^A14,IF(A14='Données projet'!$A$36,'Données projet'!$B$36,N13+M14-V13)))</f>
        <v>5.1111987321006387</v>
      </c>
      <c r="O14" s="14">
        <f>N14*VLOOKUP('Données projet'!$B$9,Paramètres!$A$1:$I$89,3,0)*VLOOKUP('Données projet'!$B$9,Paramètres!$A$1:$I$89,5,0)</f>
        <v>5.5814290154538968</v>
      </c>
      <c r="P14" s="14">
        <f t="shared" si="33"/>
        <v>2.1056021015823325</v>
      </c>
      <c r="Q14" s="22">
        <f t="shared" si="2"/>
        <v>13.388245862171432</v>
      </c>
      <c r="R14" s="62">
        <f t="shared" si="0"/>
        <v>306.72157919550477</v>
      </c>
      <c r="S14" s="62">
        <f ca="1">AVERAGE(OFFSET($R$3,0,0,'Données projet'!$E$9+1,1))-AVERAGE(OFFSET($H$3,0,0,'Données projet'!$E$9+1,1))</f>
        <v>308.00850473946429</v>
      </c>
      <c r="T14" s="62">
        <f t="shared" si="34"/>
        <v>70.709140667951715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4.8073643790744889</v>
      </c>
      <c r="AK14" s="14">
        <f t="shared" si="35"/>
        <v>1.8453770977306692</v>
      </c>
      <c r="AL14" s="22">
        <f t="shared" si="4"/>
        <v>11.586858072102316</v>
      </c>
      <c r="AM14" s="62">
        <f t="shared" si="5"/>
        <v>304.92019140543562</v>
      </c>
      <c r="AN14" s="62">
        <f ca="1">AVERAGE(OFFSET($AM$3,0,0,'Données projet'!$E$10+1,1))-AVERAGE(OFFSET($H$3,0,0,'Données projet'!$E$10+1,1))</f>
        <v>271.76512254565102</v>
      </c>
      <c r="AO14" s="62">
        <f t="shared" si="36"/>
        <v>99.160986083974535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1.4833333333333329</v>
      </c>
      <c r="BD14" s="13">
        <f>IF('Données projet'!$A$88&gt;35,BD13+BC14-BL13,IF(A14&lt;'Données projet'!$A$88,$BA$205^A14,IF(A14='Données projet'!$A$88,'Données projet'!$B$88,BD13+BC14-BL13)))</f>
        <v>10.483333333333334</v>
      </c>
      <c r="BE14" s="14">
        <f>BD14*VLOOKUP('Données projet'!$B$11,Paramètres!$A$1:$I$89,3,0)*VLOOKUP('Données projet'!$B$11,Paramètres!$A$1:$I$89,5,0)</f>
        <v>12.0768</v>
      </c>
      <c r="BF14" s="14">
        <f t="shared" si="37"/>
        <v>4.1645179743241476</v>
      </c>
      <c r="BG14" s="22">
        <f t="shared" si="7"/>
        <v>28.286962138614555</v>
      </c>
      <c r="BH14" s="62">
        <f t="shared" si="8"/>
        <v>321.62029547194788</v>
      </c>
      <c r="BI14" s="62">
        <f ca="1">AVERAGE(OFFSET($BH$3,0,0,'Données projet'!$E$11+1,1))-AVERAGE(OFFSET($H$3,0,0,'Données projet'!$E$11+1,1))</f>
        <v>43.16958872930951</v>
      </c>
      <c r="BJ14" s="62">
        <f t="shared" si="38"/>
        <v>69.202870643733547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2.2749999999999999</v>
      </c>
      <c r="BY14" s="13">
        <f>IF('Données projet'!$A$114&gt;35,BY13+BX14-CG13,IF(A14&lt;'Données projet'!$A$114,$BV$205^A14,IF(A14='Données projet'!$A$114,'Données projet'!$B$114,BY13+BX14-CG13)))</f>
        <v>25.024999999999995</v>
      </c>
      <c r="BZ14" s="14">
        <f>BY14*VLOOKUP('Données projet'!$B$12,Paramètres!$A$1:$I$89,3,0)*VLOOKUP('Données projet'!$B$12,Paramètres!$A$1:$I$89,5,0)</f>
        <v>14.639624999999999</v>
      </c>
      <c r="CA14" s="14">
        <f t="shared" si="39"/>
        <v>4.9364453186130728</v>
      </c>
      <c r="CB14" s="22">
        <f t="shared" si="10"/>
        <v>34.094989138251094</v>
      </c>
      <c r="CC14" s="62">
        <f t="shared" si="11"/>
        <v>327.42832247158441</v>
      </c>
      <c r="CD14" s="62">
        <f ca="1">AVERAGE(OFFSET($CC$3,0,0,'Données projet'!$E$12+1,1))-AVERAGE(OFFSET($H$3,0,0,'Données projet'!$E$12+1,1))</f>
        <v>49.695493809293282</v>
      </c>
      <c r="CE14" s="62">
        <f t="shared" si="40"/>
        <v>59.252884227831601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5.3352000000000004</v>
      </c>
      <c r="D15" s="12">
        <f t="shared" si="32"/>
        <v>2.0233099967312582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56.802533308100955</v>
      </c>
      <c r="H15" s="70">
        <f t="shared" si="1"/>
        <v>306.1494049109736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0.61670312770583813</v>
      </c>
      <c r="N15" s="14">
        <f>IF('Données projet'!$A$36&gt;35,N14+M15-V14,IF(A15&lt;'Données projet'!$A$36,$K$205^A15,IF(A15='Données projet'!$A$36,'Données projet'!$B$36,N14+M15-V14)))</f>
        <v>5.9283512600264583</v>
      </c>
      <c r="O15" s="14">
        <f>N15*VLOOKUP('Données projet'!$B$9,Paramètres!$A$1:$I$89,3,0)*VLOOKUP('Données projet'!$B$9,Paramètres!$A$1:$I$89,5,0)</f>
        <v>6.4737595759488924</v>
      </c>
      <c r="P15" s="14">
        <f t="shared" si="33"/>
        <v>2.400435312372954</v>
      </c>
      <c r="Q15" s="22">
        <f t="shared" si="2"/>
        <v>15.455889430493878</v>
      </c>
      <c r="R15" s="62">
        <f t="shared" si="0"/>
        <v>308.78922276382718</v>
      </c>
      <c r="S15" s="62">
        <f ca="1">AVERAGE(OFFSET($R$3,0,0,'Données projet'!$E$9+1,1))-AVERAGE(OFFSET($H$3,0,0,'Données projet'!$E$9+1,1))</f>
        <v>308.00850473946429</v>
      </c>
      <c r="T15" s="62">
        <f t="shared" si="34"/>
        <v>70.709140667951715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5.5079741245896177</v>
      </c>
      <c r="AK15" s="14">
        <f t="shared" si="35"/>
        <v>2.0810978477317659</v>
      </c>
      <c r="AL15" s="22">
        <f t="shared" si="4"/>
        <v>13.217633685126408</v>
      </c>
      <c r="AM15" s="62">
        <f t="shared" si="5"/>
        <v>306.55096701845974</v>
      </c>
      <c r="AN15" s="62">
        <f ca="1">AVERAGE(OFFSET($AM$3,0,0,'Données projet'!$E$10+1,1))-AVERAGE(OFFSET($H$3,0,0,'Données projet'!$E$10+1,1))</f>
        <v>271.76512254565102</v>
      </c>
      <c r="AO15" s="62">
        <f t="shared" si="36"/>
        <v>99.160986083974535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1.4833333333333329</v>
      </c>
      <c r="BD15" s="13">
        <f>IF('Données projet'!$A$88&gt;35,BD14+BC15-BL14,IF(A15&lt;'Données projet'!$A$88,$BA$205^A15,IF(A15='Données projet'!$A$88,'Données projet'!$B$88,BD14+BC15-BL14)))</f>
        <v>11.966666666666667</v>
      </c>
      <c r="BE15" s="14">
        <f>BD15*VLOOKUP('Données projet'!$B$11,Paramètres!$A$1:$I$89,3,0)*VLOOKUP('Données projet'!$B$11,Paramètres!$A$1:$I$89,5,0)</f>
        <v>13.785599999999999</v>
      </c>
      <c r="BF15" s="14">
        <f t="shared" si="37"/>
        <v>4.6811072286080488</v>
      </c>
      <c r="BG15" s="22">
        <f t="shared" si="7"/>
        <v>32.162848423159012</v>
      </c>
      <c r="BH15" s="62">
        <f t="shared" si="8"/>
        <v>325.49618175649232</v>
      </c>
      <c r="BI15" s="62">
        <f ca="1">AVERAGE(OFFSET($BH$3,0,0,'Données projet'!$E$11+1,1))-AVERAGE(OFFSET($H$3,0,0,'Données projet'!$E$11+1,1))</f>
        <v>43.16958872930951</v>
      </c>
      <c r="BJ15" s="62">
        <f t="shared" si="38"/>
        <v>69.202870643733547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2.2749999999999999</v>
      </c>
      <c r="BY15" s="13">
        <f>IF('Données projet'!$A$114&gt;35,BY14+BX15-CG14,IF(A15&lt;'Données projet'!$A$114,$BV$205^A15,IF(A15='Données projet'!$A$114,'Données projet'!$B$114,BY14+BX15-CG14)))</f>
        <v>27.299999999999994</v>
      </c>
      <c r="BZ15" s="14">
        <f>BY15*VLOOKUP('Données projet'!$B$12,Paramètres!$A$1:$I$89,3,0)*VLOOKUP('Données projet'!$B$12,Paramètres!$A$1:$I$89,5,0)</f>
        <v>15.970499999999996</v>
      </c>
      <c r="CA15" s="14">
        <f t="shared" si="39"/>
        <v>5.3309462420444085</v>
      </c>
      <c r="CB15" s="22">
        <f t="shared" si="10"/>
        <v>37.100018871560671</v>
      </c>
      <c r="CC15" s="62">
        <f t="shared" si="11"/>
        <v>330.43335220489399</v>
      </c>
      <c r="CD15" s="62">
        <f ca="1">AVERAGE(OFFSET($CC$3,0,0,'Données projet'!$E$12+1,1))-AVERAGE(OFFSET($H$3,0,0,'Données projet'!$E$12+1,1))</f>
        <v>49.695493809293282</v>
      </c>
      <c r="CE15" s="62">
        <f t="shared" si="40"/>
        <v>59.252884227831601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5.7798000000000007</v>
      </c>
      <c r="D16" s="12">
        <f t="shared" si="32"/>
        <v>2.1715919565110648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61.379165980085418</v>
      </c>
      <c r="H16" s="70">
        <f t="shared" si="1"/>
        <v>307.18200765759008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0.61670312770583813</v>
      </c>
      <c r="N16" s="14">
        <f>IF('Données projet'!$A$36&gt;35,N15+M16-V15,IF(A16&lt;'Données projet'!$A$36,$K$205^A16,IF(A16='Données projet'!$A$36,'Données projet'!$B$36,N15+M16-V15)))</f>
        <v>6.8761459893016141</v>
      </c>
      <c r="O16" s="14">
        <f>N16*VLOOKUP('Données projet'!$B$9,Paramètres!$A$1:$I$89,3,0)*VLOOKUP('Données projet'!$B$9,Paramètres!$A$1:$I$89,5,0)</f>
        <v>7.5087514203173633</v>
      </c>
      <c r="P16" s="14">
        <f t="shared" si="33"/>
        <v>2.7365520221303483</v>
      </c>
      <c r="Q16" s="22">
        <f t="shared" si="2"/>
        <v>17.843903495596429</v>
      </c>
      <c r="R16" s="62">
        <f t="shared" si="0"/>
        <v>311.17723682892972</v>
      </c>
      <c r="S16" s="62">
        <f ca="1">AVERAGE(OFFSET($R$3,0,0,'Données projet'!$E$9+1,1))-AVERAGE(OFFSET($H$3,0,0,'Données projet'!$E$9+1,1))</f>
        <v>308.00850473946429</v>
      </c>
      <c r="T16" s="62">
        <f t="shared" si="34"/>
        <v>70.709140667951715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6.3106884697991985</v>
      </c>
      <c r="AK16" s="14">
        <f t="shared" si="35"/>
        <v>2.346928580158357</v>
      </c>
      <c r="AL16" s="22">
        <f t="shared" si="4"/>
        <v>15.078683028676075</v>
      </c>
      <c r="AM16" s="62">
        <f t="shared" si="5"/>
        <v>308.41201636200941</v>
      </c>
      <c r="AN16" s="62">
        <f ca="1">AVERAGE(OFFSET($AM$3,0,0,'Données projet'!$E$10+1,1))-AVERAGE(OFFSET($H$3,0,0,'Données projet'!$E$10+1,1))</f>
        <v>271.76512254565102</v>
      </c>
      <c r="AO16" s="62">
        <f t="shared" si="36"/>
        <v>99.160986083974535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1.4833333333333329</v>
      </c>
      <c r="BD16" s="13">
        <f>IF('Données projet'!$A$88&gt;35,BD15+BC16-BL15,IF(A16&lt;'Données projet'!$A$88,$BA$205^A16,IF(A16='Données projet'!$A$88,'Données projet'!$B$88,BD15+BC16-BL15)))</f>
        <v>13.45</v>
      </c>
      <c r="BE16" s="14">
        <f>BD16*VLOOKUP('Données projet'!$B$11,Paramètres!$A$1:$I$89,3,0)*VLOOKUP('Données projet'!$B$11,Paramètres!$A$1:$I$89,5,0)</f>
        <v>15.494399999999999</v>
      </c>
      <c r="BF16" s="14">
        <f t="shared" si="37"/>
        <v>5.1902763964038874</v>
      </c>
      <c r="BG16" s="22">
        <f t="shared" si="7"/>
        <v>36.02581139040344</v>
      </c>
      <c r="BH16" s="62">
        <f t="shared" si="8"/>
        <v>329.35914472373673</v>
      </c>
      <c r="BI16" s="62">
        <f ca="1">AVERAGE(OFFSET($BH$3,0,0,'Données projet'!$E$11+1,1))-AVERAGE(OFFSET($H$3,0,0,'Données projet'!$E$11+1,1))</f>
        <v>43.16958872930951</v>
      </c>
      <c r="BJ16" s="62">
        <f t="shared" si="38"/>
        <v>69.202870643733547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2.2749999999999999</v>
      </c>
      <c r="BY16" s="13">
        <f>IF('Données projet'!$A$114&gt;35,BY15+BX16-CG15,IF(A16&lt;'Données projet'!$A$114,$BV$205^A16,IF(A16='Données projet'!$A$114,'Données projet'!$B$114,BY15+BX16-CG15)))</f>
        <v>29.574999999999992</v>
      </c>
      <c r="BZ16" s="14">
        <f>BY16*VLOOKUP('Données projet'!$B$12,Paramètres!$A$1:$I$89,3,0)*VLOOKUP('Données projet'!$B$12,Paramètres!$A$1:$I$89,5,0)</f>
        <v>17.301374999999997</v>
      </c>
      <c r="CA16" s="14">
        <f t="shared" si="39"/>
        <v>5.721634350899798</v>
      </c>
      <c r="CB16" s="22">
        <f t="shared" si="10"/>
        <v>40.098407952817141</v>
      </c>
      <c r="CC16" s="62">
        <f t="shared" si="11"/>
        <v>333.43174128615044</v>
      </c>
      <c r="CD16" s="62">
        <f ca="1">AVERAGE(OFFSET($CC$3,0,0,'Données projet'!$E$12+1,1))-AVERAGE(OFFSET($H$3,0,0,'Données projet'!$E$12+1,1))</f>
        <v>49.695493809293282</v>
      </c>
      <c r="CE16" s="62">
        <f t="shared" si="40"/>
        <v>59.252884227831601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6.224400000000001</v>
      </c>
      <c r="D17" s="12">
        <f t="shared" si="32"/>
        <v>2.318550772093785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65.945584907390625</v>
      </c>
      <c r="H17" s="70">
        <f t="shared" si="1"/>
        <v>308.2123059280633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0.61670312770583813</v>
      </c>
      <c r="N17" s="14">
        <f>IF('Données projet'!$A$36&gt;35,N16+M17-V16,IF(A17&lt;'Données projet'!$A$36,$K$205^A17,IF(A17='Données projet'!$A$36,'Données projet'!$B$36,N16+M17-V16)))</f>
        <v>7.9754693324257655</v>
      </c>
      <c r="O17" s="14">
        <f>N17*VLOOKUP('Données projet'!$B$9,Paramètres!$A$1:$I$89,3,0)*VLOOKUP('Données projet'!$B$9,Paramètres!$A$1:$I$89,5,0)</f>
        <v>8.7092125110089356</v>
      </c>
      <c r="P17" s="14">
        <f t="shared" si="33"/>
        <v>3.1197328797928368</v>
      </c>
      <c r="Q17" s="22">
        <f t="shared" si="2"/>
        <v>20.602079888979755</v>
      </c>
      <c r="R17" s="62">
        <f t="shared" si="0"/>
        <v>313.93541322231306</v>
      </c>
      <c r="S17" s="62">
        <f ca="1">AVERAGE(OFFSET($R$3,0,0,'Données projet'!$E$9+1,1))-AVERAGE(OFFSET($H$3,0,0,'Données projet'!$E$9+1,1))</f>
        <v>308.00850473946429</v>
      </c>
      <c r="T17" s="62">
        <f t="shared" si="34"/>
        <v>70.709140667951715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7.2303878090247551</v>
      </c>
      <c r="AK17" s="14">
        <f t="shared" si="35"/>
        <v>2.6467154181950132</v>
      </c>
      <c r="AL17" s="22">
        <f t="shared" si="4"/>
        <v>17.202621454074428</v>
      </c>
      <c r="AM17" s="62">
        <f t="shared" si="5"/>
        <v>310.53595478740772</v>
      </c>
      <c r="AN17" s="62">
        <f ca="1">AVERAGE(OFFSET($AM$3,0,0,'Données projet'!$E$10+1,1))-AVERAGE(OFFSET($H$3,0,0,'Données projet'!$E$10+1,1))</f>
        <v>271.76512254565102</v>
      </c>
      <c r="AO17" s="62">
        <f t="shared" si="36"/>
        <v>99.160986083974535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1.4833333333333329</v>
      </c>
      <c r="BD17" s="13">
        <f>IF('Données projet'!$A$88&gt;35,BD16+BC17-BL16,IF(A17&lt;'Données projet'!$A$88,$BA$205^A17,IF(A17='Données projet'!$A$88,'Données projet'!$B$88,BD16+BC17-BL16)))</f>
        <v>14.933333333333332</v>
      </c>
      <c r="BE17" s="14">
        <f>BD17*VLOOKUP('Données projet'!$B$11,Paramètres!$A$1:$I$89,3,0)*VLOOKUP('Données projet'!$B$11,Paramètres!$A$1:$I$89,5,0)</f>
        <v>17.203199999999999</v>
      </c>
      <c r="BF17" s="14">
        <f t="shared" si="37"/>
        <v>5.6929371324416458</v>
      </c>
      <c r="BG17" s="22">
        <f t="shared" si="7"/>
        <v>39.877438839002529</v>
      </c>
      <c r="BH17" s="62">
        <f t="shared" si="8"/>
        <v>333.21077217233585</v>
      </c>
      <c r="BI17" s="62">
        <f ca="1">AVERAGE(OFFSET($BH$3,0,0,'Données projet'!$E$11+1,1))-AVERAGE(OFFSET($H$3,0,0,'Données projet'!$E$11+1,1))</f>
        <v>43.16958872930951</v>
      </c>
      <c r="BJ17" s="62">
        <f t="shared" si="38"/>
        <v>69.202870643733547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2.2749999999999999</v>
      </c>
      <c r="BY17" s="13">
        <f>IF('Données projet'!$A$114&gt;35,BY16+BX17-CG16,IF(A17&lt;'Données projet'!$A$114,$BV$205^A17,IF(A17='Données projet'!$A$114,'Données projet'!$B$114,BY16+BX17-CG16)))</f>
        <v>31.849999999999991</v>
      </c>
      <c r="BZ17" s="14">
        <f>BY17*VLOOKUP('Données projet'!$B$12,Paramètres!$A$1:$I$89,3,0)*VLOOKUP('Données projet'!$B$12,Paramètres!$A$1:$I$89,5,0)</f>
        <v>18.632249999999996</v>
      </c>
      <c r="CA17" s="14">
        <f t="shared" si="39"/>
        <v>6.1088362858142</v>
      </c>
      <c r="CB17" s="22">
        <f t="shared" si="10"/>
        <v>43.090725281126389</v>
      </c>
      <c r="CC17" s="62">
        <f t="shared" si="11"/>
        <v>336.42405861445968</v>
      </c>
      <c r="CD17" s="62">
        <f ca="1">AVERAGE(OFFSET($CC$3,0,0,'Données projet'!$E$12+1,1))-AVERAGE(OFFSET($H$3,0,0,'Données projet'!$E$12+1,1))</f>
        <v>49.695493809293282</v>
      </c>
      <c r="CE17" s="62">
        <f t="shared" si="40"/>
        <v>59.252884227831601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6.6690000000000014</v>
      </c>
      <c r="D18" s="12">
        <f t="shared" si="32"/>
        <v>2.4642917027912472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70.502602618037713</v>
      </c>
      <c r="H18" s="70">
        <f t="shared" si="1"/>
        <v>309.24048304902806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9.2505469155875719</v>
      </c>
      <c r="L18" s="13">
        <f>VLOOKUP(A18,'Données projet'!$A$35:$I$55,9,0)</f>
        <v>0.61670312770583813</v>
      </c>
      <c r="M18" s="13">
        <f t="array" ref="M18">INDEX(L:L,MIN(IF(ISNUMBER(L18:L214),ROW(L18:L214),"")))</f>
        <v>0.61670312770583813</v>
      </c>
      <c r="N18" s="14">
        <f>IF('Données projet'!$A$36&gt;35,N17+M18-V17,IF(A18&lt;'Données projet'!$A$36,$K$205^A18,IF(A18='Données projet'!$A$36,'Données projet'!$B$36,N17+M18-V17)))</f>
        <v>9.2505469155875719</v>
      </c>
      <c r="O18" s="14">
        <f>N18*VLOOKUP('Données projet'!$B$9,Paramètres!$A$1:$I$89,3,0)*VLOOKUP('Données projet'!$B$9,Paramètres!$A$1:$I$89,5,0)</f>
        <v>10.101597231821628</v>
      </c>
      <c r="P18" s="14">
        <f t="shared" si="33"/>
        <v>3.5565679594440094</v>
      </c>
      <c r="Q18" s="22">
        <f t="shared" si="2"/>
        <v>23.787971041454316</v>
      </c>
      <c r="R18" s="62">
        <f t="shared" si="0"/>
        <v>317.12130437478766</v>
      </c>
      <c r="S18" s="62">
        <f ca="1">AVERAGE(OFFSET($R$3,0,0,'Données projet'!$E$9+1,1))-AVERAGE(OFFSET($H$3,0,0,'Données projet'!$E$9+1,1))</f>
        <v>308.00850473946429</v>
      </c>
      <c r="T18" s="62">
        <f t="shared" si="34"/>
        <v>70.709140667951715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1.0278385461763968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8.284121157157557</v>
      </c>
      <c r="AK18" s="14">
        <f t="shared" si="35"/>
        <v>2.9847957727109624</v>
      </c>
      <c r="AL18" s="22">
        <f t="shared" si="4"/>
        <v>19.626696986187671</v>
      </c>
      <c r="AM18" s="62">
        <f t="shared" si="5"/>
        <v>312.96003031952097</v>
      </c>
      <c r="AN18" s="62">
        <f ca="1">AVERAGE(OFFSET($AM$3,0,0,'Données projet'!$E$10+1,1))-AVERAGE(OFFSET($H$3,0,0,'Données projet'!$E$10+1,1))</f>
        <v>271.76512254565102</v>
      </c>
      <c r="AO18" s="62">
        <f t="shared" si="36"/>
        <v>99.160986083974535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1.4833333333333329</v>
      </c>
      <c r="BD18" s="13">
        <f>IF('Données projet'!$A$88&gt;35,BD17+BC18-BL17,IF(A18&lt;'Données projet'!$A$88,$BA$205^A18,IF(A18='Données projet'!$A$88,'Données projet'!$B$88,BD17+BC18-BL17)))</f>
        <v>16.416666666666664</v>
      </c>
      <c r="BE18" s="14">
        <f>BD18*VLOOKUP('Données projet'!$B$11,Paramètres!$A$1:$I$89,3,0)*VLOOKUP('Données projet'!$B$11,Paramètres!$A$1:$I$89,5,0)</f>
        <v>18.911999999999995</v>
      </c>
      <c r="BF18" s="14">
        <f t="shared" si="37"/>
        <v>6.1898095087064879</v>
      </c>
      <c r="BG18" s="22">
        <f t="shared" si="7"/>
        <v>43.718984894330454</v>
      </c>
      <c r="BH18" s="62">
        <f t="shared" si="8"/>
        <v>337.05231822766376</v>
      </c>
      <c r="BI18" s="62">
        <f ca="1">AVERAGE(OFFSET($BH$3,0,0,'Données projet'!$E$11+1,1))-AVERAGE(OFFSET($H$3,0,0,'Données projet'!$E$11+1,1))</f>
        <v>43.16958872930951</v>
      </c>
      <c r="BJ18" s="62">
        <f t="shared" si="38"/>
        <v>69.202870643733547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2.2749999999999999</v>
      </c>
      <c r="BY18" s="13">
        <f>IF('Données projet'!$A$114&gt;35,BY17+BX18-CG17,IF(A18&lt;'Données projet'!$A$114,$BV$205^A18,IF(A18='Données projet'!$A$114,'Données projet'!$B$114,BY17+BX18-CG17)))</f>
        <v>34.124999999999993</v>
      </c>
      <c r="BZ18" s="14">
        <f>BY18*VLOOKUP('Données projet'!$B$12,Paramètres!$A$1:$I$89,3,0)*VLOOKUP('Données projet'!$B$12,Paramètres!$A$1:$I$89,5,0)</f>
        <v>19.963124999999998</v>
      </c>
      <c r="CA18" s="14">
        <f t="shared" si="39"/>
        <v>6.4928293803320285</v>
      </c>
      <c r="CB18" s="22">
        <f t="shared" si="10"/>
        <v>46.077453879078284</v>
      </c>
      <c r="CC18" s="62">
        <f t="shared" si="11"/>
        <v>339.41078721241161</v>
      </c>
      <c r="CD18" s="62">
        <f ca="1">AVERAGE(OFFSET($CC$3,0,0,'Données projet'!$E$12+1,1))-AVERAGE(OFFSET($H$3,0,0,'Données projet'!$E$12+1,1))</f>
        <v>49.695493809293282</v>
      </c>
      <c r="CE18" s="62">
        <f t="shared" si="40"/>
        <v>59.252884227831601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7.1136000000000017</v>
      </c>
      <c r="D19" s="12">
        <f t="shared" si="32"/>
        <v>2.6089051793396729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75.050917173850124</v>
      </c>
      <c r="H19" s="70">
        <f t="shared" si="1"/>
        <v>310.26669652068324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2.2072237608843297</v>
      </c>
      <c r="N19" s="14">
        <f>IF('Données projet'!$A$36&gt;35,N18+M19-V18,IF(A19&lt;'Données projet'!$A$36,$K$205^A19,IF(A19='Données projet'!$A$36,'Données projet'!$B$36,N18+M19-V18)))</f>
        <v>10.429932130295505</v>
      </c>
      <c r="O19" s="14">
        <f>N19*VLOOKUP('Données projet'!$B$9,Paramètres!$A$1:$I$89,3,0)*VLOOKUP('Données projet'!$B$9,Paramètres!$A$1:$I$89,5,0)</f>
        <v>11.38948588628269</v>
      </c>
      <c r="P19" s="14">
        <f t="shared" si="33"/>
        <v>3.9543864196009268</v>
      </c>
      <c r="Q19" s="22">
        <f t="shared" si="2"/>
        <v>26.723910932747302</v>
      </c>
      <c r="R19" s="62">
        <f t="shared" si="0"/>
        <v>320.0572442660806</v>
      </c>
      <c r="S19" s="62">
        <f ca="1">AVERAGE(OFFSET($R$3,0,0,'Données projet'!$E$9+1,1))-AVERAGE(OFFSET($H$3,0,0,'Données projet'!$E$9+1,1))</f>
        <v>308.00850473946429</v>
      </c>
      <c r="T19" s="62">
        <f t="shared" si="34"/>
        <v>70.709140667951715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9.4914221974107242</v>
      </c>
      <c r="AK19" s="14">
        <f t="shared" si="35"/>
        <v>3.3660610972935361</v>
      </c>
      <c r="AL19" s="22">
        <f t="shared" si="4"/>
        <v>22.393450071609919</v>
      </c>
      <c r="AM19" s="62">
        <f t="shared" si="5"/>
        <v>315.72678340494326</v>
      </c>
      <c r="AN19" s="62">
        <f ca="1">AVERAGE(OFFSET($AM$3,0,0,'Données projet'!$E$10+1,1))-AVERAGE(OFFSET($H$3,0,0,'Données projet'!$E$10+1,1))</f>
        <v>271.76512254565102</v>
      </c>
      <c r="AO19" s="62">
        <f t="shared" si="36"/>
        <v>99.160986083974535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1.4833333333333329</v>
      </c>
      <c r="BD19" s="13">
        <f>IF('Données projet'!$A$88&gt;35,BD18+BC19-BL18,IF(A19&lt;'Données projet'!$A$88,$BA$205^A19,IF(A19='Données projet'!$A$88,'Données projet'!$B$88,BD18+BC19-BL18)))</f>
        <v>17.899999999999999</v>
      </c>
      <c r="BE19" s="14">
        <f>BD19*VLOOKUP('Données projet'!$B$11,Paramètres!$A$1:$I$89,3,0)*VLOOKUP('Données projet'!$B$11,Paramètres!$A$1:$I$89,5,0)</f>
        <v>20.620799999999996</v>
      </c>
      <c r="BF19" s="14">
        <f t="shared" si="37"/>
        <v>6.6814760125053771</v>
      </c>
      <c r="BG19" s="22">
        <f t="shared" si="7"/>
        <v>47.55146405511352</v>
      </c>
      <c r="BH19" s="62">
        <f t="shared" si="8"/>
        <v>340.88479738844683</v>
      </c>
      <c r="BI19" s="62">
        <f ca="1">AVERAGE(OFFSET($BH$3,0,0,'Données projet'!$E$11+1,1))-AVERAGE(OFFSET($H$3,0,0,'Données projet'!$E$11+1,1))</f>
        <v>43.16958872930951</v>
      </c>
      <c r="BJ19" s="62">
        <f t="shared" si="38"/>
        <v>69.202870643733547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2.2749999999999999</v>
      </c>
      <c r="BY19" s="13">
        <f>IF('Données projet'!$A$114&gt;35,BY18+BX19-CG18,IF(A19&lt;'Données projet'!$A$114,$BV$205^A19,IF(A19='Données projet'!$A$114,'Données projet'!$B$114,BY18+BX19-CG18)))</f>
        <v>36.399999999999991</v>
      </c>
      <c r="BZ19" s="14">
        <f>BY19*VLOOKUP('Données projet'!$B$12,Paramètres!$A$1:$I$89,3,0)*VLOOKUP('Données projet'!$B$12,Paramètres!$A$1:$I$89,5,0)</f>
        <v>21.293999999999993</v>
      </c>
      <c r="CA19" s="14">
        <f t="shared" si="39"/>
        <v>6.8738518981865679</v>
      </c>
      <c r="CB19" s="22">
        <f t="shared" si="10"/>
        <v>49.059008722674925</v>
      </c>
      <c r="CC19" s="62">
        <f t="shared" si="11"/>
        <v>342.39234205600826</v>
      </c>
      <c r="CD19" s="62">
        <f ca="1">AVERAGE(OFFSET($CC$3,0,0,'Données projet'!$E$12+1,1))-AVERAGE(OFFSET($H$3,0,0,'Données projet'!$E$12+1,1))</f>
        <v>49.695493809293282</v>
      </c>
      <c r="CE19" s="62">
        <f t="shared" si="40"/>
        <v>59.252884227831601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7.558200000000002</v>
      </c>
      <c r="D20" s="12">
        <f t="shared" si="32"/>
        <v>2.7524696897380467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79.591134447100728</v>
      </c>
      <c r="H20" s="70">
        <f t="shared" si="1"/>
        <v>311.29108304296039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2.2072237608843297</v>
      </c>
      <c r="N20" s="14">
        <f>IF('Données projet'!$A$36&gt;35,N19+M20-V19,IF(A20&lt;'Données projet'!$A$36,$K$205^A20,IF(A20='Données projet'!$A$36,'Données projet'!$B$36,N19+M20-V19)))</f>
        <v>12.637155891179834</v>
      </c>
      <c r="O20" s="14">
        <f>N20*VLOOKUP('Données projet'!$B$9,Paramètres!$A$1:$I$89,3,0)*VLOOKUP('Données projet'!$B$9,Paramètres!$A$1:$I$89,5,0)</f>
        <v>13.799774233168378</v>
      </c>
      <c r="P20" s="14">
        <f t="shared" si="33"/>
        <v>4.6853598059127357</v>
      </c>
      <c r="Q20" s="22">
        <f t="shared" si="2"/>
        <v>32.19494178473294</v>
      </c>
      <c r="R20" s="62">
        <f t="shared" si="0"/>
        <v>325.52827511806623</v>
      </c>
      <c r="S20" s="62">
        <f ca="1">AVERAGE(OFFSET($R$3,0,0,'Données projet'!$E$9+1,1))-AVERAGE(OFFSET($H$3,0,0,'Données projet'!$E$9+1,1))</f>
        <v>308.00850473946429</v>
      </c>
      <c r="T20" s="62">
        <f t="shared" si="34"/>
        <v>70.709140667951715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10.874671388849128</v>
      </c>
      <c r="AK20" s="14">
        <f t="shared" si="35"/>
        <v>3.7960276593470508</v>
      </c>
      <c r="AL20" s="22">
        <f t="shared" si="4"/>
        <v>25.551467508941673</v>
      </c>
      <c r="AM20" s="62">
        <f t="shared" si="5"/>
        <v>318.88480084227501</v>
      </c>
      <c r="AN20" s="62">
        <f ca="1">AVERAGE(OFFSET($AM$3,0,0,'Données projet'!$E$10+1,1))-AVERAGE(OFFSET($H$3,0,0,'Données projet'!$E$10+1,1))</f>
        <v>271.76512254565102</v>
      </c>
      <c r="AO20" s="62">
        <f t="shared" si="36"/>
        <v>99.160986083974535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1.4833333333333329</v>
      </c>
      <c r="BD20" s="13">
        <f>IF('Données projet'!$A$88&gt;35,BD19+BC20-BL19,IF(A20&lt;'Données projet'!$A$88,$BA$205^A20,IF(A20='Données projet'!$A$88,'Données projet'!$B$88,BD19+BC20-BL19)))</f>
        <v>19.383333333333333</v>
      </c>
      <c r="BE20" s="14">
        <f>BD20*VLOOKUP('Données projet'!$B$11,Paramètres!$A$1:$I$89,3,0)*VLOOKUP('Données projet'!$B$11,Paramètres!$A$1:$I$89,5,0)</f>
        <v>22.329599999999999</v>
      </c>
      <c r="BF20" s="14">
        <f t="shared" si="37"/>
        <v>7.1684170889410872</v>
      </c>
      <c r="BG20" s="22">
        <f t="shared" si="7"/>
        <v>51.375713096572383</v>
      </c>
      <c r="BH20" s="62">
        <f t="shared" si="8"/>
        <v>344.7090464299057</v>
      </c>
      <c r="BI20" s="62">
        <f ca="1">AVERAGE(OFFSET($BH$3,0,0,'Données projet'!$E$11+1,1))-AVERAGE(OFFSET($H$3,0,0,'Données projet'!$E$11+1,1))</f>
        <v>43.16958872930951</v>
      </c>
      <c r="BJ20" s="62">
        <f t="shared" si="38"/>
        <v>69.202870643733547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2.2749999999999999</v>
      </c>
      <c r="BY20" s="13">
        <f>IF('Données projet'!$A$114&gt;35,BY19+BX20-CG19,IF(A20&lt;'Données projet'!$A$114,$BV$205^A20,IF(A20='Données projet'!$A$114,'Données projet'!$B$114,BY19+BX20-CG19)))</f>
        <v>38.67499999999999</v>
      </c>
      <c r="BZ20" s="14">
        <f>BY20*VLOOKUP('Données projet'!$B$12,Paramètres!$A$1:$I$89,3,0)*VLOOKUP('Données projet'!$B$12,Paramètres!$A$1:$I$89,5,0)</f>
        <v>22.624874999999996</v>
      </c>
      <c r="CA20" s="14">
        <f t="shared" si="39"/>
        <v>7.2521106368057557</v>
      </c>
      <c r="CB20" s="22">
        <f t="shared" si="10"/>
        <v>52.035749984103347</v>
      </c>
      <c r="CC20" s="62">
        <f t="shared" si="11"/>
        <v>345.36908331743666</v>
      </c>
      <c r="CD20" s="62">
        <f ca="1">AVERAGE(OFFSET($CC$3,0,0,'Données projet'!$E$12+1,1))-AVERAGE(OFFSET($H$3,0,0,'Données projet'!$E$12+1,1))</f>
        <v>49.695493809293282</v>
      </c>
      <c r="CE20" s="62">
        <f t="shared" si="40"/>
        <v>59.252884227831601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8.0028000000000024</v>
      </c>
      <c r="D21" s="12">
        <f t="shared" si="32"/>
        <v>2.8950539664743804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84.123785004363668</v>
      </c>
      <c r="H21" s="70">
        <f t="shared" si="1"/>
        <v>312.31376232494284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2.2072237608843297</v>
      </c>
      <c r="N21" s="14">
        <f>IF('Données projet'!$A$36&gt;35,N20+M21-V20,IF(A21&lt;'Données projet'!$A$36,$K$205^A21,IF(A21='Données projet'!$A$36,'Données projet'!$B$36,N20+M21-V20)))</f>
        <v>14.844379652064163</v>
      </c>
      <c r="O21" s="14">
        <f>N21*VLOOKUP('Données projet'!$B$9,Paramètres!$A$1:$I$89,3,0)*VLOOKUP('Données projet'!$B$9,Paramètres!$A$1:$I$89,5,0)</f>
        <v>16.210062580054064</v>
      </c>
      <c r="P21" s="14">
        <f t="shared" si="33"/>
        <v>5.4015427578837221</v>
      </c>
      <c r="Q21" s="22">
        <f t="shared" si="2"/>
        <v>37.640212630241642</v>
      </c>
      <c r="R21" s="62">
        <f t="shared" si="0"/>
        <v>330.97354596357496</v>
      </c>
      <c r="S21" s="62">
        <f ca="1">AVERAGE(OFFSET($R$3,0,0,'Données projet'!$E$9+1,1))-AVERAGE(OFFSET($H$3,0,0,'Données projet'!$E$9+1,1))</f>
        <v>308.00850473946429</v>
      </c>
      <c r="T21" s="62">
        <f t="shared" si="34"/>
        <v>70.709140667951715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12.459510846300249</v>
      </c>
      <c r="AK21" s="14">
        <f t="shared" si="35"/>
        <v>4.2809163511957635</v>
      </c>
      <c r="AL21" s="22">
        <f t="shared" si="4"/>
        <v>29.156244035638881</v>
      </c>
      <c r="AM21" s="62">
        <f t="shared" si="5"/>
        <v>322.48957736897222</v>
      </c>
      <c r="AN21" s="62">
        <f ca="1">AVERAGE(OFFSET($AM$3,0,0,'Données projet'!$E$10+1,1))-AVERAGE(OFFSET($H$3,0,0,'Données projet'!$E$10+1,1))</f>
        <v>271.76512254565102</v>
      </c>
      <c r="AO21" s="62">
        <f t="shared" si="36"/>
        <v>99.160986083974535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1.4833333333333329</v>
      </c>
      <c r="BD21" s="13">
        <f>IF('Données projet'!$A$88&gt;35,BD20+BC21-BL20,IF(A21&lt;'Données projet'!$A$88,$BA$205^A21,IF(A21='Données projet'!$A$88,'Données projet'!$B$88,BD20+BC21-BL20)))</f>
        <v>20.866666666666667</v>
      </c>
      <c r="BE21" s="14">
        <f>BD21*VLOOKUP('Données projet'!$B$11,Paramètres!$A$1:$I$89,3,0)*VLOOKUP('Données projet'!$B$11,Paramètres!$A$1:$I$89,5,0)</f>
        <v>24.038399999999999</v>
      </c>
      <c r="BF21" s="14">
        <f t="shared" si="37"/>
        <v>7.651035473505277</v>
      </c>
      <c r="BG21" s="22">
        <f t="shared" si="7"/>
        <v>55.192433449688359</v>
      </c>
      <c r="BH21" s="62">
        <f t="shared" si="8"/>
        <v>348.52576678302165</v>
      </c>
      <c r="BI21" s="62">
        <f ca="1">AVERAGE(OFFSET($BH$3,0,0,'Données projet'!$E$11+1,1))-AVERAGE(OFFSET($H$3,0,0,'Données projet'!$E$11+1,1))</f>
        <v>43.16958872930951</v>
      </c>
      <c r="BJ21" s="62">
        <f t="shared" si="38"/>
        <v>69.202870643733547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2.2749999999999999</v>
      </c>
      <c r="BY21" s="13">
        <f>IF('Données projet'!$A$114&gt;35,BY20+BX21-CG20,IF(A21&lt;'Données projet'!$A$114,$BV$205^A21,IF(A21='Données projet'!$A$114,'Données projet'!$B$114,BY20+BX21-CG20)))</f>
        <v>40.949999999999989</v>
      </c>
      <c r="BZ21" s="14">
        <f>BY21*VLOOKUP('Données projet'!$B$12,Paramètres!$A$1:$I$89,3,0)*VLOOKUP('Données projet'!$B$12,Paramètres!$A$1:$I$89,5,0)</f>
        <v>23.955749999999995</v>
      </c>
      <c r="CA21" s="14">
        <f t="shared" si="39"/>
        <v>7.6277866901392342</v>
      </c>
      <c r="CB21" s="22">
        <f t="shared" si="10"/>
        <v>55.007993068659154</v>
      </c>
      <c r="CC21" s="62">
        <f t="shared" si="11"/>
        <v>348.34132640199249</v>
      </c>
      <c r="CD21" s="62">
        <f ca="1">AVERAGE(OFFSET($CC$3,0,0,'Données projet'!$E$12+1,1))-AVERAGE(OFFSET($H$3,0,0,'Données projet'!$E$12+1,1))</f>
        <v>49.695493809293282</v>
      </c>
      <c r="CE21" s="62">
        <f t="shared" si="40"/>
        <v>59.252884227831601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8.4474000000000018</v>
      </c>
      <c r="D22" s="12">
        <f t="shared" si="32"/>
        <v>3.0367186737670746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88.649337130833587</v>
      </c>
      <c r="H22" s="70">
        <f t="shared" si="1"/>
        <v>313.33484002347762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2.2072237608843297</v>
      </c>
      <c r="N22" s="14">
        <f>IF('Données projet'!$A$36&gt;35,N21+M22-V21,IF(A22&lt;'Données projet'!$A$36,$K$205^A22,IF(A22='Données projet'!$A$36,'Données projet'!$B$36,N21+M22-V21)))</f>
        <v>17.051603412948491</v>
      </c>
      <c r="O22" s="14">
        <f>N22*VLOOKUP('Données projet'!$B$9,Paramètres!$A$1:$I$89,3,0)*VLOOKUP('Données projet'!$B$9,Paramètres!$A$1:$I$89,5,0)</f>
        <v>18.62035092693975</v>
      </c>
      <c r="P22" s="14">
        <f t="shared" si="33"/>
        <v>6.1053889930532685</v>
      </c>
      <c r="Q22" s="22">
        <f t="shared" si="2"/>
        <v>43.063997027321172</v>
      </c>
      <c r="R22" s="62">
        <f t="shared" si="0"/>
        <v>336.39733036065451</v>
      </c>
      <c r="S22" s="62">
        <f ca="1">AVERAGE(OFFSET($R$3,0,0,'Données projet'!$E$9+1,1))-AVERAGE(OFFSET($H$3,0,0,'Données projet'!$E$9+1,1))</f>
        <v>308.00850473946429</v>
      </c>
      <c r="T22" s="62">
        <f t="shared" si="34"/>
        <v>70.709140667951715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14.275319683522188</v>
      </c>
      <c r="AK22" s="14">
        <f t="shared" si="35"/>
        <v>4.8277426959232219</v>
      </c>
      <c r="AL22" s="22">
        <f t="shared" si="4"/>
        <v>33.271166977534087</v>
      </c>
      <c r="AM22" s="62">
        <f t="shared" si="5"/>
        <v>326.60450031086742</v>
      </c>
      <c r="AN22" s="62">
        <f ca="1">AVERAGE(OFFSET($AM$3,0,0,'Données projet'!$E$10+1,1))-AVERAGE(OFFSET($H$3,0,0,'Données projet'!$E$10+1,1))</f>
        <v>271.76512254565102</v>
      </c>
      <c r="AO22" s="62">
        <f t="shared" si="36"/>
        <v>99.160986083974535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1.4833333333333329</v>
      </c>
      <c r="BD22" s="13">
        <f>IF('Données projet'!$A$88&gt;35,BD21+BC22-BL21,IF(A22&lt;'Données projet'!$A$88,$BA$205^A22,IF(A22='Données projet'!$A$88,'Données projet'!$B$88,BD21+BC22-BL21)))</f>
        <v>22.35</v>
      </c>
      <c r="BE22" s="14">
        <f>BD22*VLOOKUP('Données projet'!$B$11,Paramètres!$A$1:$I$89,3,0)*VLOOKUP('Données projet'!$B$11,Paramètres!$A$1:$I$89,5,0)</f>
        <v>25.747199999999999</v>
      </c>
      <c r="BF22" s="14">
        <f t="shared" si="37"/>
        <v>8.1296733996927859</v>
      </c>
      <c r="BG22" s="22">
        <f t="shared" si="7"/>
        <v>59.002221171131602</v>
      </c>
      <c r="BH22" s="62">
        <f t="shared" si="8"/>
        <v>352.33555450446494</v>
      </c>
      <c r="BI22" s="62">
        <f ca="1">AVERAGE(OFFSET($BH$3,0,0,'Données projet'!$E$11+1,1))-AVERAGE(OFFSET($H$3,0,0,'Données projet'!$E$11+1,1))</f>
        <v>43.16958872930951</v>
      </c>
      <c r="BJ22" s="62">
        <f t="shared" si="38"/>
        <v>69.202870643733547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2.2749999999999999</v>
      </c>
      <c r="BY22" s="13">
        <f>IF('Données projet'!$A$114&gt;35,BY21+BX22-CG21,IF(A22&lt;'Données projet'!$A$114,$BV$205^A22,IF(A22='Données projet'!$A$114,'Données projet'!$B$114,BY21+BX22-CG21)))</f>
        <v>43.224999999999987</v>
      </c>
      <c r="BZ22" s="14">
        <f>BY22*VLOOKUP('Données projet'!$B$12,Paramètres!$A$1:$I$89,3,0)*VLOOKUP('Données projet'!$B$12,Paramètres!$A$1:$I$89,5,0)</f>
        <v>25.286624999999994</v>
      </c>
      <c r="CA22" s="14">
        <f t="shared" si="39"/>
        <v>8.0010398941427621</v>
      </c>
      <c r="CB22" s="22">
        <f t="shared" si="10"/>
        <v>57.97601635729864</v>
      </c>
      <c r="CC22" s="62">
        <f t="shared" si="11"/>
        <v>351.30934969063196</v>
      </c>
      <c r="CD22" s="62">
        <f ca="1">AVERAGE(OFFSET($CC$3,0,0,'Données projet'!$E$12+1,1))-AVERAGE(OFFSET($H$3,0,0,'Données projet'!$E$12+1,1))</f>
        <v>49.695493809293282</v>
      </c>
      <c r="CE22" s="62">
        <f t="shared" si="40"/>
        <v>59.252884227831601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8.8920000000000012</v>
      </c>
      <c r="D23" s="12">
        <f t="shared" si="32"/>
        <v>3.177517729464268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93.168207034461034</v>
      </c>
      <c r="H23" s="70">
        <f t="shared" si="1"/>
        <v>314.35441004548358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2.2072237608843297</v>
      </c>
      <c r="N23" s="14">
        <f>IF('Données projet'!$A$36&gt;35,N22+M23-V22,IF(A23&lt;'Données projet'!$A$36,$K$205^A23,IF(A23='Données projet'!$A$36,'Données projet'!$B$36,N22+M23-V22)))</f>
        <v>19.25882717383282</v>
      </c>
      <c r="O23" s="14">
        <f>N23*VLOOKUP('Données projet'!$B$9,Paramètres!$A$1:$I$89,3,0)*VLOOKUP('Données projet'!$B$9,Paramètres!$A$1:$I$89,5,0)</f>
        <v>21.03063927382544</v>
      </c>
      <c r="P23" s="14">
        <f t="shared" si="33"/>
        <v>6.7986786038769909</v>
      </c>
      <c r="Q23" s="22">
        <f t="shared" si="2"/>
        <v>48.469395303665067</v>
      </c>
      <c r="R23" s="62">
        <f t="shared" si="0"/>
        <v>341.80272863699838</v>
      </c>
      <c r="S23" s="62">
        <f ca="1">AVERAGE(OFFSET($R$3,0,0,'Données projet'!$E$9+1,1))-AVERAGE(OFFSET($H$3,0,0,'Données projet'!$E$9+1,1))</f>
        <v>308.00850473946429</v>
      </c>
      <c r="T23" s="62">
        <f t="shared" si="34"/>
        <v>70.709140667951715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16.355758631348532</v>
      </c>
      <c r="AK23" s="14">
        <f t="shared" si="35"/>
        <v>5.4444183501809773</v>
      </c>
      <c r="AL23" s="22">
        <f t="shared" si="4"/>
        <v>37.968641576163897</v>
      </c>
      <c r="AM23" s="62">
        <f t="shared" si="5"/>
        <v>331.30197490949723</v>
      </c>
      <c r="AN23" s="62">
        <f ca="1">AVERAGE(OFFSET($AM$3,0,0,'Données projet'!$E$10+1,1))-AVERAGE(OFFSET($H$3,0,0,'Données projet'!$E$10+1,1))</f>
        <v>271.76512254565102</v>
      </c>
      <c r="AO23" s="62">
        <f t="shared" si="36"/>
        <v>99.160986083974535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23.833333333333332</v>
      </c>
      <c r="BB23" s="13">
        <f>VLOOKUP(A23,'Données projet'!$A$87:$I$107,9,0)</f>
        <v>1.4833333333333329</v>
      </c>
      <c r="BC23" s="13">
        <f t="array" ref="BC23">INDEX(BB:BB,MIN(IF(ISNUMBER(BB23:BB219),ROW(BB23:BB219),"")))</f>
        <v>1.4833333333333329</v>
      </c>
      <c r="BD23" s="13">
        <f>IF('Données projet'!$A$88&gt;35,BD22+BC23-BL22,IF(A23&lt;'Données projet'!$A$88,$BA$205^A23,IF(A23='Données projet'!$A$88,'Données projet'!$B$88,BD22+BC23-BL22)))</f>
        <v>23.833333333333336</v>
      </c>
      <c r="BE23" s="14">
        <f>BD23*VLOOKUP('Données projet'!$B$11,Paramètres!$A$1:$I$89,3,0)*VLOOKUP('Données projet'!$B$11,Paramètres!$A$1:$I$89,5,0)</f>
        <v>27.456000000000003</v>
      </c>
      <c r="BF23" s="14">
        <f t="shared" si="37"/>
        <v>8.604625104229898</v>
      </c>
      <c r="BG23" s="22">
        <f t="shared" si="7"/>
        <v>62.805588723200408</v>
      </c>
      <c r="BH23" s="62">
        <f t="shared" si="8"/>
        <v>356.13892205653372</v>
      </c>
      <c r="BI23" s="62">
        <f ca="1">AVERAGE(OFFSET($BH$3,0,0,'Données projet'!$E$11+1,1))-AVERAGE(OFFSET($H$3,0,0,'Données projet'!$E$11+1,1))</f>
        <v>43.16958872930951</v>
      </c>
      <c r="BJ23" s="62">
        <f t="shared" si="38"/>
        <v>69.202870643733547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2.2749999999999999</v>
      </c>
      <c r="BY23" s="13">
        <f>IF('Données projet'!$A$114&gt;35,BY22+BX23-CG22,IF(A23&lt;'Données projet'!$A$114,$BV$205^A23,IF(A23='Données projet'!$A$114,'Données projet'!$B$114,BY22+BX23-CG22)))</f>
        <v>45.499999999999986</v>
      </c>
      <c r="BZ23" s="14">
        <f>BY23*VLOOKUP('Données projet'!$B$12,Paramètres!$A$1:$I$89,3,0)*VLOOKUP('Données projet'!$B$12,Paramètres!$A$1:$I$89,5,0)</f>
        <v>26.617499999999993</v>
      </c>
      <c r="CA23" s="14">
        <f t="shared" si="39"/>
        <v>8.3720123096722521</v>
      </c>
      <c r="CB23" s="22">
        <f t="shared" si="10"/>
        <v>60.940067272679158</v>
      </c>
      <c r="CC23" s="62">
        <f t="shared" si="11"/>
        <v>354.2734006060125</v>
      </c>
      <c r="CD23" s="62">
        <f ca="1">AVERAGE(OFFSET($CC$3,0,0,'Données projet'!$E$12+1,1))-AVERAGE(OFFSET($H$3,0,0,'Données projet'!$E$12+1,1))</f>
        <v>49.695493809293282</v>
      </c>
      <c r="CE23" s="62">
        <f t="shared" si="40"/>
        <v>59.252884227831601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9.3366000000000007</v>
      </c>
      <c r="D24" s="12">
        <f t="shared" si="32"/>
        <v>3.31749935505009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97.680766951263877</v>
      </c>
      <c r="H24" s="70">
        <f t="shared" si="1"/>
        <v>315.37255637671223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2.2072237608843297</v>
      </c>
      <c r="N24" s="14">
        <f>IF('Données projet'!$A$36&gt;35,N23+M24-V23,IF(A24&lt;'Données projet'!$A$36,$K$205^A24,IF(A24='Données projet'!$A$36,'Données projet'!$B$36,N23+M24-V23)))</f>
        <v>21.466050934717149</v>
      </c>
      <c r="O24" s="14">
        <f>N24*VLOOKUP('Données projet'!$B$9,Paramètres!$A$1:$I$89,3,0)*VLOOKUP('Données projet'!$B$9,Paramètres!$A$1:$I$89,5,0)</f>
        <v>23.440927620711125</v>
      </c>
      <c r="P24" s="14">
        <f t="shared" si="33"/>
        <v>7.4827595993529883</v>
      </c>
      <c r="Q24" s="22">
        <f t="shared" si="2"/>
        <v>53.858755241611668</v>
      </c>
      <c r="R24" s="62">
        <f t="shared" si="0"/>
        <v>347.19208857494499</v>
      </c>
      <c r="S24" s="62">
        <f ca="1">AVERAGE(OFFSET($R$3,0,0,'Données projet'!$E$9+1,1))-AVERAGE(OFFSET($H$3,0,0,'Données projet'!$E$9+1,1))</f>
        <v>308.00850473946429</v>
      </c>
      <c r="T24" s="62">
        <f t="shared" si="34"/>
        <v>70.709140667951715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18.739394026721261</v>
      </c>
      <c r="AK24" s="14">
        <f t="shared" si="35"/>
        <v>6.1398655725414359</v>
      </c>
      <c r="AL24" s="22">
        <f t="shared" si="4"/>
        <v>43.331377135382525</v>
      </c>
      <c r="AM24" s="62">
        <f t="shared" si="5"/>
        <v>336.66471046871584</v>
      </c>
      <c r="AN24" s="62">
        <f ca="1">AVERAGE(OFFSET($AM$3,0,0,'Données projet'!$E$10+1,1))-AVERAGE(OFFSET($H$3,0,0,'Données projet'!$E$10+1,1))</f>
        <v>271.76512254565102</v>
      </c>
      <c r="AO24" s="62">
        <f t="shared" si="36"/>
        <v>99.160986083974535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1.4750000000000003</v>
      </c>
      <c r="BD24" s="13">
        <f>IF('Données projet'!$A$88&gt;35,BD23+BC24-BL23,IF(A24&lt;'Données projet'!$A$88,$BA$205^A24,IF(A24='Données projet'!$A$88,'Données projet'!$B$88,BD23+BC24-BL23)))</f>
        <v>25.308333333333337</v>
      </c>
      <c r="BE24" s="14">
        <f>BD24*VLOOKUP('Données projet'!$B$11,Paramètres!$A$1:$I$89,3,0)*VLOOKUP('Données projet'!$B$11,Paramètres!$A$1:$I$89,5,0)</f>
        <v>29.155200000000001</v>
      </c>
      <c r="BF24" s="14">
        <f t="shared" si="37"/>
        <v>9.0735062877952881</v>
      </c>
      <c r="BG24" s="22">
        <f t="shared" si="7"/>
        <v>66.581663451243472</v>
      </c>
      <c r="BH24" s="62">
        <f t="shared" si="8"/>
        <v>359.91499678457677</v>
      </c>
      <c r="BI24" s="62">
        <f ca="1">AVERAGE(OFFSET($BH$3,0,0,'Données projet'!$E$11+1,1))-AVERAGE(OFFSET($H$3,0,0,'Données projet'!$E$11+1,1))</f>
        <v>43.16958872930951</v>
      </c>
      <c r="BJ24" s="62">
        <f t="shared" si="38"/>
        <v>69.202870643733547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2.2749999999999999</v>
      </c>
      <c r="BY24" s="13">
        <f>IF('Données projet'!$A$114&gt;35,BY23+BX24-CG23,IF(A24&lt;'Données projet'!$A$114,$BV$205^A24,IF(A24='Données projet'!$A$114,'Données projet'!$B$114,BY23+BX24-CG23)))</f>
        <v>47.774999999999984</v>
      </c>
      <c r="BZ24" s="14">
        <f>BY24*VLOOKUP('Données projet'!$B$12,Paramètres!$A$1:$I$89,3,0)*VLOOKUP('Données projet'!$B$12,Paramètres!$A$1:$I$89,5,0)</f>
        <v>27.948374999999992</v>
      </c>
      <c r="CA24" s="14">
        <f t="shared" si="39"/>
        <v>8.7408309890034346</v>
      </c>
      <c r="CB24" s="22">
        <f t="shared" si="10"/>
        <v>63.900367097514298</v>
      </c>
      <c r="CC24" s="62">
        <f t="shared" si="11"/>
        <v>357.23370043084759</v>
      </c>
      <c r="CD24" s="62">
        <f ca="1">AVERAGE(OFFSET($CC$3,0,0,'Données projet'!$E$12+1,1))-AVERAGE(OFFSET($H$3,0,0,'Données projet'!$E$12+1,1))</f>
        <v>49.695493809293282</v>
      </c>
      <c r="CE24" s="62">
        <f t="shared" si="40"/>
        <v>59.252884227831601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25" s="12">
        <f t="shared" si="32"/>
        <v>3.4567069199829903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102.18735166302658</v>
      </c>
      <c r="H25" s="70">
        <f t="shared" si="1"/>
        <v>316.3893545523037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2.2072237608843297</v>
      </c>
      <c r="N25" s="14">
        <f>IF('Données projet'!$A$36&gt;35,N24+M25-V24,IF(A25&lt;'Données projet'!$A$36,$K$205^A25,IF(A25='Données projet'!$A$36,'Données projet'!$B$36,N24+M25-V24)))</f>
        <v>23.673274695601478</v>
      </c>
      <c r="O25" s="14">
        <f>N25*VLOOKUP('Données projet'!$B$9,Paramètres!$A$1:$I$89,3,0)*VLOOKUP('Données projet'!$B$9,Paramètres!$A$1:$I$89,5,0)</f>
        <v>25.851215967596811</v>
      </c>
      <c r="P25" s="14">
        <f t="shared" si="33"/>
        <v>8.1586866805281542</v>
      </c>
      <c r="Q25" s="22">
        <f t="shared" si="2"/>
        <v>59.23391377881763</v>
      </c>
      <c r="R25" s="62">
        <f t="shared" si="0"/>
        <v>352.56724711215094</v>
      </c>
      <c r="S25" s="62">
        <f ca="1">AVERAGE(OFFSET($R$3,0,0,'Données projet'!$E$9+1,1))-AVERAGE(OFFSET($H$3,0,0,'Données projet'!$E$9+1,1))</f>
        <v>308.00850473946429</v>
      </c>
      <c r="T25" s="62">
        <f t="shared" si="34"/>
        <v>70.709140667951715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21.470412739868298</v>
      </c>
      <c r="AK25" s="14">
        <f t="shared" si="35"/>
        <v>6.9241463135591816</v>
      </c>
      <c r="AL25" s="22">
        <f t="shared" si="4"/>
        <v>49.453857018052851</v>
      </c>
      <c r="AM25" s="62">
        <f t="shared" si="5"/>
        <v>342.78719035138619</v>
      </c>
      <c r="AN25" s="62">
        <f ca="1">AVERAGE(OFFSET($AM$3,0,0,'Données projet'!$E$10+1,1))-AVERAGE(OFFSET($H$3,0,0,'Données projet'!$E$10+1,1))</f>
        <v>271.76512254565102</v>
      </c>
      <c r="AO25" s="62">
        <f t="shared" si="36"/>
        <v>99.160986083974535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1.4750000000000003</v>
      </c>
      <c r="BD25" s="13">
        <f>IF('Données projet'!$A$88&gt;35,BD24+BC25-BL24,IF(A25&lt;'Données projet'!$A$88,$BA$205^A25,IF(A25='Données projet'!$A$88,'Données projet'!$B$88,BD24+BC25-BL24)))</f>
        <v>26.783333333333339</v>
      </c>
      <c r="BE25" s="14">
        <f>BD25*VLOOKUP('Données projet'!$B$11,Paramètres!$A$1:$I$89,3,0)*VLOOKUP('Données projet'!$B$11,Paramètres!$A$1:$I$89,5,0)</f>
        <v>30.854400000000002</v>
      </c>
      <c r="BF25" s="14">
        <f t="shared" si="37"/>
        <v>9.5392154831800795</v>
      </c>
      <c r="BG25" s="22">
        <f t="shared" si="7"/>
        <v>70.352213633205309</v>
      </c>
      <c r="BH25" s="62">
        <f t="shared" si="8"/>
        <v>363.6855469665386</v>
      </c>
      <c r="BI25" s="62">
        <f ca="1">AVERAGE(OFFSET($BH$3,0,0,'Données projet'!$E$11+1,1))-AVERAGE(OFFSET($H$3,0,0,'Données projet'!$E$11+1,1))</f>
        <v>43.16958872930951</v>
      </c>
      <c r="BJ25" s="62">
        <f t="shared" si="38"/>
        <v>69.202870643733547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2.2749999999999999</v>
      </c>
      <c r="BY25" s="13">
        <f>IF('Données projet'!$A$114&gt;35,BY24+BX25-CG24,IF(A25&lt;'Données projet'!$A$114,$BV$205^A25,IF(A25='Données projet'!$A$114,'Données projet'!$B$114,BY24+BX25-CG24)))</f>
        <v>50.049999999999983</v>
      </c>
      <c r="BZ25" s="14">
        <f>BY25*VLOOKUP('Données projet'!$B$12,Paramètres!$A$1:$I$89,3,0)*VLOOKUP('Données projet'!$B$12,Paramètres!$A$1:$I$89,5,0)</f>
        <v>29.279249999999994</v>
      </c>
      <c r="CA25" s="14">
        <f t="shared" si="39"/>
        <v>9.1076102004649027</v>
      </c>
      <c r="CB25" s="22">
        <f t="shared" si="10"/>
        <v>66.857114849143016</v>
      </c>
      <c r="CC25" s="62">
        <f t="shared" si="11"/>
        <v>360.1904481824763</v>
      </c>
      <c r="CD25" s="62">
        <f ca="1">AVERAGE(OFFSET($CC$3,0,0,'Données projet'!$E$12+1,1))-AVERAGE(OFFSET($H$3,0,0,'Données projet'!$E$12+1,1))</f>
        <v>49.695493809293282</v>
      </c>
      <c r="CE25" s="62">
        <f t="shared" si="40"/>
        <v>59.252884227831601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10.2258</v>
      </c>
      <c r="D26" s="12">
        <f t="shared" si="32"/>
        <v>3.5951796281784945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106.68826379646556</v>
      </c>
      <c r="H26" s="70">
        <f t="shared" si="1"/>
        <v>317.40487285241085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2.2072237608843297</v>
      </c>
      <c r="N26" s="14">
        <f>IF('Données projet'!$A$36&gt;35,N25+M26-V25,IF(A26&lt;'Données projet'!$A$36,$K$205^A26,IF(A26='Données projet'!$A$36,'Données projet'!$B$36,N25+M26-V25)))</f>
        <v>25.880498456485807</v>
      </c>
      <c r="O26" s="14">
        <f>N26*VLOOKUP('Données projet'!$B$9,Paramètres!$A$1:$I$89,3,0)*VLOOKUP('Données projet'!$B$9,Paramètres!$A$1:$I$89,5,0)</f>
        <v>28.261504314482497</v>
      </c>
      <c r="P26" s="14">
        <f t="shared" si="33"/>
        <v>8.8273065702663303</v>
      </c>
      <c r="Q26" s="22">
        <f t="shared" si="2"/>
        <v>64.596345624270867</v>
      </c>
      <c r="R26" s="62">
        <f t="shared" si="0"/>
        <v>357.92967895760421</v>
      </c>
      <c r="S26" s="62">
        <f ca="1">AVERAGE(OFFSET($R$3,0,0,'Données projet'!$E$9+1,1))-AVERAGE(OFFSET($H$3,0,0,'Données projet'!$E$9+1,1))</f>
        <v>308.00850473946429</v>
      </c>
      <c r="T26" s="62">
        <f t="shared" si="34"/>
        <v>70.709140667951715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24.599441292657108</v>
      </c>
      <c r="AK26" s="14">
        <f t="shared" si="35"/>
        <v>7.808607795256683</v>
      </c>
      <c r="AL26" s="22">
        <f t="shared" si="4"/>
        <v>56.444018828116505</v>
      </c>
      <c r="AM26" s="62">
        <f t="shared" si="5"/>
        <v>349.77735216144981</v>
      </c>
      <c r="AN26" s="62">
        <f ca="1">AVERAGE(OFFSET($AM$3,0,0,'Données projet'!$E$10+1,1))-AVERAGE(OFFSET($H$3,0,0,'Données projet'!$E$10+1,1))</f>
        <v>271.76512254565102</v>
      </c>
      <c r="AO26" s="62">
        <f t="shared" si="36"/>
        <v>99.160986083974535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1.4750000000000003</v>
      </c>
      <c r="BD26" s="13">
        <f>IF('Données projet'!$A$88&gt;35,BD25+BC26-BL25,IF(A26&lt;'Données projet'!$A$88,$BA$205^A26,IF(A26='Données projet'!$A$88,'Données projet'!$B$88,BD25+BC26-BL25)))</f>
        <v>28.25833333333334</v>
      </c>
      <c r="BE26" s="14">
        <f>BD26*VLOOKUP('Données projet'!$B$11,Paramètres!$A$1:$I$89,3,0)*VLOOKUP('Données projet'!$B$11,Paramètres!$A$1:$I$89,5,0)</f>
        <v>32.553600000000003</v>
      </c>
      <c r="BF26" s="14">
        <f t="shared" si="37"/>
        <v>10.001947288481949</v>
      </c>
      <c r="BG26" s="22">
        <f t="shared" si="7"/>
        <v>74.117578194106059</v>
      </c>
      <c r="BH26" s="62">
        <f t="shared" si="8"/>
        <v>367.45091152743936</v>
      </c>
      <c r="BI26" s="62">
        <f ca="1">AVERAGE(OFFSET($BH$3,0,0,'Données projet'!$E$11+1,1))-AVERAGE(OFFSET($H$3,0,0,'Données projet'!$E$11+1,1))</f>
        <v>43.16958872930951</v>
      </c>
      <c r="BJ26" s="62">
        <f t="shared" si="38"/>
        <v>69.202870643733547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2.2749999999999999</v>
      </c>
      <c r="BY26" s="13">
        <f>IF('Données projet'!$A$114&gt;35,BY25+BX26-CG25,IF(A26&lt;'Données projet'!$A$114,$BV$205^A26,IF(A26='Données projet'!$A$114,'Données projet'!$B$114,BY25+BX26-CG25)))</f>
        <v>52.324999999999982</v>
      </c>
      <c r="BZ26" s="14">
        <f>BY26*VLOOKUP('Données projet'!$B$12,Paramètres!$A$1:$I$89,3,0)*VLOOKUP('Données projet'!$B$12,Paramètres!$A$1:$I$89,5,0)</f>
        <v>30.610124999999993</v>
      </c>
      <c r="CA26" s="14">
        <f t="shared" si="39"/>
        <v>9.4724532371587919</v>
      </c>
      <c r="CB26" s="22">
        <f t="shared" si="10"/>
        <v>69.810490429718215</v>
      </c>
      <c r="CC26" s="62">
        <f t="shared" si="11"/>
        <v>363.1438237630515</v>
      </c>
      <c r="CD26" s="62">
        <f ca="1">AVERAGE(OFFSET($CC$3,0,0,'Données projet'!$E$12+1,1))-AVERAGE(OFFSET($H$3,0,0,'Données projet'!$E$12+1,1))</f>
        <v>49.695493809293282</v>
      </c>
      <c r="CE26" s="62">
        <f t="shared" si="40"/>
        <v>59.252884227831601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10.670399999999999</v>
      </c>
      <c r="D27" s="12">
        <f t="shared" si="32"/>
        <v>3.7329530817348457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111.18377817479531</v>
      </c>
      <c r="H27" s="70">
        <f t="shared" si="1"/>
        <v>318.4191732840215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2.2072237608843297</v>
      </c>
      <c r="N27" s="14">
        <f>IF('Données projet'!$A$36&gt;35,N26+M27-V26,IF(A27&lt;'Données projet'!$A$36,$K$205^A27,IF(A27='Données projet'!$A$36,'Données projet'!$B$36,N26+M27-V26)))</f>
        <v>28.087722217370136</v>
      </c>
      <c r="O27" s="14">
        <f>N27*VLOOKUP('Données projet'!$B$9,Paramètres!$A$1:$I$89,3,0)*VLOOKUP('Données projet'!$B$9,Paramètres!$A$1:$I$89,5,0)</f>
        <v>30.671792661368183</v>
      </c>
      <c r="P27" s="14">
        <f t="shared" si="33"/>
        <v>9.4893133185498879</v>
      </c>
      <c r="Q27" s="22">
        <f t="shared" si="2"/>
        <v>69.947259581690631</v>
      </c>
      <c r="R27" s="62">
        <f t="shared" si="0"/>
        <v>363.28059291502393</v>
      </c>
      <c r="S27" s="62">
        <f ca="1">AVERAGE(OFFSET($R$3,0,0,'Données projet'!$E$9+1,1))-AVERAGE(OFFSET($H$3,0,0,'Données projet'!$E$9+1,1))</f>
        <v>308.00850473946429</v>
      </c>
      <c r="T27" s="62">
        <f t="shared" si="34"/>
        <v>70.709140667951715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28.184484352609399</v>
      </c>
      <c r="AK27" s="14">
        <f t="shared" si="35"/>
        <v>8.8060466863244411</v>
      </c>
      <c r="AL27" s="22">
        <f t="shared" si="4"/>
        <v>64.425174892809764</v>
      </c>
      <c r="AM27" s="62">
        <f t="shared" si="5"/>
        <v>357.75850822614308</v>
      </c>
      <c r="AN27" s="62">
        <f ca="1">AVERAGE(OFFSET($AM$3,0,0,'Données projet'!$E$10+1,1))-AVERAGE(OFFSET($H$3,0,0,'Données projet'!$E$10+1,1))</f>
        <v>271.76512254565102</v>
      </c>
      <c r="AO27" s="62">
        <f t="shared" si="36"/>
        <v>99.160986083974535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1.4750000000000003</v>
      </c>
      <c r="BD27" s="13">
        <f>IF('Données projet'!$A$88&gt;35,BD26+BC27-BL26,IF(A27&lt;'Données projet'!$A$88,$BA$205^A27,IF(A27='Données projet'!$A$88,'Données projet'!$B$88,BD26+BC27-BL26)))</f>
        <v>29.733333333333341</v>
      </c>
      <c r="BE27" s="14">
        <f>BD27*VLOOKUP('Données projet'!$B$11,Paramètres!$A$1:$I$89,3,0)*VLOOKUP('Données projet'!$B$11,Paramètres!$A$1:$I$89,5,0)</f>
        <v>34.252800000000008</v>
      </c>
      <c r="BF27" s="14">
        <f t="shared" si="37"/>
        <v>10.461874839528539</v>
      </c>
      <c r="BG27" s="22">
        <f t="shared" si="7"/>
        <v>77.878058678845548</v>
      </c>
      <c r="BH27" s="62">
        <f t="shared" si="8"/>
        <v>371.21139201217886</v>
      </c>
      <c r="BI27" s="62">
        <f ca="1">AVERAGE(OFFSET($BH$3,0,0,'Données projet'!$E$11+1,1))-AVERAGE(OFFSET($H$3,0,0,'Données projet'!$E$11+1,1))</f>
        <v>43.16958872930951</v>
      </c>
      <c r="BJ27" s="62">
        <f t="shared" si="38"/>
        <v>69.202870643733547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2.2749999999999999</v>
      </c>
      <c r="BY27" s="13">
        <f>IF('Données projet'!$A$114&gt;35,BY26+BX27-CG26,IF(A27&lt;'Données projet'!$A$114,$BV$205^A27,IF(A27='Données projet'!$A$114,'Données projet'!$B$114,BY26+BX27-CG26)))</f>
        <v>54.59999999999998</v>
      </c>
      <c r="BZ27" s="14">
        <f>BY27*VLOOKUP('Données projet'!$B$12,Paramètres!$A$1:$I$89,3,0)*VLOOKUP('Données projet'!$B$12,Paramètres!$A$1:$I$89,5,0)</f>
        <v>31.940999999999992</v>
      </c>
      <c r="CA27" s="14">
        <f t="shared" si="39"/>
        <v>9.8354539022453409</v>
      </c>
      <c r="CB27" s="22">
        <f t="shared" si="10"/>
        <v>72.760657213077295</v>
      </c>
      <c r="CC27" s="62">
        <f t="shared" si="11"/>
        <v>366.09399054641062</v>
      </c>
      <c r="CD27" s="62">
        <f ca="1">AVERAGE(OFFSET($CC$3,0,0,'Données projet'!$E$12+1,1))-AVERAGE(OFFSET($H$3,0,0,'Données projet'!$E$12+1,1))</f>
        <v>49.695493809293282</v>
      </c>
      <c r="CE27" s="62">
        <f t="shared" si="40"/>
        <v>59.252884227831601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11.114999999999998</v>
      </c>
      <c r="D28" s="12">
        <f t="shared" si="32"/>
        <v>3.8700597480569474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115.67414542359747</v>
      </c>
      <c r="H28" s="70">
        <f t="shared" si="1"/>
        <v>319.43231239453252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2.2072237608843297</v>
      </c>
      <c r="N28" s="14">
        <f>IF('Données projet'!$A$36&gt;35,N27+M28-V27,IF(A28&lt;'Données projet'!$A$36,$K$205^A28,IF(A28='Données projet'!$A$36,'Données projet'!$B$36,N27+M28-V27)))</f>
        <v>30.294945978254464</v>
      </c>
      <c r="O28" s="14">
        <f>N28*VLOOKUP('Données projet'!$B$9,Paramètres!$A$1:$I$89,3,0)*VLOOKUP('Données projet'!$B$9,Paramètres!$A$1:$I$89,5,0)</f>
        <v>33.08208100825388</v>
      </c>
      <c r="P28" s="14">
        <f t="shared" si="33"/>
        <v>10.145285691912616</v>
      </c>
      <c r="Q28" s="22">
        <f t="shared" si="2"/>
        <v>75.287663669456649</v>
      </c>
      <c r="R28" s="62">
        <f t="shared" si="0"/>
        <v>368.62099700278998</v>
      </c>
      <c r="S28" s="62">
        <f ca="1">AVERAGE(OFFSET($R$3,0,0,'Données projet'!$E$9+1,1))-AVERAGE(OFFSET($H$3,0,0,'Données projet'!$E$9+1,1))</f>
        <v>308.00850473946429</v>
      </c>
      <c r="T28" s="62">
        <f t="shared" si="34"/>
        <v>70.709140667951715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32.292000000000002</v>
      </c>
      <c r="AK28" s="14">
        <f t="shared" si="35"/>
        <v>9.9308942483743401</v>
      </c>
      <c r="AL28" s="22">
        <f t="shared" si="4"/>
        <v>73.538207482585321</v>
      </c>
      <c r="AM28" s="62">
        <f t="shared" si="5"/>
        <v>366.87154081591865</v>
      </c>
      <c r="AN28" s="62">
        <f ca="1">AVERAGE(OFFSET($AM$3,0,0,'Données projet'!$E$10+1,1))-AVERAGE(OFFSET($H$3,0,0,'Données projet'!$E$10+1,1))</f>
        <v>271.76512254565102</v>
      </c>
      <c r="AO28" s="62">
        <f t="shared" si="36"/>
        <v>99.160986083974535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1.4750000000000003</v>
      </c>
      <c r="BD28" s="13">
        <f>IF('Données projet'!$A$88&gt;35,BD27+BC28-BL27,IF(A28&lt;'Données projet'!$A$88,$BA$205^A28,IF(A28='Données projet'!$A$88,'Données projet'!$B$88,BD27+BC28-BL27)))</f>
        <v>31.208333333333343</v>
      </c>
      <c r="BE28" s="14">
        <f>BD28*VLOOKUP('Données projet'!$B$11,Paramètres!$A$1:$I$89,3,0)*VLOOKUP('Données projet'!$B$11,Paramètres!$A$1:$I$89,5,0)</f>
        <v>35.952000000000005</v>
      </c>
      <c r="BF28" s="14">
        <f t="shared" si="37"/>
        <v>10.919153124035761</v>
      </c>
      <c r="BG28" s="22">
        <f t="shared" si="7"/>
        <v>81.633925024362284</v>
      </c>
      <c r="BH28" s="62">
        <f t="shared" si="8"/>
        <v>374.96725835769558</v>
      </c>
      <c r="BI28" s="62">
        <f ca="1">AVERAGE(OFFSET($BH$3,0,0,'Données projet'!$E$11+1,1))-AVERAGE(OFFSET($H$3,0,0,'Données projet'!$E$11+1,1))</f>
        <v>43.16958872930951</v>
      </c>
      <c r="BJ28" s="62">
        <f t="shared" si="38"/>
        <v>69.202870643733547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2.2749999999999999</v>
      </c>
      <c r="BY28" s="13">
        <f>IF('Données projet'!$A$114&gt;35,BY27+BX28-CG27,IF(A28&lt;'Données projet'!$A$114,$BV$205^A28,IF(A28='Données projet'!$A$114,'Données projet'!$B$114,BY27+BX28-CG27)))</f>
        <v>56.874999999999979</v>
      </c>
      <c r="BZ28" s="14">
        <f>BY28*VLOOKUP('Données projet'!$B$12,Paramètres!$A$1:$I$89,3,0)*VLOOKUP('Données projet'!$B$12,Paramètres!$A$1:$I$89,5,0)</f>
        <v>33.271874999999987</v>
      </c>
      <c r="CA28" s="14">
        <f t="shared" si="39"/>
        <v>10.196697739704685</v>
      </c>
      <c r="CB28" s="22">
        <f t="shared" si="10"/>
        <v>75.707764188318961</v>
      </c>
      <c r="CC28" s="62">
        <f t="shared" si="11"/>
        <v>369.04109752165226</v>
      </c>
      <c r="CD28" s="62">
        <f ca="1">AVERAGE(OFFSET($CC$3,0,0,'Données projet'!$E$12+1,1))-AVERAGE(OFFSET($H$3,0,0,'Données projet'!$E$12+1,1))</f>
        <v>49.695493809293282</v>
      </c>
      <c r="CE28" s="62">
        <f t="shared" si="40"/>
        <v>59.252884227831601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11.559599999999998</v>
      </c>
      <c r="D29" s="12">
        <f t="shared" si="32"/>
        <v>4.0065293501366037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120.15959498351062</v>
      </c>
      <c r="H29" s="70">
        <f t="shared" si="1"/>
        <v>320.4443419514879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2.2072237608843297</v>
      </c>
      <c r="N29" s="14">
        <f>IF('Données projet'!$A$36&gt;35,N28+M29-V28,IF(A29&lt;'Données projet'!$A$36,$K$205^A29,IF(A29='Données projet'!$A$36,'Données projet'!$B$36,N28+M29-V28)))</f>
        <v>32.502169739138793</v>
      </c>
      <c r="O29" s="14">
        <f>N29*VLOOKUP('Données projet'!$B$9,Paramètres!$A$1:$I$89,3,0)*VLOOKUP('Données projet'!$B$9,Paramètres!$A$1:$I$89,5,0)</f>
        <v>35.492369355139566</v>
      </c>
      <c r="P29" s="14">
        <f t="shared" si="33"/>
        <v>10.795713339935315</v>
      </c>
      <c r="Q29" s="22">
        <f t="shared" si="2"/>
        <v>80.618410693922087</v>
      </c>
      <c r="R29" s="62">
        <f t="shared" si="0"/>
        <v>373.95174402725542</v>
      </c>
      <c r="S29" s="62">
        <f ca="1">AVERAGE(OFFSET($R$3,0,0,'Données projet'!$E$9+1,1))-AVERAGE(OFFSET($H$3,0,0,'Données projet'!$E$9+1,1))</f>
        <v>308.00850473946429</v>
      </c>
      <c r="T29" s="62">
        <f t="shared" si="34"/>
        <v>70.709140667951715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37.45872</v>
      </c>
      <c r="AK29" s="14">
        <f t="shared" si="35"/>
        <v>11.322528864493165</v>
      </c>
      <c r="AL29" s="22">
        <f t="shared" si="4"/>
        <v>84.960675105658922</v>
      </c>
      <c r="AM29" s="62">
        <f t="shared" si="5"/>
        <v>378.29400843899225</v>
      </c>
      <c r="AN29" s="62">
        <f ca="1">AVERAGE(OFFSET($AM$3,0,0,'Données projet'!$E$10+1,1))-AVERAGE(OFFSET($H$3,0,0,'Données projet'!$E$10+1,1))</f>
        <v>271.76512254565102</v>
      </c>
      <c r="AO29" s="62">
        <f t="shared" si="36"/>
        <v>99.160986083974535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1.4750000000000003</v>
      </c>
      <c r="BD29" s="13">
        <f>IF('Données projet'!$A$88&gt;35,BD28+BC29-BL28,IF(A29&lt;'Données projet'!$A$88,$BA$205^A29,IF(A29='Données projet'!$A$88,'Données projet'!$B$88,BD28+BC29-BL28)))</f>
        <v>32.683333333333344</v>
      </c>
      <c r="BE29" s="14">
        <f>BD29*VLOOKUP('Données projet'!$B$11,Paramètres!$A$1:$I$89,3,0)*VLOOKUP('Données projet'!$B$11,Paramètres!$A$1:$I$89,5,0)</f>
        <v>37.65120000000001</v>
      </c>
      <c r="BF29" s="14">
        <f t="shared" si="37"/>
        <v>11.373921651472635</v>
      </c>
      <c r="BG29" s="22">
        <f t="shared" si="7"/>
        <v>85.385420209648188</v>
      </c>
      <c r="BH29" s="62">
        <f t="shared" si="8"/>
        <v>378.71875354298152</v>
      </c>
      <c r="BI29" s="62">
        <f ca="1">AVERAGE(OFFSET($BH$3,0,0,'Données projet'!$E$11+1,1))-AVERAGE(OFFSET($H$3,0,0,'Données projet'!$E$11+1,1))</f>
        <v>43.16958872930951</v>
      </c>
      <c r="BJ29" s="62">
        <f t="shared" si="38"/>
        <v>69.202870643733547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2.2749999999999999</v>
      </c>
      <c r="BY29" s="13">
        <f>IF('Données projet'!$A$114&gt;35,BY28+BX29-CG28,IF(A29&lt;'Données projet'!$A$114,$BV$205^A29,IF(A29='Données projet'!$A$114,'Données projet'!$B$114,BY28+BX29-CG28)))</f>
        <v>59.149999999999977</v>
      </c>
      <c r="BZ29" s="14">
        <f>BY29*VLOOKUP('Données projet'!$B$12,Paramètres!$A$1:$I$89,3,0)*VLOOKUP('Données projet'!$B$12,Paramètres!$A$1:$I$89,5,0)</f>
        <v>34.602749999999986</v>
      </c>
      <c r="CA29" s="14">
        <f t="shared" si="39"/>
        <v>10.556263062633528</v>
      </c>
      <c r="CB29" s="22">
        <f t="shared" si="10"/>
        <v>78.651947750753365</v>
      </c>
      <c r="CC29" s="62">
        <f t="shared" si="11"/>
        <v>371.98528108408669</v>
      </c>
      <c r="CD29" s="62">
        <f ca="1">AVERAGE(OFFSET($CC$3,0,0,'Données projet'!$E$12+1,1))-AVERAGE(OFFSET($H$3,0,0,'Données projet'!$E$12+1,1))</f>
        <v>49.695493809293282</v>
      </c>
      <c r="CE29" s="62">
        <f t="shared" si="40"/>
        <v>59.252884227831601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12.004199999999997</v>
      </c>
      <c r="D30" s="12">
        <f t="shared" si="32"/>
        <v>4.1423891951008196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124.64033764639227</v>
      </c>
      <c r="H30" s="70">
        <f t="shared" si="1"/>
        <v>321.45530951480055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2.2072237608843297</v>
      </c>
      <c r="N30" s="14">
        <f>IF('Données projet'!$A$36&gt;35,N29+M30-V29,IF(A30&lt;'Données projet'!$A$36,$K$205^A30,IF(A30='Données projet'!$A$36,'Données projet'!$B$36,N29+M30-V29)))</f>
        <v>34.709393500023126</v>
      </c>
      <c r="O30" s="14">
        <f>N30*VLOOKUP('Données projet'!$B$9,Paramètres!$A$1:$I$89,3,0)*VLOOKUP('Données projet'!$B$9,Paramètres!$A$1:$I$89,5,0)</f>
        <v>37.902657702025252</v>
      </c>
      <c r="P30" s="14">
        <f t="shared" si="33"/>
        <v>11.44101564412553</v>
      </c>
      <c r="Q30" s="22">
        <f t="shared" si="2"/>
        <v>85.940231077879261</v>
      </c>
      <c r="R30" s="62">
        <f t="shared" si="0"/>
        <v>379.27356441121259</v>
      </c>
      <c r="S30" s="62">
        <f ca="1">AVERAGE(OFFSET($R$3,0,0,'Données projet'!$E$9+1,1))-AVERAGE(OFFSET($H$3,0,0,'Données projet'!$E$9+1,1))</f>
        <v>308.00850473946429</v>
      </c>
      <c r="T30" s="62">
        <f t="shared" si="34"/>
        <v>70.709140667951715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42.62543999999999</v>
      </c>
      <c r="AK30" s="14">
        <f t="shared" si="35"/>
        <v>12.691924583898647</v>
      </c>
      <c r="AL30" s="22">
        <f t="shared" si="4"/>
        <v>96.34440998362345</v>
      </c>
      <c r="AM30" s="62">
        <f t="shared" si="5"/>
        <v>389.67774331695676</v>
      </c>
      <c r="AN30" s="62">
        <f ca="1">AVERAGE(OFFSET($AM$3,0,0,'Données projet'!$E$10+1,1))-AVERAGE(OFFSET($H$3,0,0,'Données projet'!$E$10+1,1))</f>
        <v>271.76512254565102</v>
      </c>
      <c r="AO30" s="62">
        <f t="shared" si="36"/>
        <v>99.160986083974535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1.4750000000000003</v>
      </c>
      <c r="BD30" s="13">
        <f>IF('Données projet'!$A$88&gt;35,BD29+BC30-BL29,IF(A30&lt;'Données projet'!$A$88,$BA$205^A30,IF(A30='Données projet'!$A$88,'Données projet'!$B$88,BD29+BC30-BL29)))</f>
        <v>34.158333333333346</v>
      </c>
      <c r="BE30" s="14">
        <f>BD30*VLOOKUP('Données projet'!$B$11,Paramètres!$A$1:$I$89,3,0)*VLOOKUP('Données projet'!$B$11,Paramètres!$A$1:$I$89,5,0)</f>
        <v>39.350400000000008</v>
      </c>
      <c r="BF30" s="14">
        <f t="shared" si="37"/>
        <v>11.826306627342001</v>
      </c>
      <c r="BG30" s="22">
        <f t="shared" si="7"/>
        <v>89.13276404262065</v>
      </c>
      <c r="BH30" s="62">
        <f t="shared" si="8"/>
        <v>382.46609737595395</v>
      </c>
      <c r="BI30" s="62">
        <f ca="1">AVERAGE(OFFSET($BH$3,0,0,'Données projet'!$E$11+1,1))-AVERAGE(OFFSET($H$3,0,0,'Données projet'!$E$11+1,1))</f>
        <v>43.16958872930951</v>
      </c>
      <c r="BJ30" s="62">
        <f t="shared" si="38"/>
        <v>69.202870643733547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2.2749999999999999</v>
      </c>
      <c r="BY30" s="13">
        <f>IF('Données projet'!$A$114&gt;35,BY29+BX30-CG29,IF(A30&lt;'Données projet'!$A$114,$BV$205^A30,IF(A30='Données projet'!$A$114,'Données projet'!$B$114,BY29+BX30-CG29)))</f>
        <v>61.424999999999976</v>
      </c>
      <c r="BZ30" s="14">
        <f>BY30*VLOOKUP('Données projet'!$B$12,Paramètres!$A$1:$I$89,3,0)*VLOOKUP('Données projet'!$B$12,Paramètres!$A$1:$I$89,5,0)</f>
        <v>35.933624999999985</v>
      </c>
      <c r="CA30" s="14">
        <f t="shared" si="39"/>
        <v>10.914221818892726</v>
      </c>
      <c r="CB30" s="22">
        <f t="shared" si="10"/>
        <v>81.593333209571469</v>
      </c>
      <c r="CC30" s="62">
        <f t="shared" si="11"/>
        <v>374.9266665429048</v>
      </c>
      <c r="CD30" s="62">
        <f ca="1">AVERAGE(OFFSET($CC$3,0,0,'Données projet'!$E$12+1,1))-AVERAGE(OFFSET($H$3,0,0,'Données projet'!$E$12+1,1))</f>
        <v>49.695493809293282</v>
      </c>
      <c r="CE30" s="62">
        <f t="shared" si="40"/>
        <v>59.252884227831601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12.448799999999997</v>
      </c>
      <c r="D31" s="12">
        <f t="shared" si="32"/>
        <v>4.2776644527179615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129.11656770519127</v>
      </c>
      <c r="H31" s="70">
        <f t="shared" si="1"/>
        <v>322.46525892181711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2.2072237608843297</v>
      </c>
      <c r="N31" s="14">
        <f>IF('Données projet'!$A$36&gt;35,N30+M31-V30,IF(A31&lt;'Données projet'!$A$36,$K$205^A31,IF(A31='Données projet'!$A$36,'Données projet'!$B$36,N30+M31-V30)))</f>
        <v>36.916617260907458</v>
      </c>
      <c r="O31" s="14">
        <f>N31*VLOOKUP('Données projet'!$B$9,Paramètres!$A$1:$I$89,3,0)*VLOOKUP('Données projet'!$B$9,Paramètres!$A$1:$I$89,5,0)</f>
        <v>40.312946048910945</v>
      </c>
      <c r="P31" s="14">
        <f t="shared" si="33"/>
        <v>12.081555632428532</v>
      </c>
      <c r="Q31" s="22">
        <f t="shared" si="2"/>
        <v>91.253757094999585</v>
      </c>
      <c r="R31" s="62">
        <f t="shared" si="0"/>
        <v>384.58709042833289</v>
      </c>
      <c r="S31" s="62">
        <f ca="1">AVERAGE(OFFSET($R$3,0,0,'Données projet'!$E$9+1,1))-AVERAGE(OFFSET($H$3,0,0,'Données projet'!$E$9+1,1))</f>
        <v>308.00850473946429</v>
      </c>
      <c r="T31" s="62">
        <f t="shared" si="34"/>
        <v>70.709140667951715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47.792159999999988</v>
      </c>
      <c r="AK31" s="14">
        <f t="shared" si="35"/>
        <v>14.042085367056567</v>
      </c>
      <c r="AL31" s="22">
        <f t="shared" si="4"/>
        <v>107.69464401429015</v>
      </c>
      <c r="AM31" s="62">
        <f t="shared" si="5"/>
        <v>401.02797734762345</v>
      </c>
      <c r="AN31" s="62">
        <f ca="1">AVERAGE(OFFSET($AM$3,0,0,'Données projet'!$E$10+1,1))-AVERAGE(OFFSET($H$3,0,0,'Données projet'!$E$10+1,1))</f>
        <v>271.76512254565102</v>
      </c>
      <c r="AO31" s="62">
        <f t="shared" si="36"/>
        <v>99.160986083974535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1.4750000000000003</v>
      </c>
      <c r="BD31" s="13">
        <f>IF('Données projet'!$A$88&gt;35,BD30+BC31-BL30,IF(A31&lt;'Données projet'!$A$88,$BA$205^A31,IF(A31='Données projet'!$A$88,'Données projet'!$B$88,BD30+BC31-BL30)))</f>
        <v>35.633333333333347</v>
      </c>
      <c r="BE31" s="14">
        <f>BD31*VLOOKUP('Données projet'!$B$11,Paramètres!$A$1:$I$89,3,0)*VLOOKUP('Données projet'!$B$11,Paramètres!$A$1:$I$89,5,0)</f>
        <v>41.049600000000012</v>
      </c>
      <c r="BF31" s="14">
        <f t="shared" si="37"/>
        <v>12.276422741314166</v>
      </c>
      <c r="BG31" s="22">
        <f t="shared" si="7"/>
        <v>92.876156274455525</v>
      </c>
      <c r="BH31" s="62">
        <f t="shared" si="8"/>
        <v>386.20948960778884</v>
      </c>
      <c r="BI31" s="62">
        <f ca="1">AVERAGE(OFFSET($BH$3,0,0,'Données projet'!$E$11+1,1))-AVERAGE(OFFSET($H$3,0,0,'Données projet'!$E$11+1,1))</f>
        <v>43.16958872930951</v>
      </c>
      <c r="BJ31" s="62">
        <f t="shared" si="38"/>
        <v>69.202870643733547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2.2749999999999999</v>
      </c>
      <c r="BY31" s="13">
        <f>IF('Données projet'!$A$114&gt;35,BY30+BX31-CG30,IF(A31&lt;'Données projet'!$A$114,$BV$205^A31,IF(A31='Données projet'!$A$114,'Données projet'!$B$114,BY30+BX31-CG30)))</f>
        <v>63.699999999999974</v>
      </c>
      <c r="BZ31" s="14">
        <f>BY31*VLOOKUP('Données projet'!$B$12,Paramètres!$A$1:$I$89,3,0)*VLOOKUP('Données projet'!$B$12,Paramètres!$A$1:$I$89,5,0)</f>
        <v>37.264499999999984</v>
      </c>
      <c r="CA31" s="14">
        <f t="shared" si="39"/>
        <v>11.270640324905516</v>
      </c>
      <c r="CB31" s="22">
        <f t="shared" si="10"/>
        <v>84.53203606587708</v>
      </c>
      <c r="CC31" s="62">
        <f t="shared" si="11"/>
        <v>377.86536939921041</v>
      </c>
      <c r="CD31" s="62">
        <f ca="1">AVERAGE(OFFSET($CC$3,0,0,'Données projet'!$E$12+1,1))-AVERAGE(OFFSET($H$3,0,0,'Données projet'!$E$12+1,1))</f>
        <v>49.695493809293282</v>
      </c>
      <c r="CE31" s="62">
        <f t="shared" si="40"/>
        <v>59.252884227831601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12.893399999999996</v>
      </c>
      <c r="D32" s="12">
        <f t="shared" si="32"/>
        <v>4.4123783929992975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133.58846478806473</v>
      </c>
      <c r="H32" s="70">
        <f t="shared" si="1"/>
        <v>323.47423070114041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2.2072237608843297</v>
      </c>
      <c r="N32" s="14">
        <f>IF('Données projet'!$A$36&gt;35,N31+M32-V31,IF(A32&lt;'Données projet'!$A$36,$K$205^A32,IF(A32='Données projet'!$A$36,'Données projet'!$B$36,N31+M32-V31)))</f>
        <v>39.12384102179179</v>
      </c>
      <c r="O32" s="14">
        <f>N32*VLOOKUP('Données projet'!$B$9,Paramètres!$A$1:$I$89,3,0)*VLOOKUP('Données projet'!$B$9,Paramètres!$A$1:$I$89,5,0)</f>
        <v>42.723234395796631</v>
      </c>
      <c r="P32" s="14">
        <f t="shared" si="33"/>
        <v>12.717650469764013</v>
      </c>
      <c r="Q32" s="22">
        <f t="shared" si="2"/>
        <v>96.559541140851465</v>
      </c>
      <c r="R32" s="62">
        <f t="shared" si="0"/>
        <v>389.89287447418479</v>
      </c>
      <c r="S32" s="62">
        <f ca="1">AVERAGE(OFFSET($R$3,0,0,'Données projet'!$E$9+1,1))-AVERAGE(OFFSET($H$3,0,0,'Données projet'!$E$9+1,1))</f>
        <v>308.00850473946429</v>
      </c>
      <c r="T32" s="62">
        <f t="shared" si="34"/>
        <v>70.709140667951715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52.958879999999979</v>
      </c>
      <c r="AK32" s="14">
        <f t="shared" si="35"/>
        <v>15.375327718852537</v>
      </c>
      <c r="AL32" s="22">
        <f t="shared" si="4"/>
        <v>119.01541177700146</v>
      </c>
      <c r="AM32" s="62">
        <f t="shared" si="5"/>
        <v>412.34874511033479</v>
      </c>
      <c r="AN32" s="62">
        <f ca="1">AVERAGE(OFFSET($AM$3,0,0,'Données projet'!$E$10+1,1))-AVERAGE(OFFSET($H$3,0,0,'Données projet'!$E$10+1,1))</f>
        <v>271.76512254565102</v>
      </c>
      <c r="AO32" s="62">
        <f t="shared" si="36"/>
        <v>99.160986083974535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1.4750000000000003</v>
      </c>
      <c r="BD32" s="13">
        <f>IF('Données projet'!$A$88&gt;35,BD31+BC32-BL31,IF(A32&lt;'Données projet'!$A$88,$BA$205^A32,IF(A32='Données projet'!$A$88,'Données projet'!$B$88,BD31+BC32-BL31)))</f>
        <v>37.108333333333348</v>
      </c>
      <c r="BE32" s="14">
        <f>BD32*VLOOKUP('Données projet'!$B$11,Paramètres!$A$1:$I$89,3,0)*VLOOKUP('Données projet'!$B$11,Paramètres!$A$1:$I$89,5,0)</f>
        <v>42.748800000000017</v>
      </c>
      <c r="BF32" s="14">
        <f t="shared" si="37"/>
        <v>12.724374650948475</v>
      </c>
      <c r="BG32" s="22">
        <f t="shared" si="7"/>
        <v>96.615779183735299</v>
      </c>
      <c r="BH32" s="62">
        <f t="shared" si="8"/>
        <v>389.94911251706861</v>
      </c>
      <c r="BI32" s="62">
        <f ca="1">AVERAGE(OFFSET($BH$3,0,0,'Données projet'!$E$11+1,1))-AVERAGE(OFFSET($H$3,0,0,'Données projet'!$E$11+1,1))</f>
        <v>43.16958872930951</v>
      </c>
      <c r="BJ32" s="62">
        <f t="shared" si="38"/>
        <v>69.202870643733547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2.2749999999999999</v>
      </c>
      <c r="BY32" s="13">
        <f>IF('Données projet'!$A$114&gt;35,BY31+BX32-CG31,IF(A32&lt;'Données projet'!$A$114,$BV$205^A32,IF(A32='Données projet'!$A$114,'Données projet'!$B$114,BY31+BX32-CG31)))</f>
        <v>65.97499999999998</v>
      </c>
      <c r="BZ32" s="14">
        <f>BY32*VLOOKUP('Données projet'!$B$12,Paramètres!$A$1:$I$89,3,0)*VLOOKUP('Données projet'!$B$12,Paramètres!$A$1:$I$89,5,0)</f>
        <v>38.59537499999999</v>
      </c>
      <c r="CA32" s="14">
        <f t="shared" si="39"/>
        <v>11.625579891681737</v>
      </c>
      <c r="CB32" s="22">
        <f t="shared" si="10"/>
        <v>87.46816310301233</v>
      </c>
      <c r="CC32" s="62">
        <f t="shared" si="11"/>
        <v>380.80149643634564</v>
      </c>
      <c r="CD32" s="62">
        <f ca="1">AVERAGE(OFFSET($CC$3,0,0,'Données projet'!$E$12+1,1))-AVERAGE(OFFSET($H$3,0,0,'Données projet'!$E$12+1,1))</f>
        <v>49.695493809293282</v>
      </c>
      <c r="CE32" s="62">
        <f t="shared" si="40"/>
        <v>59.252884227831601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13.337999999999996</v>
      </c>
      <c r="D33" s="12">
        <f t="shared" si="32"/>
        <v>4.5465525901071517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138.05619543240607</v>
      </c>
      <c r="H33" s="70">
        <f t="shared" si="1"/>
        <v>324.48226242776991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41.331064782676115</v>
      </c>
      <c r="L33" s="13">
        <f>VLOOKUP(A33,'Données projet'!$A$35:$I$55,9,0)</f>
        <v>2.2072237608843297</v>
      </c>
      <c r="M33" s="13">
        <f t="array" ref="M33">INDEX(L:L,MIN(IF(ISNUMBER(L33:L229),ROW(L33:L229),"")))</f>
        <v>2.2072237608843297</v>
      </c>
      <c r="N33" s="14">
        <f>IF('Données projet'!$A$36&gt;35,N32+M33-V32,IF(A33&lt;'Données projet'!$A$36,$K$205^A33,IF(A33='Données projet'!$A$36,'Données projet'!$B$36,N32+M33-V32)))</f>
        <v>41.331064782676123</v>
      </c>
      <c r="O33" s="14">
        <f>N33*VLOOKUP('Données projet'!$B$9,Paramètres!$A$1:$I$89,3,0)*VLOOKUP('Données projet'!$B$9,Paramètres!$A$1:$I$89,5,0)</f>
        <v>45.133522742682324</v>
      </c>
      <c r="P33" s="14">
        <f t="shared" si="33"/>
        <v>13.349579513234426</v>
      </c>
      <c r="Q33" s="22">
        <f t="shared" si="2"/>
        <v>101.85806976238833</v>
      </c>
      <c r="R33" s="62">
        <f t="shared" si="0"/>
        <v>395.19140309572163</v>
      </c>
      <c r="S33" s="62">
        <f ca="1">AVERAGE(OFFSET($R$3,0,0,'Données projet'!$E$9+1,1))-AVERAGE(OFFSET($H$3,0,0,'Données projet'!$E$9+1,1))</f>
        <v>308.00850473946429</v>
      </c>
      <c r="T33" s="62">
        <f t="shared" si="34"/>
        <v>70.709140667951715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58.125599999999977</v>
      </c>
      <c r="AK33" s="14">
        <f t="shared" si="35"/>
        <v>16.693490054590161</v>
      </c>
      <c r="AL33" s="22">
        <f t="shared" si="4"/>
        <v>130.30991517841116</v>
      </c>
      <c r="AM33" s="62">
        <f t="shared" si="5"/>
        <v>423.64324851174445</v>
      </c>
      <c r="AN33" s="62">
        <f ca="1">AVERAGE(OFFSET($AM$3,0,0,'Données projet'!$E$10+1,1))-AVERAGE(OFFSET($H$3,0,0,'Données projet'!$E$10+1,1))</f>
        <v>271.76512254565102</v>
      </c>
      <c r="AO33" s="62">
        <f t="shared" si="36"/>
        <v>99.160986083974535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38.583333333333336</v>
      </c>
      <c r="BB33" s="13">
        <f>VLOOKUP(A33,'Données projet'!$A$87:$I$107,9,0)</f>
        <v>1.4750000000000003</v>
      </c>
      <c r="BC33" s="13">
        <f t="array" ref="BC33">INDEX(BB:BB,MIN(IF(ISNUMBER(BB33:BB229),ROW(BB33:BB229),"")))</f>
        <v>1.4750000000000003</v>
      </c>
      <c r="BD33" s="13">
        <f>IF('Données projet'!$A$88&gt;35,BD32+BC33-BL32,IF(A33&lt;'Données projet'!$A$88,$BA$205^A33,IF(A33='Données projet'!$A$88,'Données projet'!$B$88,BD32+BC33-BL32)))</f>
        <v>38.58333333333335</v>
      </c>
      <c r="BE33" s="14">
        <f>BD33*VLOOKUP('Données projet'!$B$11,Paramètres!$A$1:$I$89,3,0)*VLOOKUP('Données projet'!$B$11,Paramètres!$A$1:$I$89,5,0)</f>
        <v>44.448000000000015</v>
      </c>
      <c r="BF33" s="14">
        <f t="shared" si="37"/>
        <v>13.170258222872782</v>
      </c>
      <c r="BG33" s="22">
        <f t="shared" si="7"/>
        <v>100.35179973817013</v>
      </c>
      <c r="BH33" s="62">
        <f t="shared" si="8"/>
        <v>393.68513307150346</v>
      </c>
      <c r="BI33" s="62">
        <f ca="1">AVERAGE(OFFSET($BH$3,0,0,'Données projet'!$E$11+1,1))-AVERAGE(OFFSET($H$3,0,0,'Données projet'!$E$11+1,1))</f>
        <v>43.16958872930951</v>
      </c>
      <c r="BJ33" s="62">
        <f t="shared" si="38"/>
        <v>69.202870643733547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10.333333333333334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2.2749999999999999</v>
      </c>
      <c r="BY33" s="13">
        <f>IF('Données projet'!$A$114&gt;35,BY32+BX33-CG32,IF(A33&lt;'Données projet'!$A$114,$BV$205^A33,IF(A33='Données projet'!$A$114,'Données projet'!$B$114,BY32+BX33-CG32)))</f>
        <v>68.249999999999986</v>
      </c>
      <c r="BZ33" s="14">
        <f>BY33*VLOOKUP('Données projet'!$B$12,Paramètres!$A$1:$I$89,3,0)*VLOOKUP('Données projet'!$B$12,Paramètres!$A$1:$I$89,5,0)</f>
        <v>39.926249999999996</v>
      </c>
      <c r="CA33" s="14">
        <f t="shared" si="39"/>
        <v>11.979097362067884</v>
      </c>
      <c r="CB33" s="22">
        <f t="shared" si="10"/>
        <v>90.401813322268211</v>
      </c>
      <c r="CC33" s="62">
        <f t="shared" si="11"/>
        <v>383.73514665560151</v>
      </c>
      <c r="CD33" s="62">
        <f ca="1">AVERAGE(OFFSET($CC$3,0,0,'Données projet'!$E$12+1,1))-AVERAGE(OFFSET($H$3,0,0,'Données projet'!$E$12+1,1))</f>
        <v>49.695493809293282</v>
      </c>
      <c r="CE33" s="62">
        <f t="shared" si="40"/>
        <v>59.252884227831601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13.782599999999995</v>
      </c>
      <c r="D34" s="12">
        <f t="shared" si="32"/>
        <v>4.6802070983115751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142.51991444310687</v>
      </c>
      <c r="H34" s="70">
        <f t="shared" si="1"/>
        <v>325.48938902955933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0.88523987988327002</v>
      </c>
      <c r="N34" s="14">
        <f>IF('Données projet'!$A$36&gt;35,N33+M34-V33,IF(A34&lt;'Données projet'!$A$36,$K$205^A34,IF(A34='Données projet'!$A$36,'Données projet'!$B$36,N33+M34-V33)))</f>
        <v>42.216304662559395</v>
      </c>
      <c r="O34" s="14">
        <f>N34*VLOOKUP('Données projet'!$B$9,Paramètres!$A$1:$I$89,3,0)*VLOOKUP('Données projet'!$B$9,Paramètres!$A$1:$I$89,5,0)</f>
        <v>46.100204691514854</v>
      </c>
      <c r="P34" s="14">
        <f t="shared" si="33"/>
        <v>13.601910297665411</v>
      </c>
      <c r="Q34" s="22">
        <f t="shared" si="2"/>
        <v>103.98118360615562</v>
      </c>
      <c r="R34" s="62">
        <f t="shared" si="0"/>
        <v>397.31451693948895</v>
      </c>
      <c r="S34" s="62">
        <f ca="1">AVERAGE(OFFSET($R$3,0,0,'Données projet'!$E$9+1,1))-AVERAGE(OFFSET($H$3,0,0,'Données projet'!$E$9+1,1))</f>
        <v>308.00850473946429</v>
      </c>
      <c r="T34" s="62">
        <f t="shared" si="34"/>
        <v>70.709140667951715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63.507599999999982</v>
      </c>
      <c r="AK34" s="14">
        <f t="shared" si="35"/>
        <v>18.052146695841799</v>
      </c>
      <c r="AL34" s="22">
        <f t="shared" si="4"/>
        <v>142.04989216192442</v>
      </c>
      <c r="AM34" s="62">
        <f t="shared" si="5"/>
        <v>435.38322549525776</v>
      </c>
      <c r="AN34" s="62">
        <f ca="1">AVERAGE(OFFSET($AM$3,0,0,'Données projet'!$E$10+1,1))-AVERAGE(OFFSET($H$3,0,0,'Données projet'!$E$10+1,1))</f>
        <v>271.76512254565102</v>
      </c>
      <c r="AO34" s="62">
        <f t="shared" si="36"/>
        <v>99.160986083974535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1.3375000000000008</v>
      </c>
      <c r="BD34" s="13">
        <f>IF('Données projet'!$A$88&gt;35,BD33+BC34-BL33,IF(A34&lt;'Données projet'!$A$88,$BA$205^A34,IF(A34='Données projet'!$A$88,'Données projet'!$B$88,BD33+BC34-BL33)))</f>
        <v>29.587500000000013</v>
      </c>
      <c r="BE34" s="14">
        <f>BD34*VLOOKUP('Données projet'!$B$11,Paramètres!$A$1:$I$89,3,0)*VLOOKUP('Données projet'!$B$11,Paramètres!$A$1:$I$89,5,0)</f>
        <v>34.084800000000008</v>
      </c>
      <c r="BF34" s="14">
        <f t="shared" si="37"/>
        <v>10.416522195579516</v>
      </c>
      <c r="BG34" s="22">
        <f t="shared" si="7"/>
        <v>77.506469490634331</v>
      </c>
      <c r="BH34" s="62">
        <f t="shared" si="8"/>
        <v>370.83980282396766</v>
      </c>
      <c r="BI34" s="62">
        <f ca="1">AVERAGE(OFFSET($BH$3,0,0,'Données projet'!$E$11+1,1))-AVERAGE(OFFSET($H$3,0,0,'Données projet'!$E$11+1,1))</f>
        <v>43.16958872930951</v>
      </c>
      <c r="BJ34" s="62">
        <f t="shared" si="38"/>
        <v>69.202870643733547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2.2749999999999999</v>
      </c>
      <c r="BY34" s="13">
        <f>IF('Données projet'!$A$114&gt;35,BY33+BX34-CG33,IF(A34&lt;'Données projet'!$A$114,$BV$205^A34,IF(A34='Données projet'!$A$114,'Données projet'!$B$114,BY33+BX34-CG33)))</f>
        <v>70.524999999999991</v>
      </c>
      <c r="BZ34" s="14">
        <f>BY34*VLOOKUP('Données projet'!$B$12,Paramètres!$A$1:$I$89,3,0)*VLOOKUP('Données projet'!$B$12,Paramètres!$A$1:$I$89,5,0)</f>
        <v>41.257125000000002</v>
      </c>
      <c r="CA34" s="14">
        <f t="shared" si="39"/>
        <v>12.331245574351591</v>
      </c>
      <c r="CB34" s="22">
        <f t="shared" si="10"/>
        <v>93.333078750329022</v>
      </c>
      <c r="CC34" s="62">
        <f t="shared" si="11"/>
        <v>386.66641208366235</v>
      </c>
      <c r="CD34" s="62">
        <f ca="1">AVERAGE(OFFSET($CC$3,0,0,'Données projet'!$E$12+1,1))-AVERAGE(OFFSET($H$3,0,0,'Données projet'!$E$12+1,1))</f>
        <v>49.695493809293282</v>
      </c>
      <c r="CE34" s="62">
        <f t="shared" si="40"/>
        <v>59.252884227831601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14.227199999999995</v>
      </c>
      <c r="D35" s="12">
        <f t="shared" si="32"/>
        <v>4.8133606046051574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146.97976607063626</v>
      </c>
      <c r="H35" s="70">
        <f t="shared" si="1"/>
        <v>326.49564305302061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0.88523987988327002</v>
      </c>
      <c r="N35" s="14">
        <f>IF('Données projet'!$A$36&gt;35,N34+M35-V34,IF(A35&lt;'Données projet'!$A$36,$K$205^A35,IF(A35='Données projet'!$A$36,'Données projet'!$B$36,N34+M35-V34)))</f>
        <v>43.101544542442667</v>
      </c>
      <c r="O35" s="14">
        <f>N35*VLOOKUP('Données projet'!$B$9,Paramètres!$A$1:$I$89,3,0)*VLOOKUP('Données projet'!$B$9,Paramètres!$A$1:$I$89,5,0)</f>
        <v>47.066886640347391</v>
      </c>
      <c r="P35" s="14">
        <f t="shared" si="33"/>
        <v>13.853625894303358</v>
      </c>
      <c r="Q35" s="22">
        <f t="shared" ref="Q35:Q66" si="53">(O35+P35)*0.475*44/12</f>
        <v>106.10322599785003</v>
      </c>
      <c r="R35" s="62">
        <f t="shared" si="0"/>
        <v>399.43655933118333</v>
      </c>
      <c r="S35" s="62">
        <f ca="1">AVERAGE(OFFSET($R$3,0,0,'Données projet'!$E$9+1,1))-AVERAGE(OFFSET($H$3,0,0,'Données projet'!$E$9+1,1))</f>
        <v>308.00850473946429</v>
      </c>
      <c r="T35" s="62">
        <f t="shared" si="34"/>
        <v>70.709140667951715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68.889599999999987</v>
      </c>
      <c r="AK35" s="14">
        <f t="shared" si="35"/>
        <v>19.397450021635805</v>
      </c>
      <c r="AL35" s="22">
        <f t="shared" si="4"/>
        <v>153.76661212101567</v>
      </c>
      <c r="AM35" s="62">
        <f t="shared" si="5"/>
        <v>447.09994545434898</v>
      </c>
      <c r="AN35" s="62">
        <f ca="1">AVERAGE(OFFSET($AM$3,0,0,'Données projet'!$E$10+1,1))-AVERAGE(OFFSET($H$3,0,0,'Données projet'!$E$10+1,1))</f>
        <v>271.76512254565102</v>
      </c>
      <c r="AO35" s="62">
        <f t="shared" si="36"/>
        <v>99.160986083974535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1.3375000000000008</v>
      </c>
      <c r="BD35" s="13">
        <f>IF('Données projet'!$A$88&gt;35,BD34+BC35-BL34,IF(A35&lt;'Données projet'!$A$88,$BA$205^A35,IF(A35='Données projet'!$A$88,'Données projet'!$B$88,BD34+BC35-BL34)))</f>
        <v>30.925000000000015</v>
      </c>
      <c r="BE35" s="14">
        <f>BD35*VLOOKUP('Données projet'!$B$11,Paramètres!$A$1:$I$89,3,0)*VLOOKUP('Données projet'!$B$11,Paramètres!$A$1:$I$89,5,0)</f>
        <v>35.625600000000013</v>
      </c>
      <c r="BF35" s="14">
        <f t="shared" si="37"/>
        <v>10.831513208358988</v>
      </c>
      <c r="BG35" s="22">
        <f t="shared" si="7"/>
        <v>80.912805504558591</v>
      </c>
      <c r="BH35" s="62">
        <f t="shared" si="8"/>
        <v>374.24613883789192</v>
      </c>
      <c r="BI35" s="62">
        <f ca="1">AVERAGE(OFFSET($BH$3,0,0,'Données projet'!$E$11+1,1))-AVERAGE(OFFSET($H$3,0,0,'Données projet'!$E$11+1,1))</f>
        <v>43.16958872930951</v>
      </c>
      <c r="BJ35" s="62">
        <f t="shared" si="38"/>
        <v>69.202870643733547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2.2749999999999999</v>
      </c>
      <c r="BY35" s="13">
        <f>IF('Données projet'!$A$114&gt;35,BY34+BX35-CG34,IF(A35&lt;'Données projet'!$A$114,$BV$205^A35,IF(A35='Données projet'!$A$114,'Données projet'!$B$114,BY34+BX35-CG34)))</f>
        <v>72.8</v>
      </c>
      <c r="BZ35" s="14">
        <f>BY35*VLOOKUP('Données projet'!$B$12,Paramètres!$A$1:$I$89,3,0)*VLOOKUP('Données projet'!$B$12,Paramètres!$A$1:$I$89,5,0)</f>
        <v>42.588000000000001</v>
      </c>
      <c r="CA35" s="14">
        <f t="shared" si="39"/>
        <v>12.682073764365764</v>
      </c>
      <c r="CB35" s="22">
        <f t="shared" si="10"/>
        <v>96.262045139603686</v>
      </c>
      <c r="CC35" s="62">
        <f t="shared" si="11"/>
        <v>389.595378472937</v>
      </c>
      <c r="CD35" s="62">
        <f ca="1">AVERAGE(OFFSET($CC$3,0,0,'Données projet'!$E$12+1,1))-AVERAGE(OFFSET($H$3,0,0,'Données projet'!$E$12+1,1))</f>
        <v>49.695493809293282</v>
      </c>
      <c r="CE35" s="62">
        <f t="shared" si="40"/>
        <v>59.252884227831601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14.671799999999994</v>
      </c>
      <c r="D36" s="12">
        <f t="shared" si="32"/>
        <v>4.9460305617050713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151.43588503772332</v>
      </c>
      <c r="H36" s="70">
        <f t="shared" si="1"/>
        <v>327.50105489496963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0.88523987988327002</v>
      </c>
      <c r="N36" s="14">
        <f>IF('Données projet'!$A$36&gt;35,N35+M36-V35,IF(A36&lt;'Données projet'!$A$36,$K$205^A36,IF(A36='Données projet'!$A$36,'Données projet'!$B$36,N35+M36-V35)))</f>
        <v>43.98678442232594</v>
      </c>
      <c r="O36" s="14">
        <f>N36*VLOOKUP('Données projet'!$B$9,Paramètres!$A$1:$I$89,3,0)*VLOOKUP('Données projet'!$B$9,Paramètres!$A$1:$I$89,5,0)</f>
        <v>48.033568589179922</v>
      </c>
      <c r="P36" s="14">
        <f t="shared" si="33"/>
        <v>14.104740394033938</v>
      </c>
      <c r="Q36" s="22">
        <f t="shared" si="53"/>
        <v>108.22422147909747</v>
      </c>
      <c r="R36" s="62">
        <f t="shared" si="0"/>
        <v>401.55755481243079</v>
      </c>
      <c r="S36" s="62">
        <f ca="1">AVERAGE(OFFSET($R$3,0,0,'Données projet'!$E$9+1,1))-AVERAGE(OFFSET($H$3,0,0,'Données projet'!$E$9+1,1))</f>
        <v>308.00850473946429</v>
      </c>
      <c r="T36" s="62">
        <f t="shared" si="34"/>
        <v>70.709140667951715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74.271599999999978</v>
      </c>
      <c r="AK36" s="14">
        <f t="shared" si="35"/>
        <v>20.730561869473863</v>
      </c>
      <c r="AL36" s="22">
        <f t="shared" si="4"/>
        <v>165.46209858933358</v>
      </c>
      <c r="AM36" s="62">
        <f t="shared" si="5"/>
        <v>458.79543192266692</v>
      </c>
      <c r="AN36" s="62">
        <f ca="1">AVERAGE(OFFSET($AM$3,0,0,'Données projet'!$E$10+1,1))-AVERAGE(OFFSET($H$3,0,0,'Données projet'!$E$10+1,1))</f>
        <v>271.76512254565102</v>
      </c>
      <c r="AO36" s="62">
        <f t="shared" si="36"/>
        <v>99.160986083974535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1.3375000000000008</v>
      </c>
      <c r="BD36" s="13">
        <f>IF('Données projet'!$A$88&gt;35,BD35+BC36-BL35,IF(A36&lt;'Données projet'!$A$88,$BA$205^A36,IF(A36='Données projet'!$A$88,'Données projet'!$B$88,BD35+BC36-BL35)))</f>
        <v>32.262500000000017</v>
      </c>
      <c r="BE36" s="14">
        <f>BD36*VLOOKUP('Données projet'!$B$11,Paramètres!$A$1:$I$89,3,0)*VLOOKUP('Données projet'!$B$11,Paramètres!$A$1:$I$89,5,0)</f>
        <v>37.166400000000017</v>
      </c>
      <c r="BF36" s="14">
        <f t="shared" si="37"/>
        <v>11.244419605285193</v>
      </c>
      <c r="BG36" s="22">
        <f t="shared" si="7"/>
        <v>84.315510812538406</v>
      </c>
      <c r="BH36" s="62">
        <f t="shared" si="8"/>
        <v>377.64884414587175</v>
      </c>
      <c r="BI36" s="62">
        <f ca="1">AVERAGE(OFFSET($BH$3,0,0,'Données projet'!$E$11+1,1))-AVERAGE(OFFSET($H$3,0,0,'Données projet'!$E$11+1,1))</f>
        <v>43.16958872930951</v>
      </c>
      <c r="BJ36" s="62">
        <f t="shared" si="38"/>
        <v>69.202870643733547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2.2749999999999999</v>
      </c>
      <c r="BY36" s="13">
        <f>IF('Données projet'!$A$114&gt;35,BY35+BX36-CG35,IF(A36&lt;'Données projet'!$A$114,$BV$205^A36,IF(A36='Données projet'!$A$114,'Données projet'!$B$114,BY35+BX36-CG35)))</f>
        <v>75.075000000000003</v>
      </c>
      <c r="BZ36" s="14">
        <f>BY36*VLOOKUP('Données projet'!$B$12,Paramètres!$A$1:$I$89,3,0)*VLOOKUP('Données projet'!$B$12,Paramètres!$A$1:$I$89,5,0)</f>
        <v>43.918875000000007</v>
      </c>
      <c r="CA36" s="14">
        <f t="shared" si="39"/>
        <v>13.031627915917722</v>
      </c>
      <c r="CB36" s="22">
        <f t="shared" si="10"/>
        <v>99.188792578556715</v>
      </c>
      <c r="CC36" s="62">
        <f t="shared" si="11"/>
        <v>392.52212591189004</v>
      </c>
      <c r="CD36" s="62">
        <f ca="1">AVERAGE(OFFSET($CC$3,0,0,'Données projet'!$E$12+1,1))-AVERAGE(OFFSET($H$3,0,0,'Données projet'!$E$12+1,1))</f>
        <v>49.695493809293282</v>
      </c>
      <c r="CE36" s="62">
        <f t="shared" si="40"/>
        <v>59.252884227831601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15.116399999999993</v>
      </c>
      <c r="D37" s="12">
        <f t="shared" si="32"/>
        <v>5.0782333044806913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155.88839743809652</v>
      </c>
      <c r="H37" s="70">
        <f t="shared" si="1"/>
        <v>328.50565300530383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0.88523987988327002</v>
      </c>
      <c r="N37" s="14">
        <f>IF('Données projet'!$A$36&gt;35,N36+M37-V36,IF(A37&lt;'Données projet'!$A$36,$K$205^A37,IF(A37='Données projet'!$A$36,'Données projet'!$B$36,N36+M37-V36)))</f>
        <v>44.872024302209212</v>
      </c>
      <c r="O37" s="14">
        <f>N37*VLOOKUP('Données projet'!$B$9,Paramètres!$A$1:$I$89,3,0)*VLOOKUP('Données projet'!$B$9,Paramètres!$A$1:$I$89,5,0)</f>
        <v>49.000250538012459</v>
      </c>
      <c r="P37" s="14">
        <f t="shared" si="33"/>
        <v>14.355267288153136</v>
      </c>
      <c r="Q37" s="22">
        <f t="shared" si="53"/>
        <v>110.34419354723842</v>
      </c>
      <c r="R37" s="62">
        <f t="shared" si="0"/>
        <v>403.67752688057175</v>
      </c>
      <c r="S37" s="62">
        <f ca="1">AVERAGE(OFFSET($R$3,0,0,'Données projet'!$E$9+1,1))-AVERAGE(OFFSET($H$3,0,0,'Données projet'!$E$9+1,1))</f>
        <v>308.00850473946429</v>
      </c>
      <c r="T37" s="62">
        <f t="shared" si="34"/>
        <v>70.709140667951715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79.653599999999983</v>
      </c>
      <c r="AK37" s="14">
        <f t="shared" si="35"/>
        <v>22.052466149308238</v>
      </c>
      <c r="AL37" s="22">
        <f t="shared" si="4"/>
        <v>177.13806521004514</v>
      </c>
      <c r="AM37" s="62">
        <f t="shared" si="5"/>
        <v>470.47139854337843</v>
      </c>
      <c r="AN37" s="62">
        <f ca="1">AVERAGE(OFFSET($AM$3,0,0,'Données projet'!$E$10+1,1))-AVERAGE(OFFSET($H$3,0,0,'Données projet'!$E$10+1,1))</f>
        <v>271.76512254565102</v>
      </c>
      <c r="AO37" s="62">
        <f t="shared" si="36"/>
        <v>99.160986083974535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1.3375000000000008</v>
      </c>
      <c r="BD37" s="13">
        <f>IF('Données projet'!$A$88&gt;35,BD36+BC37-BL36,IF(A37&lt;'Données projet'!$A$88,$BA$205^A37,IF(A37='Données projet'!$A$88,'Données projet'!$B$88,BD36+BC37-BL36)))</f>
        <v>33.600000000000016</v>
      </c>
      <c r="BE37" s="14">
        <f>BD37*VLOOKUP('Données projet'!$B$11,Paramètres!$A$1:$I$89,3,0)*VLOOKUP('Données projet'!$B$11,Paramètres!$A$1:$I$89,5,0)</f>
        <v>38.707200000000014</v>
      </c>
      <c r="BF37" s="14">
        <f t="shared" si="37"/>
        <v>11.655337691165865</v>
      </c>
      <c r="BG37" s="22">
        <f t="shared" si="7"/>
        <v>87.714753145447233</v>
      </c>
      <c r="BH37" s="62">
        <f t="shared" si="8"/>
        <v>381.04808647878053</v>
      </c>
      <c r="BI37" s="62">
        <f ca="1">AVERAGE(OFFSET($BH$3,0,0,'Données projet'!$E$11+1,1))-AVERAGE(OFFSET($H$3,0,0,'Données projet'!$E$11+1,1))</f>
        <v>43.16958872930951</v>
      </c>
      <c r="BJ37" s="62">
        <f t="shared" si="38"/>
        <v>69.202870643733547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2.2749999999999999</v>
      </c>
      <c r="BY37" s="13">
        <f>IF('Données projet'!$A$114&gt;35,BY36+BX37-CG36,IF(A37&lt;'Données projet'!$A$114,$BV$205^A37,IF(A37='Données projet'!$A$114,'Données projet'!$B$114,BY36+BX37-CG36)))</f>
        <v>77.350000000000009</v>
      </c>
      <c r="BZ37" s="14">
        <f>BY37*VLOOKUP('Données projet'!$B$12,Paramètres!$A$1:$I$89,3,0)*VLOOKUP('Données projet'!$B$12,Paramètres!$A$1:$I$89,5,0)</f>
        <v>45.249750000000006</v>
      </c>
      <c r="CA37" s="14">
        <f t="shared" si="39"/>
        <v>13.379951067548575</v>
      </c>
      <c r="CB37" s="22">
        <f t="shared" si="10"/>
        <v>102.11339602598044</v>
      </c>
      <c r="CC37" s="62">
        <f t="shared" si="11"/>
        <v>395.44672935931374</v>
      </c>
      <c r="CD37" s="62">
        <f ca="1">AVERAGE(OFFSET($CC$3,0,0,'Données projet'!$E$12+1,1))-AVERAGE(OFFSET($H$3,0,0,'Données projet'!$E$12+1,1))</f>
        <v>49.695493809293282</v>
      </c>
      <c r="CE37" s="62">
        <f t="shared" si="40"/>
        <v>59.252884227831601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15.560999999999993</v>
      </c>
      <c r="D38" s="12">
        <f t="shared" si="32"/>
        <v>5.2099841522989676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160.33742152651831</v>
      </c>
      <c r="H38" s="70">
        <f t="shared" si="1"/>
        <v>329.50946406525401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0.88523987988327002</v>
      </c>
      <c r="N38" s="14">
        <f>IF('Données projet'!$A$36&gt;35,N37+M38-V37,IF(A38&lt;'Données projet'!$A$36,$K$205^A38,IF(A38='Données projet'!$A$36,'Données projet'!$B$36,N37+M38-V37)))</f>
        <v>45.757264182092484</v>
      </c>
      <c r="O38" s="14">
        <f>N38*VLOOKUP('Données projet'!$B$9,Paramètres!$A$1:$I$89,3,0)*VLOOKUP('Données projet'!$B$9,Paramètres!$A$1:$I$89,5,0)</f>
        <v>49.966932486844989</v>
      </c>
      <c r="P38" s="14">
        <f t="shared" si="33"/>
        <v>14.605219505197647</v>
      </c>
      <c r="Q38" s="22">
        <f t="shared" si="53"/>
        <v>112.46316471947425</v>
      </c>
      <c r="R38" s="62">
        <f t="shared" si="0"/>
        <v>405.79649805280758</v>
      </c>
      <c r="S38" s="62">
        <f ca="1">AVERAGE(OFFSET($R$3,0,0,'Données projet'!$E$9+1,1))-AVERAGE(OFFSET($H$3,0,0,'Données projet'!$E$9+1,1))</f>
        <v>308.00850473946429</v>
      </c>
      <c r="T38" s="62">
        <f t="shared" si="34"/>
        <v>70.709140667951715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85.035599999999974</v>
      </c>
      <c r="AK38" s="14">
        <f t="shared" si="35"/>
        <v>23.364006286119412</v>
      </c>
      <c r="AL38" s="22">
        <f t="shared" si="4"/>
        <v>188.79598094832463</v>
      </c>
      <c r="AM38" s="62">
        <f t="shared" si="5"/>
        <v>482.12931428165791</v>
      </c>
      <c r="AN38" s="62">
        <f ca="1">AVERAGE(OFFSET($AM$3,0,0,'Données projet'!$E$10+1,1))-AVERAGE(OFFSET($H$3,0,0,'Données projet'!$E$10+1,1))</f>
        <v>271.76512254565102</v>
      </c>
      <c r="AO38" s="62">
        <f t="shared" si="36"/>
        <v>99.160986083974535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1.3375000000000008</v>
      </c>
      <c r="BD38" s="13">
        <f>IF('Données projet'!$A$88&gt;35,BD37+BC38-BL37,IF(A38&lt;'Données projet'!$A$88,$BA$205^A38,IF(A38='Données projet'!$A$88,'Données projet'!$B$88,BD37+BC38-BL37)))</f>
        <v>34.937500000000014</v>
      </c>
      <c r="BE38" s="14">
        <f>BD38*VLOOKUP('Données projet'!$B$11,Paramètres!$A$1:$I$89,3,0)*VLOOKUP('Données projet'!$B$11,Paramètres!$A$1:$I$89,5,0)</f>
        <v>40.248000000000012</v>
      </c>
      <c r="BF38" s="14">
        <f t="shared" si="37"/>
        <v>12.064355669675363</v>
      </c>
      <c r="BG38" s="22">
        <f t="shared" si="7"/>
        <v>91.110686124684605</v>
      </c>
      <c r="BH38" s="62">
        <f t="shared" si="8"/>
        <v>384.44401945801792</v>
      </c>
      <c r="BI38" s="62">
        <f ca="1">AVERAGE(OFFSET($BH$3,0,0,'Données projet'!$E$11+1,1))-AVERAGE(OFFSET($H$3,0,0,'Données projet'!$E$11+1,1))</f>
        <v>43.16958872930951</v>
      </c>
      <c r="BJ38" s="62">
        <f t="shared" si="38"/>
        <v>69.202870643733547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2.2749999999999999</v>
      </c>
      <c r="BY38" s="13">
        <f>IF('Données projet'!$A$114&gt;35,BY37+BX38-CG37,IF(A38&lt;'Données projet'!$A$114,$BV$205^A38,IF(A38='Données projet'!$A$114,'Données projet'!$B$114,BY37+BX38-CG37)))</f>
        <v>79.625000000000014</v>
      </c>
      <c r="BZ38" s="14">
        <f>BY38*VLOOKUP('Données projet'!$B$12,Paramètres!$A$1:$I$89,3,0)*VLOOKUP('Données projet'!$B$12,Paramètres!$A$1:$I$89,5,0)</f>
        <v>46.580625000000005</v>
      </c>
      <c r="CA38" s="14">
        <f t="shared" si="39"/>
        <v>13.727083582189291</v>
      </c>
      <c r="CB38" s="22">
        <f t="shared" si="10"/>
        <v>105.03592578064634</v>
      </c>
      <c r="CC38" s="62">
        <f t="shared" si="11"/>
        <v>398.36925911397964</v>
      </c>
      <c r="CD38" s="62">
        <f ca="1">AVERAGE(OFFSET($CC$3,0,0,'Données projet'!$E$12+1,1))-AVERAGE(OFFSET($H$3,0,0,'Données projet'!$E$12+1,1))</f>
        <v>49.695493809293282</v>
      </c>
      <c r="CE38" s="62">
        <f t="shared" si="40"/>
        <v>59.252884227831601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16.005599999999994</v>
      </c>
      <c r="D39" s="12">
        <f t="shared" si="32"/>
        <v>5.3412974993444138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164.78306841599192</v>
      </c>
      <c r="H39" s="70">
        <f t="shared" si="1"/>
        <v>330.51251314469147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0.88523987988327002</v>
      </c>
      <c r="N39" s="14">
        <f>IF('Données projet'!$A$36&gt;35,N38+M39-V38,IF(A39&lt;'Données projet'!$A$36,$K$205^A39,IF(A39='Données projet'!$A$36,'Données projet'!$B$36,N38+M39-V38)))</f>
        <v>46.642504061975757</v>
      </c>
      <c r="O39" s="14">
        <f>N39*VLOOKUP('Données projet'!$B$9,Paramètres!$A$1:$I$89,3,0)*VLOOKUP('Données projet'!$B$9,Paramètres!$A$1:$I$89,5,0)</f>
        <v>50.933614435677526</v>
      </c>
      <c r="P39" s="14">
        <f t="shared" si="33"/>
        <v>14.854609444844614</v>
      </c>
      <c r="Q39" s="22">
        <f t="shared" si="53"/>
        <v>114.58115659190939</v>
      </c>
      <c r="R39" s="62">
        <f t="shared" si="0"/>
        <v>407.91448992524272</v>
      </c>
      <c r="S39" s="62">
        <f ca="1">AVERAGE(OFFSET($R$3,0,0,'Données projet'!$E$9+1,1))-AVERAGE(OFFSET($H$3,0,0,'Données projet'!$E$9+1,1))</f>
        <v>308.00850473946429</v>
      </c>
      <c r="T39" s="62">
        <f t="shared" si="34"/>
        <v>70.709140667951715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76.854959999999991</v>
      </c>
      <c r="AK39" s="14">
        <f t="shared" si="35"/>
        <v>21.366419773799993</v>
      </c>
      <c r="AL39" s="22">
        <f t="shared" si="4"/>
        <v>171.06890310603498</v>
      </c>
      <c r="AM39" s="62">
        <f t="shared" si="5"/>
        <v>464.40223643936827</v>
      </c>
      <c r="AN39" s="62">
        <f ca="1">AVERAGE(OFFSET($AM$3,0,0,'Données projet'!$E$10+1,1))-AVERAGE(OFFSET($H$3,0,0,'Données projet'!$E$10+1,1))</f>
        <v>271.76512254565102</v>
      </c>
      <c r="AO39" s="62">
        <f t="shared" si="36"/>
        <v>99.160986083974535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1.3375000000000008</v>
      </c>
      <c r="BD39" s="13">
        <f>IF('Données projet'!$A$88&gt;35,BD38+BC39-BL38,IF(A39&lt;'Données projet'!$A$88,$BA$205^A39,IF(A39='Données projet'!$A$88,'Données projet'!$B$88,BD38+BC39-BL38)))</f>
        <v>36.275000000000013</v>
      </c>
      <c r="BE39" s="14">
        <f>BD39*VLOOKUP('Données projet'!$B$11,Paramètres!$A$1:$I$89,3,0)*VLOOKUP('Données projet'!$B$11,Paramètres!$A$1:$I$89,5,0)</f>
        <v>41.788800000000016</v>
      </c>
      <c r="BF39" s="14">
        <f t="shared" si="37"/>
        <v>12.471554608674181</v>
      </c>
      <c r="BG39" s="22">
        <f t="shared" si="7"/>
        <v>94.503450943440896</v>
      </c>
      <c r="BH39" s="62">
        <f t="shared" si="8"/>
        <v>387.83678427677421</v>
      </c>
      <c r="BI39" s="62">
        <f ca="1">AVERAGE(OFFSET($BH$3,0,0,'Données projet'!$E$11+1,1))-AVERAGE(OFFSET($H$3,0,0,'Données projet'!$E$11+1,1))</f>
        <v>43.16958872930951</v>
      </c>
      <c r="BJ39" s="62">
        <f t="shared" si="38"/>
        <v>69.202870643733547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2.2749999999999999</v>
      </c>
      <c r="BY39" s="13">
        <f>IF('Données projet'!$A$114&gt;35,BY38+BX39-CG38,IF(A39&lt;'Données projet'!$A$114,$BV$205^A39,IF(A39='Données projet'!$A$114,'Données projet'!$B$114,BY38+BX39-CG38)))</f>
        <v>81.90000000000002</v>
      </c>
      <c r="BZ39" s="14">
        <f>BY39*VLOOKUP('Données projet'!$B$12,Paramètres!$A$1:$I$89,3,0)*VLOOKUP('Données projet'!$B$12,Paramètres!$A$1:$I$89,5,0)</f>
        <v>47.911500000000018</v>
      </c>
      <c r="CA39" s="14">
        <f t="shared" si="39"/>
        <v>14.073063385132542</v>
      </c>
      <c r="CB39" s="22">
        <f t="shared" si="10"/>
        <v>107.95644789577254</v>
      </c>
      <c r="CC39" s="62">
        <f t="shared" si="11"/>
        <v>401.28978122910587</v>
      </c>
      <c r="CD39" s="62">
        <f ca="1">AVERAGE(OFFSET($CC$3,0,0,'Données projet'!$E$12+1,1))-AVERAGE(OFFSET($H$3,0,0,'Données projet'!$E$12+1,1))</f>
        <v>49.695493809293282</v>
      </c>
      <c r="CE39" s="62">
        <f t="shared" si="40"/>
        <v>59.252884227831601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16.450199999999995</v>
      </c>
      <c r="D40" s="12">
        <f t="shared" si="32"/>
        <v>5.472186894621399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169.22544269532304</v>
      </c>
      <c r="H40" s="70">
        <f t="shared" si="1"/>
        <v>331.51482384146556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0.88523987988327002</v>
      </c>
      <c r="N40" s="14">
        <f>IF('Données projet'!$A$36&gt;35,N39+M40-V39,IF(A40&lt;'Données projet'!$A$36,$K$205^A40,IF(A40='Données projet'!$A$36,'Données projet'!$B$36,N39+M40-V39)))</f>
        <v>47.527743941859029</v>
      </c>
      <c r="O40" s="14">
        <f>N40*VLOOKUP('Données projet'!$B$9,Paramètres!$A$1:$I$89,3,0)*VLOOKUP('Données projet'!$B$9,Paramètres!$A$1:$I$89,5,0)</f>
        <v>51.900296384510057</v>
      </c>
      <c r="P40" s="14">
        <f t="shared" si="33"/>
        <v>15.10344900916502</v>
      </c>
      <c r="Q40" s="22">
        <f t="shared" si="53"/>
        <v>116.69818989398408</v>
      </c>
      <c r="R40" s="62">
        <f t="shared" si="0"/>
        <v>410.03152322731739</v>
      </c>
      <c r="S40" s="62">
        <f ca="1">AVERAGE(OFFSET($R$3,0,0,'Données projet'!$E$9+1,1))-AVERAGE(OFFSET($H$3,0,0,'Données projet'!$E$9+1,1))</f>
        <v>308.00850473946429</v>
      </c>
      <c r="T40" s="62">
        <f t="shared" si="34"/>
        <v>70.709140667951715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82.667519999999996</v>
      </c>
      <c r="AK40" s="14">
        <f t="shared" si="35"/>
        <v>22.788156353818806</v>
      </c>
      <c r="AL40" s="22">
        <f t="shared" si="4"/>
        <v>183.6686363162344</v>
      </c>
      <c r="AM40" s="62">
        <f t="shared" si="5"/>
        <v>477.00196964956774</v>
      </c>
      <c r="AN40" s="62">
        <f ca="1">AVERAGE(OFFSET($AM$3,0,0,'Données projet'!$E$10+1,1))-AVERAGE(OFFSET($H$3,0,0,'Données projet'!$E$10+1,1))</f>
        <v>271.76512254565102</v>
      </c>
      <c r="AO40" s="62">
        <f t="shared" si="36"/>
        <v>99.160986083974535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1.3375000000000008</v>
      </c>
      <c r="BD40" s="13">
        <f>IF('Données projet'!$A$88&gt;35,BD39+BC40-BL39,IF(A40&lt;'Données projet'!$A$88,$BA$205^A40,IF(A40='Données projet'!$A$88,'Données projet'!$B$88,BD39+BC40-BL39)))</f>
        <v>37.612500000000011</v>
      </c>
      <c r="BE40" s="14">
        <f>BD40*VLOOKUP('Données projet'!$B$11,Paramètres!$A$1:$I$89,3,0)*VLOOKUP('Données projet'!$B$11,Paramètres!$A$1:$I$89,5,0)</f>
        <v>43.329600000000013</v>
      </c>
      <c r="BF40" s="14">
        <f t="shared" si="37"/>
        <v>12.877009259156873</v>
      </c>
      <c r="BG40" s="22">
        <f t="shared" si="7"/>
        <v>97.893177793031555</v>
      </c>
      <c r="BH40" s="62">
        <f t="shared" si="8"/>
        <v>391.22651112636487</v>
      </c>
      <c r="BI40" s="62">
        <f ca="1">AVERAGE(OFFSET($BH$3,0,0,'Données projet'!$E$11+1,1))-AVERAGE(OFFSET($H$3,0,0,'Données projet'!$E$11+1,1))</f>
        <v>43.16958872930951</v>
      </c>
      <c r="BJ40" s="62">
        <f t="shared" si="38"/>
        <v>69.202870643733547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2.2749999999999999</v>
      </c>
      <c r="BY40" s="13">
        <f>IF('Données projet'!$A$114&gt;35,BY39+BX40-CG39,IF(A40&lt;'Données projet'!$A$114,$BV$205^A40,IF(A40='Données projet'!$A$114,'Données projet'!$B$114,BY39+BX40-CG39)))</f>
        <v>84.175000000000026</v>
      </c>
      <c r="BZ40" s="14">
        <f>BY40*VLOOKUP('Données projet'!$B$12,Paramètres!$A$1:$I$89,3,0)*VLOOKUP('Données projet'!$B$12,Paramètres!$A$1:$I$89,5,0)</f>
        <v>49.242375000000017</v>
      </c>
      <c r="CA40" s="14">
        <f t="shared" si="39"/>
        <v>14.417926174820023</v>
      </c>
      <c r="CB40" s="22">
        <f t="shared" si="10"/>
        <v>110.8750245461449</v>
      </c>
      <c r="CC40" s="62">
        <f t="shared" si="11"/>
        <v>404.20835787947823</v>
      </c>
      <c r="CD40" s="62">
        <f ca="1">AVERAGE(OFFSET($CC$3,0,0,'Données projet'!$E$12+1,1))-AVERAGE(OFFSET($H$3,0,0,'Données projet'!$E$12+1,1))</f>
        <v>49.695493809293282</v>
      </c>
      <c r="CE40" s="62">
        <f t="shared" si="40"/>
        <v>59.252884227831601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16.894799999999996</v>
      </c>
      <c r="D41" s="12">
        <f t="shared" si="32"/>
        <v>5.6026651130643454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173.66464297804055</v>
      </c>
      <c r="H41" s="70">
        <f t="shared" si="1"/>
        <v>332.51641840525372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0.88523987988327002</v>
      </c>
      <c r="N41" s="14">
        <f>IF('Données projet'!$A$36&gt;35,N40+M41-V40,IF(A41&lt;'Données projet'!$A$36,$K$205^A41,IF(A41='Données projet'!$A$36,'Données projet'!$B$36,N40+M41-V40)))</f>
        <v>48.412983821742301</v>
      </c>
      <c r="O41" s="14">
        <f>N41*VLOOKUP('Données projet'!$B$9,Paramètres!$A$1:$I$89,3,0)*VLOOKUP('Données projet'!$B$9,Paramètres!$A$1:$I$89,5,0)</f>
        <v>52.866978333342594</v>
      </c>
      <c r="P41" s="14">
        <f t="shared" si="33"/>
        <v>15.351749631482779</v>
      </c>
      <c r="Q41" s="22">
        <f t="shared" si="53"/>
        <v>118.81428453873752</v>
      </c>
      <c r="R41" s="62">
        <f t="shared" si="0"/>
        <v>412.14761787207084</v>
      </c>
      <c r="S41" s="62">
        <f ca="1">AVERAGE(OFFSET($R$3,0,0,'Données projet'!$E$9+1,1))-AVERAGE(OFFSET($H$3,0,0,'Données projet'!$E$9+1,1))</f>
        <v>308.00850473946429</v>
      </c>
      <c r="T41" s="62">
        <f t="shared" si="34"/>
        <v>70.709140667951715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88.480080000000001</v>
      </c>
      <c r="AK41" s="14">
        <f t="shared" si="35"/>
        <v>24.1982943117189</v>
      </c>
      <c r="AL41" s="22">
        <f t="shared" si="4"/>
        <v>196.24816859291039</v>
      </c>
      <c r="AM41" s="62">
        <f t="shared" si="5"/>
        <v>489.58150192624373</v>
      </c>
      <c r="AN41" s="62">
        <f ca="1">AVERAGE(OFFSET($AM$3,0,0,'Données projet'!$E$10+1,1))-AVERAGE(OFFSET($H$3,0,0,'Données projet'!$E$10+1,1))</f>
        <v>271.76512254565102</v>
      </c>
      <c r="AO41" s="62">
        <f t="shared" si="36"/>
        <v>99.160986083974535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1.3375000000000008</v>
      </c>
      <c r="BD41" s="13">
        <f>IF('Données projet'!$A$88&gt;35,BD40+BC41-BL40,IF(A41&lt;'Données projet'!$A$88,$BA$205^A41,IF(A41='Données projet'!$A$88,'Données projet'!$B$88,BD40+BC41-BL40)))</f>
        <v>38.95000000000001</v>
      </c>
      <c r="BE41" s="14">
        <f>BD41*VLOOKUP('Données projet'!$B$11,Paramètres!$A$1:$I$89,3,0)*VLOOKUP('Données projet'!$B$11,Paramètres!$A$1:$I$89,5,0)</f>
        <v>44.870400000000011</v>
      </c>
      <c r="BF41" s="14">
        <f t="shared" si="37"/>
        <v>13.280788754439531</v>
      </c>
      <c r="BG41" s="22">
        <f t="shared" si="7"/>
        <v>101.27998708064888</v>
      </c>
      <c r="BH41" s="62">
        <f t="shared" si="8"/>
        <v>394.61332041398219</v>
      </c>
      <c r="BI41" s="62">
        <f ca="1">AVERAGE(OFFSET($BH$3,0,0,'Données projet'!$E$11+1,1))-AVERAGE(OFFSET($H$3,0,0,'Données projet'!$E$11+1,1))</f>
        <v>43.16958872930951</v>
      </c>
      <c r="BJ41" s="62">
        <f t="shared" si="38"/>
        <v>69.202870643733547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2.2749999999999999</v>
      </c>
      <c r="BY41" s="13">
        <f>IF('Données projet'!$A$114&gt;35,BY40+BX41-CG40,IF(A41&lt;'Données projet'!$A$114,$BV$205^A41,IF(A41='Données projet'!$A$114,'Données projet'!$B$114,BY40+BX41-CG40)))</f>
        <v>86.450000000000031</v>
      </c>
      <c r="BZ41" s="14">
        <f>BY41*VLOOKUP('Données projet'!$B$12,Paramètres!$A$1:$I$89,3,0)*VLOOKUP('Données projet'!$B$12,Paramètres!$A$1:$I$89,5,0)</f>
        <v>50.573250000000023</v>
      </c>
      <c r="CA41" s="14">
        <f t="shared" si="39"/>
        <v>14.761705610201059</v>
      </c>
      <c r="CB41" s="22">
        <f t="shared" si="10"/>
        <v>113.79171435443352</v>
      </c>
      <c r="CC41" s="62">
        <f t="shared" si="11"/>
        <v>407.12504768776682</v>
      </c>
      <c r="CD41" s="62">
        <f ca="1">AVERAGE(OFFSET($CC$3,0,0,'Données projet'!$E$12+1,1))-AVERAGE(OFFSET($H$3,0,0,'Données projet'!$E$12+1,1))</f>
        <v>49.695493809293282</v>
      </c>
      <c r="CE41" s="62">
        <f t="shared" si="40"/>
        <v>59.252884227831601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17.339399999999998</v>
      </c>
      <c r="D42" s="12">
        <f t="shared" si="32"/>
        <v>5.7327442189520434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178.10076239191048</v>
      </c>
      <c r="H42" s="70">
        <f t="shared" si="1"/>
        <v>333.51731784800813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0.88523987988327002</v>
      </c>
      <c r="N42" s="14">
        <f>IF('Données projet'!$A$36&gt;35,N41+M42-V41,IF(A42&lt;'Données projet'!$A$36,$K$205^A42,IF(A42='Données projet'!$A$36,'Données projet'!$B$36,N41+M42-V41)))</f>
        <v>49.298223701625574</v>
      </c>
      <c r="O42" s="14">
        <f>N42*VLOOKUP('Données projet'!$B$9,Paramètres!$A$1:$I$89,3,0)*VLOOKUP('Données projet'!$B$9,Paramètres!$A$1:$I$89,5,0)</f>
        <v>53.833660282175117</v>
      </c>
      <c r="P42" s="14">
        <f t="shared" si="33"/>
        <v>15.599522303063258</v>
      </c>
      <c r="Q42" s="22">
        <f t="shared" si="53"/>
        <v>120.92945966929015</v>
      </c>
      <c r="R42" s="62">
        <f t="shared" si="0"/>
        <v>414.26279300262348</v>
      </c>
      <c r="S42" s="62">
        <f ca="1">AVERAGE(OFFSET($R$3,0,0,'Données projet'!$E$9+1,1))-AVERAGE(OFFSET($H$3,0,0,'Données projet'!$E$9+1,1))</f>
        <v>308.00850473946429</v>
      </c>
      <c r="T42" s="62">
        <f t="shared" si="34"/>
        <v>70.709140667951715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94.292640000000006</v>
      </c>
      <c r="AK42" s="14">
        <f t="shared" si="35"/>
        <v>25.597682308724192</v>
      </c>
      <c r="AL42" s="22">
        <f t="shared" si="4"/>
        <v>208.80897802102797</v>
      </c>
      <c r="AM42" s="62">
        <f t="shared" si="5"/>
        <v>502.14231135436125</v>
      </c>
      <c r="AN42" s="62">
        <f ca="1">AVERAGE(OFFSET($AM$3,0,0,'Données projet'!$E$10+1,1))-AVERAGE(OFFSET($H$3,0,0,'Données projet'!$E$10+1,1))</f>
        <v>271.76512254565102</v>
      </c>
      <c r="AO42" s="62">
        <f t="shared" si="36"/>
        <v>99.160986083974535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1.3375000000000008</v>
      </c>
      <c r="BD42" s="13">
        <f>IF('Données projet'!$A$88&gt;35,BD41+BC42-BL41,IF(A42&lt;'Données projet'!$A$88,$BA$205^A42,IF(A42='Données projet'!$A$88,'Données projet'!$B$88,BD41+BC42-BL41)))</f>
        <v>40.287500000000009</v>
      </c>
      <c r="BE42" s="14">
        <f>BD42*VLOOKUP('Données projet'!$B$11,Paramètres!$A$1:$I$89,3,0)*VLOOKUP('Données projet'!$B$11,Paramètres!$A$1:$I$89,5,0)</f>
        <v>46.411200000000008</v>
      </c>
      <c r="BF42" s="14">
        <f t="shared" si="37"/>
        <v>13.682957210611841</v>
      </c>
      <c r="BG42" s="22">
        <f t="shared" si="7"/>
        <v>104.66399047514896</v>
      </c>
      <c r="BH42" s="62">
        <f t="shared" si="8"/>
        <v>397.99732380848229</v>
      </c>
      <c r="BI42" s="62">
        <f ca="1">AVERAGE(OFFSET($BH$3,0,0,'Données projet'!$E$11+1,1))-AVERAGE(OFFSET($H$3,0,0,'Données projet'!$E$11+1,1))</f>
        <v>43.16958872930951</v>
      </c>
      <c r="BJ42" s="62">
        <f t="shared" si="38"/>
        <v>69.202870643733547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2.2749999999999999</v>
      </c>
      <c r="BY42" s="13">
        <f>IF('Données projet'!$A$114&gt;35,BY41+BX42-CG41,IF(A42&lt;'Données projet'!$A$114,$BV$205^A42,IF(A42='Données projet'!$A$114,'Données projet'!$B$114,BY41+BX42-CG41)))</f>
        <v>88.725000000000037</v>
      </c>
      <c r="BZ42" s="14">
        <f>BY42*VLOOKUP('Données projet'!$B$12,Paramètres!$A$1:$I$89,3,0)*VLOOKUP('Données projet'!$B$12,Paramètres!$A$1:$I$89,5,0)</f>
        <v>51.904125000000022</v>
      </c>
      <c r="CA42" s="14">
        <f t="shared" si="39"/>
        <v>15.104433477814428</v>
      </c>
      <c r="CB42" s="22">
        <f t="shared" si="10"/>
        <v>116.70657268219348</v>
      </c>
      <c r="CC42" s="62">
        <f t="shared" si="11"/>
        <v>410.03990601552681</v>
      </c>
      <c r="CD42" s="62">
        <f ca="1">AVERAGE(OFFSET($CC$3,0,0,'Données projet'!$E$12+1,1))-AVERAGE(OFFSET($H$3,0,0,'Données projet'!$E$12+1,1))</f>
        <v>49.695493809293282</v>
      </c>
      <c r="CE42" s="62">
        <f t="shared" si="40"/>
        <v>59.252884227831601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3" s="12">
        <f t="shared" si="32"/>
        <v>5.862435622634961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182.5338890168313</v>
      </c>
      <c r="H43" s="70">
        <f t="shared" si="1"/>
        <v>334.51754204275585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0.88523987988327002</v>
      </c>
      <c r="N43" s="14">
        <f>IF('Données projet'!$A$36&gt;35,N42+M43-V42,IF(A43&lt;'Données projet'!$A$36,$K$205^A43,IF(A43='Données projet'!$A$36,'Données projet'!$B$36,N42+M43-V42)))</f>
        <v>50.183463581508846</v>
      </c>
      <c r="O43" s="14">
        <f>N43*VLOOKUP('Données projet'!$B$9,Paramètres!$A$1:$I$89,3,0)*VLOOKUP('Données projet'!$B$9,Paramètres!$A$1:$I$89,5,0)</f>
        <v>54.800342231007654</v>
      </c>
      <c r="P43" s="14">
        <f t="shared" si="33"/>
        <v>15.846777597830695</v>
      </c>
      <c r="Q43" s="22">
        <f t="shared" si="53"/>
        <v>123.04373370189347</v>
      </c>
      <c r="R43" s="62">
        <f t="shared" si="0"/>
        <v>416.37706703522679</v>
      </c>
      <c r="S43" s="62">
        <f ca="1">AVERAGE(OFFSET($R$3,0,0,'Données projet'!$E$9+1,1))-AVERAGE(OFFSET($H$3,0,0,'Données projet'!$E$9+1,1))</f>
        <v>308.00850473946429</v>
      </c>
      <c r="T43" s="62">
        <f t="shared" si="34"/>
        <v>70.709140667951715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100.10520000000001</v>
      </c>
      <c r="AK43" s="14">
        <f t="shared" si="35"/>
        <v>26.987058463795307</v>
      </c>
      <c r="AL43" s="22">
        <f t="shared" si="4"/>
        <v>221.35235015777684</v>
      </c>
      <c r="AM43" s="62">
        <f t="shared" si="5"/>
        <v>514.68568349111013</v>
      </c>
      <c r="AN43" s="62">
        <f ca="1">AVERAGE(OFFSET($AM$3,0,0,'Données projet'!$E$10+1,1))-AVERAGE(OFFSET($H$3,0,0,'Données projet'!$E$10+1,1))</f>
        <v>271.76512254565102</v>
      </c>
      <c r="AO43" s="62">
        <f t="shared" si="36"/>
        <v>99.160986083974535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41.625000000000007</v>
      </c>
      <c r="BB43" s="13">
        <f>VLOOKUP(A43,'Données projet'!$A$87:$I$107,9,0)</f>
        <v>1.3375000000000008</v>
      </c>
      <c r="BC43" s="13">
        <f t="array" ref="BC43">INDEX(BB:BB,MIN(IF(ISNUMBER(BB43:BB239),ROW(BB43:BB239),"")))</f>
        <v>1.3375000000000008</v>
      </c>
      <c r="BD43" s="13">
        <f>IF('Données projet'!$A$88&gt;35,BD42+BC43-BL42,IF(A43&lt;'Données projet'!$A$88,$BA$205^A43,IF(A43='Données projet'!$A$88,'Données projet'!$B$88,BD42+BC43-BL42)))</f>
        <v>41.625000000000007</v>
      </c>
      <c r="BE43" s="14">
        <f>BD43*VLOOKUP('Données projet'!$B$11,Paramètres!$A$1:$I$89,3,0)*VLOOKUP('Données projet'!$B$11,Paramètres!$A$1:$I$89,5,0)</f>
        <v>47.952000000000005</v>
      </c>
      <c r="BF43" s="14">
        <f t="shared" si="37"/>
        <v>14.083574245011933</v>
      </c>
      <c r="BG43" s="22">
        <f t="shared" si="7"/>
        <v>108.04529181006245</v>
      </c>
      <c r="BH43" s="62">
        <f t="shared" si="8"/>
        <v>401.37862514339577</v>
      </c>
      <c r="BI43" s="62">
        <f ca="1">AVERAGE(OFFSET($BH$3,0,0,'Données projet'!$E$11+1,1))-AVERAGE(OFFSET($H$3,0,0,'Données projet'!$E$11+1,1))</f>
        <v>43.16958872930951</v>
      </c>
      <c r="BJ43" s="62">
        <f t="shared" si="38"/>
        <v>69.202870643733547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6.041666666666667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91</v>
      </c>
      <c r="BW43" s="13">
        <f>VLOOKUP(A43,'Données projet'!$A$113:$I$133,9,0)</f>
        <v>2.2749999999999999</v>
      </c>
      <c r="BX43" s="13">
        <f t="array" ref="BX43">INDEX(BW:BW,MIN(IF(ISNUMBER(BW43:BW239),ROW(BW43:BW239),"")))</f>
        <v>2.2749999999999999</v>
      </c>
      <c r="BY43" s="13">
        <f>IF('Données projet'!$A$114&gt;35,BY42+BX43-CG42,IF(A43&lt;'Données projet'!$A$114,$BV$205^A43,IF(A43='Données projet'!$A$114,'Données projet'!$B$114,BY42+BX43-CG42)))</f>
        <v>91.000000000000043</v>
      </c>
      <c r="BZ43" s="14">
        <f>BY43*VLOOKUP('Données projet'!$B$12,Paramètres!$A$1:$I$89,3,0)*VLOOKUP('Données projet'!$B$12,Paramètres!$A$1:$I$89,5,0)</f>
        <v>53.235000000000021</v>
      </c>
      <c r="CA43" s="14">
        <f t="shared" si="39"/>
        <v>15.446139841251496</v>
      </c>
      <c r="CB43" s="22">
        <f t="shared" si="10"/>
        <v>119.61965189017972</v>
      </c>
      <c r="CC43" s="62">
        <f t="shared" si="11"/>
        <v>412.95298522351305</v>
      </c>
      <c r="CD43" s="62">
        <f ca="1">AVERAGE(OFFSET($CC$3,0,0,'Données projet'!$E$12+1,1))-AVERAGE(OFFSET($H$3,0,0,'Données projet'!$E$12+1,1))</f>
        <v>49.695493809293282</v>
      </c>
      <c r="CE43" s="62">
        <f t="shared" si="40"/>
        <v>59.252884227831601</v>
      </c>
      <c r="CF43" s="16">
        <f>IF(ISNA(VLOOKUP(A43,'Données projet'!$A$113:$I$133,3,0)),0,VLOOKUP(A43,'Données projet'!$A$113:$I$133,3,0))</f>
        <v>1</v>
      </c>
      <c r="CG43" s="16">
        <f>IF(ISNA(VLOOKUP(A43,'Données projet'!$A$113:$I$133,4,0)),0,VLOOKUP(A43,'Données projet'!$A$113:$I$133,4,0))</f>
        <v>41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18.2286</v>
      </c>
      <c r="D44" s="12">
        <f t="shared" si="32"/>
        <v>5.9917501314301109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186.96410627770612</v>
      </c>
      <c r="H44" s="70">
        <f t="shared" si="1"/>
        <v>335.51710981224073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0.88523987988327002</v>
      </c>
      <c r="N44" s="14">
        <f>IF('Données projet'!$A$36&gt;35,N43+M44-V43,IF(A44&lt;'Données projet'!$A$36,$K$205^A44,IF(A44='Données projet'!$A$36,'Données projet'!$B$36,N43+M44-V43)))</f>
        <v>51.068703461392118</v>
      </c>
      <c r="O44" s="14">
        <f>N44*VLOOKUP('Données projet'!$B$9,Paramètres!$A$1:$I$89,3,0)*VLOOKUP('Données projet'!$B$9,Paramètres!$A$1:$I$89,5,0)</f>
        <v>55.767024179840192</v>
      </c>
      <c r="P44" s="14">
        <f t="shared" si="33"/>
        <v>16.093525695292058</v>
      </c>
      <c r="Q44" s="22">
        <f t="shared" si="53"/>
        <v>125.15712436585532</v>
      </c>
      <c r="R44" s="62">
        <f t="shared" si="0"/>
        <v>418.49045769918865</v>
      </c>
      <c r="S44" s="62">
        <f ca="1">AVERAGE(OFFSET($R$3,0,0,'Données projet'!$E$9+1,1))-AVERAGE(OFFSET($H$3,0,0,'Données projet'!$E$9+1,1))</f>
        <v>308.00850473946429</v>
      </c>
      <c r="T44" s="62">
        <f t="shared" si="34"/>
        <v>70.709140667951715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98.600000000000009</v>
      </c>
      <c r="AJ44" s="14">
        <f>AI44*VLOOKUP('Données projet'!$B$10,Paramètres!$A$1:$I$89,3,0)*VLOOKUP('Données projet'!$B$10,Paramètres!$A$1:$I$89,5,0)</f>
        <v>106.13304000000001</v>
      </c>
      <c r="AK44" s="14">
        <f t="shared" si="35"/>
        <v>28.418009728368016</v>
      </c>
      <c r="AL44" s="22">
        <f t="shared" si="4"/>
        <v>234.34307827690762</v>
      </c>
      <c r="AM44" s="62">
        <f t="shared" si="5"/>
        <v>527.67641161024096</v>
      </c>
      <c r="AN44" s="62">
        <f ca="1">AVERAGE(OFFSET($AM$3,0,0,'Données projet'!$E$10+1,1))-AVERAGE(OFFSET($H$3,0,0,'Données projet'!$E$10+1,1))</f>
        <v>271.76512254565102</v>
      </c>
      <c r="AO44" s="62">
        <f t="shared" si="36"/>
        <v>99.160986083974535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1.2208333333333328</v>
      </c>
      <c r="BD44" s="13">
        <f>IF('Données projet'!$A$88&gt;35,BD43+BC44-BL43,IF(A44&lt;'Données projet'!$A$88,$BA$205^A44,IF(A44='Données projet'!$A$88,'Données projet'!$B$88,BD43+BC44-BL43)))</f>
        <v>36.804166666666674</v>
      </c>
      <c r="BE44" s="14">
        <f>BD44*VLOOKUP('Données projet'!$B$11,Paramètres!$A$1:$I$89,3,0)*VLOOKUP('Données projet'!$B$11,Paramètres!$A$1:$I$89,5,0)</f>
        <v>42.398400000000009</v>
      </c>
      <c r="BF44" s="14">
        <f t="shared" si="37"/>
        <v>12.632172704554641</v>
      </c>
      <c r="BG44" s="22">
        <f t="shared" si="7"/>
        <v>95.844914127099344</v>
      </c>
      <c r="BH44" s="62">
        <f t="shared" si="8"/>
        <v>389.17824746043266</v>
      </c>
      <c r="BI44" s="62">
        <f ca="1">AVERAGE(OFFSET($BH$3,0,0,'Données projet'!$E$11+1,1))-AVERAGE(OFFSET($H$3,0,0,'Données projet'!$E$11+1,1))</f>
        <v>43.16958872930951</v>
      </c>
      <c r="BJ44" s="62">
        <f t="shared" si="38"/>
        <v>69.202870643733547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</v>
      </c>
      <c r="BY44" s="13">
        <f>IF('Données projet'!$A$114&gt;35,BY43+BX44-CG43,IF(A44&lt;'Données projet'!$A$114,$BV$205^A44,IF(A44='Données projet'!$A$114,'Données projet'!$B$114,BY43+BX44-CG43)))</f>
        <v>54.000000000000043</v>
      </c>
      <c r="BZ44" s="14">
        <f>BY44*VLOOKUP('Données projet'!$B$12,Paramètres!$A$1:$I$89,3,0)*VLOOKUP('Données projet'!$B$12,Paramètres!$A$1:$I$89,5,0)</f>
        <v>31.590000000000025</v>
      </c>
      <c r="CA44" s="14">
        <f t="shared" si="39"/>
        <v>9.7398913956627577</v>
      </c>
      <c r="CB44" s="22">
        <f t="shared" si="10"/>
        <v>71.982894180779354</v>
      </c>
      <c r="CC44" s="62">
        <f t="shared" si="11"/>
        <v>365.31622751411265</v>
      </c>
      <c r="CD44" s="62">
        <f ca="1">AVERAGE(OFFSET($CC$3,0,0,'Données projet'!$E$12+1,1))-AVERAGE(OFFSET($H$3,0,0,'Données projet'!$E$12+1,1))</f>
        <v>49.695493809293282</v>
      </c>
      <c r="CE44" s="62">
        <f t="shared" si="40"/>
        <v>59.252884227831601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45" s="12">
        <f t="shared" si="32"/>
        <v>6.1206979954107776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191.3914932979078</v>
      </c>
      <c r="H45" s="70">
        <f t="shared" si="1"/>
        <v>336.51603900867377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0.88523987988327002</v>
      </c>
      <c r="N45" s="14">
        <f>IF('Données projet'!$A$36&gt;35,N44+M45-V44,IF(A45&lt;'Données projet'!$A$36,$K$205^A45,IF(A45='Données projet'!$A$36,'Données projet'!$B$36,N44+M45-V44)))</f>
        <v>51.953943341275391</v>
      </c>
      <c r="O45" s="14">
        <f>N45*VLOOKUP('Données projet'!$B$9,Paramètres!$A$1:$I$89,3,0)*VLOOKUP('Données projet'!$B$9,Paramètres!$A$1:$I$89,5,0)</f>
        <v>56.733706128672729</v>
      </c>
      <c r="P45" s="14">
        <f t="shared" si="33"/>
        <v>16.339776401826512</v>
      </c>
      <c r="Q45" s="22">
        <f t="shared" si="53"/>
        <v>127.2696487406195</v>
      </c>
      <c r="R45" s="62">
        <f t="shared" si="0"/>
        <v>420.60298207395283</v>
      </c>
      <c r="S45" s="62">
        <f ca="1">AVERAGE(OFFSET($R$3,0,0,'Données projet'!$E$9+1,1))-AVERAGE(OFFSET($H$3,0,0,'Données projet'!$E$9+1,1))</f>
        <v>308.00850473946429</v>
      </c>
      <c r="T45" s="62">
        <f t="shared" si="34"/>
        <v>70.709140667951715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104.2</v>
      </c>
      <c r="AJ45" s="14">
        <f>AI45*VLOOKUP('Données projet'!$B$10,Paramètres!$A$1:$I$89,3,0)*VLOOKUP('Données projet'!$B$10,Paramètres!$A$1:$I$89,5,0)</f>
        <v>112.16087999999999</v>
      </c>
      <c r="AK45" s="14">
        <f t="shared" si="35"/>
        <v>29.839526888181876</v>
      </c>
      <c r="AL45" s="22">
        <f t="shared" si="4"/>
        <v>247.31737533025003</v>
      </c>
      <c r="AM45" s="62">
        <f t="shared" si="5"/>
        <v>540.65070866358337</v>
      </c>
      <c r="AN45" s="62">
        <f ca="1">AVERAGE(OFFSET($AM$3,0,0,'Données projet'!$E$10+1,1))-AVERAGE(OFFSET($H$3,0,0,'Données projet'!$E$10+1,1))</f>
        <v>271.76512254565102</v>
      </c>
      <c r="AO45" s="62">
        <f t="shared" si="36"/>
        <v>99.160986083974535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1.2208333333333328</v>
      </c>
      <c r="BD45" s="13">
        <f>IF('Données projet'!$A$88&gt;35,BD44+BC45-BL44,IF(A45&lt;'Données projet'!$A$88,$BA$205^A45,IF(A45='Données projet'!$A$88,'Données projet'!$B$88,BD44+BC45-BL44)))</f>
        <v>38.025000000000006</v>
      </c>
      <c r="BE45" s="14">
        <f>BD45*VLOOKUP('Données projet'!$B$11,Paramètres!$A$1:$I$89,3,0)*VLOOKUP('Données projet'!$B$11,Paramètres!$A$1:$I$89,5,0)</f>
        <v>43.804800000000007</v>
      </c>
      <c r="BF45" s="14">
        <f t="shared" si="37"/>
        <v>13.001714958042195</v>
      </c>
      <c r="BG45" s="22">
        <f t="shared" si="7"/>
        <v>98.938013551923504</v>
      </c>
      <c r="BH45" s="62">
        <f t="shared" si="8"/>
        <v>392.27134688525683</v>
      </c>
      <c r="BI45" s="62">
        <f ca="1">AVERAGE(OFFSET($BH$3,0,0,'Données projet'!$E$11+1,1))-AVERAGE(OFFSET($H$3,0,0,'Données projet'!$E$11+1,1))</f>
        <v>43.16958872930951</v>
      </c>
      <c r="BJ45" s="62">
        <f t="shared" si="38"/>
        <v>69.202870643733547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</v>
      </c>
      <c r="BY45" s="13">
        <f>IF('Données projet'!$A$114&gt;35,BY44+BX45-CG44,IF(A45&lt;'Données projet'!$A$114,$BV$205^A45,IF(A45='Données projet'!$A$114,'Données projet'!$B$114,BY44+BX45-CG44)))</f>
        <v>58.000000000000043</v>
      </c>
      <c r="BZ45" s="14">
        <f>BY45*VLOOKUP('Données projet'!$B$12,Paramètres!$A$1:$I$89,3,0)*VLOOKUP('Données projet'!$B$12,Paramètres!$A$1:$I$89,5,0)</f>
        <v>33.930000000000028</v>
      </c>
      <c r="CA45" s="14">
        <f t="shared" si="39"/>
        <v>10.374709936770239</v>
      </c>
      <c r="CB45" s="22">
        <f t="shared" si="10"/>
        <v>77.164036473208213</v>
      </c>
      <c r="CC45" s="62">
        <f t="shared" si="11"/>
        <v>370.49736980654154</v>
      </c>
      <c r="CD45" s="62">
        <f ca="1">AVERAGE(OFFSET($CC$3,0,0,'Données projet'!$E$12+1,1))-AVERAGE(OFFSET($H$3,0,0,'Données projet'!$E$12+1,1))</f>
        <v>49.695493809293282</v>
      </c>
      <c r="CE45" s="62">
        <f t="shared" si="40"/>
        <v>59.252884227831601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19.117800000000003</v>
      </c>
      <c r="D46" s="12">
        <f t="shared" si="32"/>
        <v>6.2492889487124472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195.81612521813122</v>
      </c>
      <c r="H46" s="70">
        <f t="shared" si="1"/>
        <v>337.51434658567416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0.88523987988327002</v>
      </c>
      <c r="N46" s="14">
        <f>IF('Données projet'!$A$36&gt;35,N45+M46-V45,IF(A46&lt;'Données projet'!$A$36,$K$205^A46,IF(A46='Données projet'!$A$36,'Données projet'!$B$36,N45+M46-V45)))</f>
        <v>52.839183221158663</v>
      </c>
      <c r="O46" s="14">
        <f>N46*VLOOKUP('Données projet'!$B$9,Paramètres!$A$1:$I$89,3,0)*VLOOKUP('Données projet'!$B$9,Paramètres!$A$1:$I$89,5,0)</f>
        <v>57.700388077505259</v>
      </c>
      <c r="P46" s="14">
        <f t="shared" si="33"/>
        <v>16.585539170482679</v>
      </c>
      <c r="Q46" s="22">
        <f t="shared" si="53"/>
        <v>129.38132329024566</v>
      </c>
      <c r="R46" s="62">
        <f t="shared" si="0"/>
        <v>422.714656623579</v>
      </c>
      <c r="S46" s="62">
        <f ca="1">AVERAGE(OFFSET($R$3,0,0,'Données projet'!$E$9+1,1))-AVERAGE(OFFSET($H$3,0,0,'Données projet'!$E$9+1,1))</f>
        <v>308.00850473946429</v>
      </c>
      <c r="T46" s="62">
        <f t="shared" si="34"/>
        <v>70.709140667951715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109.8</v>
      </c>
      <c r="AJ46" s="14">
        <f>AI46*VLOOKUP('Données projet'!$B$10,Paramètres!$A$1:$I$89,3,0)*VLOOKUP('Données projet'!$B$10,Paramètres!$A$1:$I$89,5,0)</f>
        <v>118.18871999999999</v>
      </c>
      <c r="AK46" s="14">
        <f t="shared" si="35"/>
        <v>31.252174766242543</v>
      </c>
      <c r="AL46" s="22">
        <f t="shared" si="4"/>
        <v>260.27622505120576</v>
      </c>
      <c r="AM46" s="62">
        <f t="shared" si="5"/>
        <v>553.60955838453901</v>
      </c>
      <c r="AN46" s="62">
        <f ca="1">AVERAGE(OFFSET($AM$3,0,0,'Données projet'!$E$10+1,1))-AVERAGE(OFFSET($H$3,0,0,'Données projet'!$E$10+1,1))</f>
        <v>271.76512254565102</v>
      </c>
      <c r="AO46" s="62">
        <f t="shared" si="36"/>
        <v>99.160986083974535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1.2208333333333328</v>
      </c>
      <c r="BD46" s="13">
        <f>IF('Données projet'!$A$88&gt;35,BD45+BC46-BL45,IF(A46&lt;'Données projet'!$A$88,$BA$205^A46,IF(A46='Données projet'!$A$88,'Données projet'!$B$88,BD45+BC46-BL45)))</f>
        <v>39.245833333333337</v>
      </c>
      <c r="BE46" s="14">
        <f>BD46*VLOOKUP('Données projet'!$B$11,Paramètres!$A$1:$I$89,3,0)*VLOOKUP('Données projet'!$B$11,Paramètres!$A$1:$I$89,5,0)</f>
        <v>45.211199999999998</v>
      </c>
      <c r="BF46" s="14">
        <f t="shared" si="37"/>
        <v>13.369878505057663</v>
      </c>
      <c r="BG46" s="22">
        <f t="shared" si="7"/>
        <v>102.0287117296421</v>
      </c>
      <c r="BH46" s="62">
        <f t="shared" si="8"/>
        <v>395.36204506297543</v>
      </c>
      <c r="BI46" s="62">
        <f ca="1">AVERAGE(OFFSET($BH$3,0,0,'Données projet'!$E$11+1,1))-AVERAGE(OFFSET($H$3,0,0,'Données projet'!$E$11+1,1))</f>
        <v>43.16958872930951</v>
      </c>
      <c r="BJ46" s="62">
        <f t="shared" si="38"/>
        <v>69.202870643733547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</v>
      </c>
      <c r="BY46" s="13">
        <f>IF('Données projet'!$A$114&gt;35,BY45+BX46-CG45,IF(A46&lt;'Données projet'!$A$114,$BV$205^A46,IF(A46='Données projet'!$A$114,'Données projet'!$B$114,BY45+BX46-CG45)))</f>
        <v>62.000000000000043</v>
      </c>
      <c r="BZ46" s="14">
        <f>BY46*VLOOKUP('Données projet'!$B$12,Paramètres!$A$1:$I$89,3,0)*VLOOKUP('Données projet'!$B$12,Paramètres!$A$1:$I$89,5,0)</f>
        <v>36.270000000000024</v>
      </c>
      <c r="CA46" s="14">
        <f t="shared" si="39"/>
        <v>11.004448568154208</v>
      </c>
      <c r="CB46" s="22">
        <f t="shared" si="10"/>
        <v>82.336331256201959</v>
      </c>
      <c r="CC46" s="62">
        <f t="shared" si="11"/>
        <v>375.66966458953527</v>
      </c>
      <c r="CD46" s="62">
        <f ca="1">AVERAGE(OFFSET($CC$3,0,0,'Données projet'!$E$12+1,1))-AVERAGE(OFFSET($H$3,0,0,'Données projet'!$E$12+1,1))</f>
        <v>49.695493809293282</v>
      </c>
      <c r="CE46" s="62">
        <f t="shared" si="40"/>
        <v>59.252884227831601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19.562400000000004</v>
      </c>
      <c r="D47" s="12">
        <f t="shared" si="32"/>
        <v>6.3775322468881122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200.2380734847504</v>
      </c>
      <c r="H47" s="70">
        <f t="shared" si="1"/>
        <v>338.51204866333012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0.88523987988327002</v>
      </c>
      <c r="N47" s="14">
        <f>IF('Données projet'!$A$36&gt;35,N46+M47-V46,IF(A47&lt;'Données projet'!$A$36,$K$205^A47,IF(A47='Données projet'!$A$36,'Données projet'!$B$36,N46+M47-V46)))</f>
        <v>53.724423101041936</v>
      </c>
      <c r="O47" s="14">
        <f>N47*VLOOKUP('Données projet'!$B$9,Paramètres!$A$1:$I$89,3,0)*VLOOKUP('Données projet'!$B$9,Paramètres!$A$1:$I$89,5,0)</f>
        <v>58.66707002633779</v>
      </c>
      <c r="P47" s="14">
        <f t="shared" si="33"/>
        <v>16.830823119411775</v>
      </c>
      <c r="Q47" s="22">
        <f t="shared" si="53"/>
        <v>131.49216389551384</v>
      </c>
      <c r="R47" s="62">
        <f t="shared" si="0"/>
        <v>424.82549722884715</v>
      </c>
      <c r="S47" s="62">
        <f ca="1">AVERAGE(OFFSET($R$3,0,0,'Données projet'!$E$9+1,1))-AVERAGE(OFFSET($H$3,0,0,'Données projet'!$E$9+1,1))</f>
        <v>308.00850473946429</v>
      </c>
      <c r="T47" s="62">
        <f t="shared" si="34"/>
        <v>70.709140667951715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115.39999999999999</v>
      </c>
      <c r="AJ47" s="14">
        <f>AI47*VLOOKUP('Données projet'!$B$10,Paramètres!$A$1:$I$89,3,0)*VLOOKUP('Données projet'!$B$10,Paramètres!$A$1:$I$89,5,0)</f>
        <v>124.21655999999999</v>
      </c>
      <c r="AK47" s="14">
        <f t="shared" si="35"/>
        <v>32.656457317237347</v>
      </c>
      <c r="AL47" s="22">
        <f t="shared" si="4"/>
        <v>273.220505160855</v>
      </c>
      <c r="AM47" s="62">
        <f t="shared" si="5"/>
        <v>566.55383849418831</v>
      </c>
      <c r="AN47" s="62">
        <f ca="1">AVERAGE(OFFSET($AM$3,0,0,'Données projet'!$E$10+1,1))-AVERAGE(OFFSET($H$3,0,0,'Données projet'!$E$10+1,1))</f>
        <v>271.76512254565102</v>
      </c>
      <c r="AO47" s="62">
        <f t="shared" si="36"/>
        <v>99.160986083974535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1.2208333333333328</v>
      </c>
      <c r="BD47" s="13">
        <f>IF('Données projet'!$A$88&gt;35,BD46+BC47-BL46,IF(A47&lt;'Données projet'!$A$88,$BA$205^A47,IF(A47='Données projet'!$A$88,'Données projet'!$B$88,BD46+BC47-BL46)))</f>
        <v>40.466666666666669</v>
      </c>
      <c r="BE47" s="14">
        <f>BD47*VLOOKUP('Données projet'!$B$11,Paramètres!$A$1:$I$89,3,0)*VLOOKUP('Données projet'!$B$11,Paramètres!$A$1:$I$89,5,0)</f>
        <v>46.617599999999996</v>
      </c>
      <c r="BF47" s="14">
        <f t="shared" si="37"/>
        <v>13.736711154701398</v>
      </c>
      <c r="BG47" s="22">
        <f t="shared" si="7"/>
        <v>105.11709192777158</v>
      </c>
      <c r="BH47" s="62">
        <f t="shared" si="8"/>
        <v>398.4504252611049</v>
      </c>
      <c r="BI47" s="62">
        <f ca="1">AVERAGE(OFFSET($BH$3,0,0,'Données projet'!$E$11+1,1))-AVERAGE(OFFSET($H$3,0,0,'Données projet'!$E$11+1,1))</f>
        <v>43.16958872930951</v>
      </c>
      <c r="BJ47" s="62">
        <f t="shared" si="38"/>
        <v>69.202870643733547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</v>
      </c>
      <c r="BY47" s="13">
        <f>IF('Données projet'!$A$114&gt;35,BY46+BX47-CG46,IF(A47&lt;'Données projet'!$A$114,$BV$205^A47,IF(A47='Données projet'!$A$114,'Données projet'!$B$114,BY46+BX47-CG46)))</f>
        <v>66.000000000000043</v>
      </c>
      <c r="BZ47" s="14">
        <f>BY47*VLOOKUP('Données projet'!$B$12,Paramètres!$A$1:$I$89,3,0)*VLOOKUP('Données projet'!$B$12,Paramètres!$A$1:$I$89,5,0)</f>
        <v>38.610000000000028</v>
      </c>
      <c r="CA47" s="14">
        <f t="shared" si="39"/>
        <v>11.629472326649353</v>
      </c>
      <c r="CB47" s="22">
        <f t="shared" si="10"/>
        <v>87.500414302247677</v>
      </c>
      <c r="CC47" s="62">
        <f t="shared" si="11"/>
        <v>380.83374763558101</v>
      </c>
      <c r="CD47" s="62">
        <f ca="1">AVERAGE(OFFSET($CC$3,0,0,'Données projet'!$E$12+1,1))-AVERAGE(OFFSET($H$3,0,0,'Données projet'!$E$12+1,1))</f>
        <v>49.695493809293282</v>
      </c>
      <c r="CE47" s="62">
        <f t="shared" si="40"/>
        <v>59.252884227831601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20.007000000000005</v>
      </c>
      <c r="D48" s="12">
        <f t="shared" si="32"/>
        <v>6.505436700771841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204.65740611122126</v>
      </c>
      <c r="H48" s="70">
        <f t="shared" si="1"/>
        <v>339.50916058717763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0.88523987988327002</v>
      </c>
      <c r="N48" s="14">
        <f>IF('Données projet'!$A$36&gt;35,N47+M48-V47,IF(A48&lt;'Données projet'!$A$36,$K$205^A48,IF(A48='Données projet'!$A$36,'Données projet'!$B$36,N47+M48-V47)))</f>
        <v>54.609662980925208</v>
      </c>
      <c r="O48" s="14">
        <f>N48*VLOOKUP('Données projet'!$B$9,Paramètres!$A$1:$I$89,3,0)*VLOOKUP('Données projet'!$B$9,Paramètres!$A$1:$I$89,5,0)</f>
        <v>59.63375197517032</v>
      </c>
      <c r="P48" s="14">
        <f t="shared" si="33"/>
        <v>17.075637049051128</v>
      </c>
      <c r="Q48" s="22">
        <f t="shared" si="53"/>
        <v>133.60218588385234</v>
      </c>
      <c r="R48" s="62">
        <f t="shared" si="0"/>
        <v>426.93551921718563</v>
      </c>
      <c r="S48" s="62">
        <f ca="1">AVERAGE(OFFSET($R$3,0,0,'Données projet'!$E$9+1,1))-AVERAGE(OFFSET($H$3,0,0,'Données projet'!$E$9+1,1))</f>
        <v>308.00850473946429</v>
      </c>
      <c r="T48" s="62">
        <f t="shared" si="34"/>
        <v>70.709140667951715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121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120.99999999999999</v>
      </c>
      <c r="AJ48" s="14">
        <f>AI48*VLOOKUP('Données projet'!$B$10,Paramètres!$A$1:$I$89,3,0)*VLOOKUP('Données projet'!$B$10,Paramètres!$A$1:$I$89,5,0)</f>
        <v>130.24439999999998</v>
      </c>
      <c r="AK48" s="14">
        <f t="shared" si="35"/>
        <v>34.052826821785409</v>
      </c>
      <c r="AL48" s="22">
        <f t="shared" si="4"/>
        <v>286.15100338127621</v>
      </c>
      <c r="AM48" s="62">
        <f t="shared" si="5"/>
        <v>579.48433671460953</v>
      </c>
      <c r="AN48" s="62">
        <f ca="1">AVERAGE(OFFSET($AM$3,0,0,'Données projet'!$E$10+1,1))-AVERAGE(OFFSET($H$3,0,0,'Données projet'!$E$10+1,1))</f>
        <v>271.76512254565102</v>
      </c>
      <c r="AO48" s="62">
        <f t="shared" si="36"/>
        <v>99.160986083974535</v>
      </c>
      <c r="AP48" s="16">
        <f>IF(ISNA(VLOOKUP(A48,'Données projet'!$A$61:$I$81,3,0)),0,VLOOKUP(A48,'Données projet'!$A$61:$I$81,3,0))</f>
        <v>2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1.2208333333333328</v>
      </c>
      <c r="BD48" s="13">
        <f>IF('Données projet'!$A$88&gt;35,BD47+BC48-BL47,IF(A48&lt;'Données projet'!$A$88,$BA$205^A48,IF(A48='Données projet'!$A$88,'Données projet'!$B$88,BD47+BC48-BL47)))</f>
        <v>41.6875</v>
      </c>
      <c r="BE48" s="14">
        <f>BD48*VLOOKUP('Données projet'!$B$11,Paramètres!$A$1:$I$89,3,0)*VLOOKUP('Données projet'!$B$11,Paramètres!$A$1:$I$89,5,0)</f>
        <v>48.023999999999994</v>
      </c>
      <c r="BF48" s="14">
        <f t="shared" si="37"/>
        <v>14.102257667444183</v>
      </c>
      <c r="BG48" s="22">
        <f t="shared" si="7"/>
        <v>108.20323210413194</v>
      </c>
      <c r="BH48" s="62">
        <f t="shared" si="8"/>
        <v>401.53656543746524</v>
      </c>
      <c r="BI48" s="62">
        <f ca="1">AVERAGE(OFFSET($BH$3,0,0,'Données projet'!$E$11+1,1))-AVERAGE(OFFSET($H$3,0,0,'Données projet'!$E$11+1,1))</f>
        <v>43.16958872930951</v>
      </c>
      <c r="BJ48" s="62">
        <f t="shared" si="38"/>
        <v>69.202870643733547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4</v>
      </c>
      <c r="BY48" s="13">
        <f>IF('Données projet'!$A$114&gt;35,BY47+BX48-CG47,IF(A48&lt;'Données projet'!$A$114,$BV$205^A48,IF(A48='Données projet'!$A$114,'Données projet'!$B$114,BY47+BX48-CG47)))</f>
        <v>70.000000000000043</v>
      </c>
      <c r="BZ48" s="14">
        <f>BY48*VLOOKUP('Données projet'!$B$12,Paramètres!$A$1:$I$89,3,0)*VLOOKUP('Données projet'!$B$12,Paramètres!$A$1:$I$89,5,0)</f>
        <v>40.950000000000031</v>
      </c>
      <c r="CA48" s="14">
        <f t="shared" si="39"/>
        <v>12.250099502125854</v>
      </c>
      <c r="CB48" s="22">
        <f t="shared" si="10"/>
        <v>92.656839966202583</v>
      </c>
      <c r="CC48" s="62">
        <f t="shared" si="11"/>
        <v>385.99017329953591</v>
      </c>
      <c r="CD48" s="62">
        <f ca="1">AVERAGE(OFFSET($CC$3,0,0,'Données projet'!$E$12+1,1))-AVERAGE(OFFSET($H$3,0,0,'Données projet'!$E$12+1,1))</f>
        <v>49.695493809293282</v>
      </c>
      <c r="CE48" s="62">
        <f t="shared" si="40"/>
        <v>59.252884227831601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20.451600000000006</v>
      </c>
      <c r="D49" s="12">
        <f t="shared" si="32"/>
        <v>6.6330107072474558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209.07418791559448</v>
      </c>
      <c r="H49" s="70">
        <f t="shared" si="1"/>
        <v>340.5056969817893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0.88523987988327002</v>
      </c>
      <c r="N49" s="14">
        <f>IF('Données projet'!$A$36&gt;35,N48+M49-V48,IF(A49&lt;'Données projet'!$A$36,$K$205^A49,IF(A49='Données projet'!$A$36,'Données projet'!$B$36,N48+M49-V48)))</f>
        <v>55.49490286080848</v>
      </c>
      <c r="O49" s="14">
        <f>N49*VLOOKUP('Données projet'!$B$9,Paramètres!$A$1:$I$89,3,0)*VLOOKUP('Données projet'!$B$9,Paramètres!$A$1:$I$89,5,0)</f>
        <v>60.600433924002857</v>
      </c>
      <c r="P49" s="14">
        <f t="shared" si="33"/>
        <v>17.319989458162215</v>
      </c>
      <c r="Q49" s="22">
        <f t="shared" si="53"/>
        <v>135.71140405727081</v>
      </c>
      <c r="R49" s="62">
        <f t="shared" si="0"/>
        <v>429.04473739060415</v>
      </c>
      <c r="S49" s="62">
        <f ca="1">AVERAGE(OFFSET($R$3,0,0,'Données projet'!$E$9+1,1))-AVERAGE(OFFSET($H$3,0,0,'Données projet'!$E$9+1,1))</f>
        <v>308.00850473946429</v>
      </c>
      <c r="T49" s="62">
        <f t="shared" si="34"/>
        <v>70.709140667951715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106.13303999999997</v>
      </c>
      <c r="AK49" s="14">
        <f t="shared" si="35"/>
        <v>28.418009728368016</v>
      </c>
      <c r="AL49" s="22">
        <f t="shared" si="4"/>
        <v>234.34307827690756</v>
      </c>
      <c r="AM49" s="62">
        <f t="shared" si="5"/>
        <v>527.67641161024085</v>
      </c>
      <c r="AN49" s="62">
        <f ca="1">AVERAGE(OFFSET($AM$3,0,0,'Données projet'!$E$10+1,1))-AVERAGE(OFFSET($H$3,0,0,'Données projet'!$E$10+1,1))</f>
        <v>271.76512254565102</v>
      </c>
      <c r="AO49" s="62">
        <f t="shared" si="36"/>
        <v>99.160986083974535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1.2208333333333328</v>
      </c>
      <c r="BD49" s="13">
        <f>IF('Données projet'!$A$88&gt;35,BD48+BC49-BL48,IF(A49&lt;'Données projet'!$A$88,$BA$205^A49,IF(A49='Données projet'!$A$88,'Données projet'!$B$88,BD48+BC49-BL48)))</f>
        <v>42.908333333333331</v>
      </c>
      <c r="BE49" s="14">
        <f>BD49*VLOOKUP('Données projet'!$B$11,Paramètres!$A$1:$I$89,3,0)*VLOOKUP('Données projet'!$B$11,Paramètres!$A$1:$I$89,5,0)</f>
        <v>49.430399999999999</v>
      </c>
      <c r="BF49" s="14">
        <f t="shared" si="37"/>
        <v>14.466560033047671</v>
      </c>
      <c r="BG49" s="22">
        <f t="shared" si="7"/>
        <v>111.28720539089134</v>
      </c>
      <c r="BH49" s="62">
        <f t="shared" si="8"/>
        <v>404.62053872422467</v>
      </c>
      <c r="BI49" s="62">
        <f ca="1">AVERAGE(OFFSET($BH$3,0,0,'Données projet'!$E$11+1,1))-AVERAGE(OFFSET($H$3,0,0,'Données projet'!$E$11+1,1))</f>
        <v>43.16958872930951</v>
      </c>
      <c r="BJ49" s="62">
        <f t="shared" si="38"/>
        <v>69.202870643733547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</v>
      </c>
      <c r="BY49" s="13">
        <f>IF('Données projet'!$A$114&gt;35,BY48+BX49-CG48,IF(A49&lt;'Données projet'!$A$114,$BV$205^A49,IF(A49='Données projet'!$A$114,'Données projet'!$B$114,BY48+BX49-CG48)))</f>
        <v>74.000000000000043</v>
      </c>
      <c r="BZ49" s="14">
        <f>BY49*VLOOKUP('Données projet'!$B$12,Paramètres!$A$1:$I$89,3,0)*VLOOKUP('Données projet'!$B$12,Paramètres!$A$1:$I$89,5,0)</f>
        <v>43.290000000000028</v>
      </c>
      <c r="CA49" s="14">
        <f t="shared" si="39"/>
        <v>12.866609953844351</v>
      </c>
      <c r="CB49" s="22">
        <f t="shared" si="10"/>
        <v>97.806095669612276</v>
      </c>
      <c r="CC49" s="62">
        <f t="shared" si="11"/>
        <v>391.13942900294558</v>
      </c>
      <c r="CD49" s="62">
        <f ca="1">AVERAGE(OFFSET($CC$3,0,0,'Données projet'!$E$12+1,1))-AVERAGE(OFFSET($H$3,0,0,'Données projet'!$E$12+1,1))</f>
        <v>49.695493809293282</v>
      </c>
      <c r="CE49" s="62">
        <f t="shared" si="40"/>
        <v>59.252884227831601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20.896200000000007</v>
      </c>
      <c r="D50" s="12">
        <f t="shared" si="32"/>
        <v>6.7602622772661416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213.48848073679133</v>
      </c>
      <c r="H50" s="70">
        <f t="shared" si="1"/>
        <v>341.50167179957185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0.88523987988327002</v>
      </c>
      <c r="N50" s="14">
        <f>IF('Données projet'!$A$36&gt;35,N49+M50-V49,IF(A50&lt;'Données projet'!$A$36,$K$205^A50,IF(A50='Données projet'!$A$36,'Données projet'!$B$36,N49+M50-V49)))</f>
        <v>56.380142740691753</v>
      </c>
      <c r="O50" s="14">
        <f>N50*VLOOKUP('Données projet'!$B$9,Paramètres!$A$1:$I$89,3,0)*VLOOKUP('Données projet'!$B$9,Paramètres!$A$1:$I$89,5,0)</f>
        <v>61.567115872835394</v>
      </c>
      <c r="P50" s="14">
        <f t="shared" si="33"/>
        <v>17.563888558816046</v>
      </c>
      <c r="Q50" s="22">
        <f t="shared" si="53"/>
        <v>137.81983271845957</v>
      </c>
      <c r="R50" s="62">
        <f t="shared" si="0"/>
        <v>431.15316605179288</v>
      </c>
      <c r="S50" s="62">
        <f ca="1">AVERAGE(OFFSET($R$3,0,0,'Données projet'!$E$9+1,1))-AVERAGE(OFFSET($H$3,0,0,'Données projet'!$E$9+1,1))</f>
        <v>308.00850473946429</v>
      </c>
      <c r="T50" s="62">
        <f t="shared" si="34"/>
        <v>70.709140667951715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112.16087999999998</v>
      </c>
      <c r="AK50" s="14">
        <f t="shared" si="35"/>
        <v>29.839526888181876</v>
      </c>
      <c r="AL50" s="22">
        <f t="shared" si="4"/>
        <v>247.31737533025003</v>
      </c>
      <c r="AM50" s="62">
        <f t="shared" si="5"/>
        <v>540.65070866358337</v>
      </c>
      <c r="AN50" s="62">
        <f ca="1">AVERAGE(OFFSET($AM$3,0,0,'Données projet'!$E$10+1,1))-AVERAGE(OFFSET($H$3,0,0,'Données projet'!$E$10+1,1))</f>
        <v>271.76512254565102</v>
      </c>
      <c r="AO50" s="62">
        <f t="shared" si="36"/>
        <v>99.160986083974535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1.2208333333333328</v>
      </c>
      <c r="BD50" s="13">
        <f>IF('Données projet'!$A$88&gt;35,BD49+BC50-BL49,IF(A50&lt;'Données projet'!$A$88,$BA$205^A50,IF(A50='Données projet'!$A$88,'Données projet'!$B$88,BD49+BC50-BL49)))</f>
        <v>44.129166666666663</v>
      </c>
      <c r="BE50" s="14">
        <f>BD50*VLOOKUP('Données projet'!$B$11,Paramètres!$A$1:$I$89,3,0)*VLOOKUP('Données projet'!$B$11,Paramètres!$A$1:$I$89,5,0)</f>
        <v>50.836799999999997</v>
      </c>
      <c r="BF50" s="14">
        <f t="shared" si="37"/>
        <v>14.829657715966137</v>
      </c>
      <c r="BG50" s="22">
        <f t="shared" si="7"/>
        <v>114.36908052197434</v>
      </c>
      <c r="BH50" s="62">
        <f t="shared" si="8"/>
        <v>407.70241385530767</v>
      </c>
      <c r="BI50" s="62">
        <f ca="1">AVERAGE(OFFSET($BH$3,0,0,'Données projet'!$E$11+1,1))-AVERAGE(OFFSET($H$3,0,0,'Données projet'!$E$11+1,1))</f>
        <v>43.16958872930951</v>
      </c>
      <c r="BJ50" s="62">
        <f t="shared" si="38"/>
        <v>69.202870643733547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</v>
      </c>
      <c r="BY50" s="13">
        <f>IF('Données projet'!$A$114&gt;35,BY49+BX50-CG49,IF(A50&lt;'Données projet'!$A$114,$BV$205^A50,IF(A50='Données projet'!$A$114,'Données projet'!$B$114,BY49+BX50-CG49)))</f>
        <v>78.000000000000043</v>
      </c>
      <c r="BZ50" s="14">
        <f>BY50*VLOOKUP('Données projet'!$B$12,Paramètres!$A$1:$I$89,3,0)*VLOOKUP('Données projet'!$B$12,Paramètres!$A$1:$I$89,5,0)</f>
        <v>45.630000000000031</v>
      </c>
      <c r="CA50" s="14">
        <f t="shared" si="39"/>
        <v>13.479251577264568</v>
      </c>
      <c r="CB50" s="22">
        <f t="shared" si="10"/>
        <v>102.94861316373584</v>
      </c>
      <c r="CC50" s="62">
        <f t="shared" si="11"/>
        <v>396.28194649706916</v>
      </c>
      <c r="CD50" s="62">
        <f ca="1">AVERAGE(OFFSET($CC$3,0,0,'Données projet'!$E$12+1,1))-AVERAGE(OFFSET($H$3,0,0,'Données projet'!$E$12+1,1))</f>
        <v>49.695493809293282</v>
      </c>
      <c r="CE50" s="62">
        <f t="shared" si="40"/>
        <v>59.252884227831601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21.340800000000009</v>
      </c>
      <c r="D51" s="12">
        <f t="shared" si="32"/>
        <v>6.8871990614123231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217.90034363195488</v>
      </c>
      <c r="H51" s="70">
        <f t="shared" si="1"/>
        <v>342.49709836529314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57.265382620574975</v>
      </c>
      <c r="L51" s="13">
        <f>VLOOKUP(A51,'Données projet'!$A$35:$I$55,9,0)</f>
        <v>0.88523987988327002</v>
      </c>
      <c r="M51" s="13">
        <f t="array" ref="M51">INDEX(L:L,MIN(IF(ISNUMBER(L51:L247),ROW(L51:L247),"")))</f>
        <v>0.88523987988327002</v>
      </c>
      <c r="N51" s="14">
        <f>IF('Données projet'!$A$36&gt;35,N50+M51-V50,IF(A51&lt;'Données projet'!$A$36,$K$205^A51,IF(A51='Données projet'!$A$36,'Données projet'!$B$36,N50+M51-V50)))</f>
        <v>57.265382620575025</v>
      </c>
      <c r="O51" s="14">
        <f>N51*VLOOKUP('Données projet'!$B$9,Paramètres!$A$1:$I$89,3,0)*VLOOKUP('Données projet'!$B$9,Paramètres!$A$1:$I$89,5,0)</f>
        <v>62.533797821667932</v>
      </c>
      <c r="P51" s="14">
        <f t="shared" si="33"/>
        <v>17.807342290410919</v>
      </c>
      <c r="Q51" s="22">
        <f t="shared" si="53"/>
        <v>139.92748569520398</v>
      </c>
      <c r="R51" s="62">
        <f t="shared" si="0"/>
        <v>433.2608190285373</v>
      </c>
      <c r="S51" s="62">
        <f ca="1">AVERAGE(OFFSET($R$3,0,0,'Données projet'!$E$9+1,1))-AVERAGE(OFFSET($H$3,0,0,'Données projet'!$E$9+1,1))</f>
        <v>308.00850473946429</v>
      </c>
      <c r="T51" s="62">
        <f t="shared" si="34"/>
        <v>70.709140667951715</v>
      </c>
      <c r="U51" s="16">
        <f>IF(ISNA(VLOOKUP(A51,'Données projet'!$A$35:$I$55,3,0)),0,VLOOKUP(A51,'Données projet'!$A$35:$I$55,3,0))</f>
        <v>2</v>
      </c>
      <c r="V51" s="16">
        <f>IF(ISNA(VLOOKUP(A51,'Données projet'!$A$35:$I$55,4,0)),0,VLOOKUP(A51,'Données projet'!$A$35:$I$55,4,0))</f>
        <v>6.362820291174998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118.18871999999996</v>
      </c>
      <c r="AK51" s="14">
        <f t="shared" si="35"/>
        <v>31.252174766242543</v>
      </c>
      <c r="AL51" s="22">
        <f t="shared" si="4"/>
        <v>260.2762250512057</v>
      </c>
      <c r="AM51" s="62">
        <f t="shared" si="5"/>
        <v>553.60955838453901</v>
      </c>
      <c r="AN51" s="62">
        <f ca="1">AVERAGE(OFFSET($AM$3,0,0,'Données projet'!$E$10+1,1))-AVERAGE(OFFSET($H$3,0,0,'Données projet'!$E$10+1,1))</f>
        <v>271.76512254565102</v>
      </c>
      <c r="AO51" s="62">
        <f t="shared" si="36"/>
        <v>99.160986083974535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1.2208333333333328</v>
      </c>
      <c r="BD51" s="13">
        <f>IF('Données projet'!$A$88&gt;35,BD50+BC51-BL50,IF(A51&lt;'Données projet'!$A$88,$BA$205^A51,IF(A51='Données projet'!$A$88,'Données projet'!$B$88,BD50+BC51-BL50)))</f>
        <v>45.349999999999994</v>
      </c>
      <c r="BE51" s="14">
        <f>BD51*VLOOKUP('Données projet'!$B$11,Paramètres!$A$1:$I$89,3,0)*VLOOKUP('Données projet'!$B$11,Paramètres!$A$1:$I$89,5,0)</f>
        <v>52.243199999999995</v>
      </c>
      <c r="BF51" s="14">
        <f t="shared" si="37"/>
        <v>15.191587872828539</v>
      </c>
      <c r="BG51" s="22">
        <f t="shared" si="7"/>
        <v>117.44892221184303</v>
      </c>
      <c r="BH51" s="62">
        <f t="shared" si="8"/>
        <v>410.78225554517633</v>
      </c>
      <c r="BI51" s="62">
        <f ca="1">AVERAGE(OFFSET($BH$3,0,0,'Données projet'!$E$11+1,1))-AVERAGE(OFFSET($H$3,0,0,'Données projet'!$E$11+1,1))</f>
        <v>43.16958872930951</v>
      </c>
      <c r="BJ51" s="62">
        <f t="shared" si="38"/>
        <v>69.202870643733547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</v>
      </c>
      <c r="BY51" s="13">
        <f>IF('Données projet'!$A$114&gt;35,BY50+BX51-CG50,IF(A51&lt;'Données projet'!$A$114,$BV$205^A51,IF(A51='Données projet'!$A$114,'Données projet'!$B$114,BY50+BX51-CG50)))</f>
        <v>82.000000000000043</v>
      </c>
      <c r="BZ51" s="14">
        <f>BY51*VLOOKUP('Données projet'!$B$12,Paramètres!$A$1:$I$89,3,0)*VLOOKUP('Données projet'!$B$12,Paramètres!$A$1:$I$89,5,0)</f>
        <v>47.970000000000027</v>
      </c>
      <c r="CA51" s="14">
        <f t="shared" si="39"/>
        <v>14.088245406563491</v>
      </c>
      <c r="CB51" s="22">
        <f t="shared" si="10"/>
        <v>108.08477741643145</v>
      </c>
      <c r="CC51" s="62">
        <f t="shared" si="11"/>
        <v>401.41811074976476</v>
      </c>
      <c r="CD51" s="62">
        <f ca="1">AVERAGE(OFFSET($CC$3,0,0,'Données projet'!$E$12+1,1))-AVERAGE(OFFSET($H$3,0,0,'Données projet'!$E$12+1,1))</f>
        <v>49.695493809293282</v>
      </c>
      <c r="CE51" s="62">
        <f t="shared" si="40"/>
        <v>59.252884227831601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21.78540000000001</v>
      </c>
      <c r="D52" s="12">
        <f t="shared" si="32"/>
        <v>7.0138283732789031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222.30983305688986</v>
      </c>
      <c r="H52" s="70">
        <f t="shared" si="1"/>
        <v>343.49198941679407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2.591566220703335</v>
      </c>
      <c r="N52" s="14">
        <f>IF('Données projet'!$A$36&gt;35,N51+M52-V51,IF(A52&lt;'Données projet'!$A$36,$K$205^A52,IF(A52='Données projet'!$A$36,'Données projet'!$B$36,N51+M52-V51)))</f>
        <v>53.494128550103362</v>
      </c>
      <c r="O52" s="14">
        <f>N52*VLOOKUP('Données projet'!$B$9,Paramètres!$A$1:$I$89,3,0)*VLOOKUP('Données projet'!$B$9,Paramètres!$A$1:$I$89,5,0)</f>
        <v>58.415588376712869</v>
      </c>
      <c r="P52" s="14">
        <f t="shared" si="33"/>
        <v>16.767058250417335</v>
      </c>
      <c r="Q52" s="22">
        <f t="shared" si="53"/>
        <v>130.94310954225176</v>
      </c>
      <c r="R52" s="62">
        <f t="shared" si="0"/>
        <v>424.27644287558508</v>
      </c>
      <c r="S52" s="62">
        <f ca="1">AVERAGE(OFFSET($R$3,0,0,'Données projet'!$E$9+1,1))-AVERAGE(OFFSET($H$3,0,0,'Données projet'!$E$9+1,1))</f>
        <v>308.00850473946429</v>
      </c>
      <c r="T52" s="62">
        <f t="shared" si="34"/>
        <v>70.709140667951715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124.21655999999994</v>
      </c>
      <c r="AK52" s="14">
        <f t="shared" si="35"/>
        <v>32.656457317237347</v>
      </c>
      <c r="AL52" s="22">
        <f t="shared" si="4"/>
        <v>273.220505160855</v>
      </c>
      <c r="AM52" s="62">
        <f t="shared" si="5"/>
        <v>566.55383849418831</v>
      </c>
      <c r="AN52" s="62">
        <f ca="1">AVERAGE(OFFSET($AM$3,0,0,'Données projet'!$E$10+1,1))-AVERAGE(OFFSET($H$3,0,0,'Données projet'!$E$10+1,1))</f>
        <v>271.76512254565102</v>
      </c>
      <c r="AO52" s="62">
        <f t="shared" si="36"/>
        <v>99.160986083974535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1.2208333333333328</v>
      </c>
      <c r="BD52" s="13">
        <f>IF('Données projet'!$A$88&gt;35,BD51+BC52-BL51,IF(A52&lt;'Données projet'!$A$88,$BA$205^A52,IF(A52='Données projet'!$A$88,'Données projet'!$B$88,BD51+BC52-BL51)))</f>
        <v>46.570833333333326</v>
      </c>
      <c r="BE52" s="14">
        <f>BD52*VLOOKUP('Données projet'!$B$11,Paramètres!$A$1:$I$89,3,0)*VLOOKUP('Données projet'!$B$11,Paramètres!$A$1:$I$89,5,0)</f>
        <v>53.649599999999985</v>
      </c>
      <c r="BF52" s="14">
        <f t="shared" si="37"/>
        <v>15.552385545843315</v>
      </c>
      <c r="BG52" s="22">
        <f t="shared" si="7"/>
        <v>120.52679149234375</v>
      </c>
      <c r="BH52" s="62">
        <f t="shared" si="8"/>
        <v>413.86012482567708</v>
      </c>
      <c r="BI52" s="62">
        <f ca="1">AVERAGE(OFFSET($BH$3,0,0,'Données projet'!$E$11+1,1))-AVERAGE(OFFSET($H$3,0,0,'Données projet'!$E$11+1,1))</f>
        <v>43.16958872930951</v>
      </c>
      <c r="BJ52" s="62">
        <f t="shared" si="38"/>
        <v>69.202870643733547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</v>
      </c>
      <c r="BY52" s="13">
        <f>IF('Données projet'!$A$114&gt;35,BY51+BX52-CG51,IF(A52&lt;'Données projet'!$A$114,$BV$205^A52,IF(A52='Données projet'!$A$114,'Données projet'!$B$114,BY51+BX52-CG51)))</f>
        <v>86.000000000000043</v>
      </c>
      <c r="BZ52" s="14">
        <f>BY52*VLOOKUP('Données projet'!$B$12,Paramètres!$A$1:$I$89,3,0)*VLOOKUP('Données projet'!$B$12,Paramètres!$A$1:$I$89,5,0)</f>
        <v>50.310000000000024</v>
      </c>
      <c r="CA52" s="14">
        <f t="shared" si="39"/>
        <v>14.693789693291556</v>
      </c>
      <c r="CB52" s="22">
        <f t="shared" si="10"/>
        <v>113.21493371581617</v>
      </c>
      <c r="CC52" s="62">
        <f t="shared" si="11"/>
        <v>406.5482670491495</v>
      </c>
      <c r="CD52" s="62">
        <f ca="1">AVERAGE(OFFSET($CC$3,0,0,'Données projet'!$E$12+1,1))-AVERAGE(OFFSET($H$3,0,0,'Données projet'!$E$12+1,1))</f>
        <v>49.695493809293282</v>
      </c>
      <c r="CE52" s="62">
        <f t="shared" si="40"/>
        <v>59.252884227831601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22.230000000000011</v>
      </c>
      <c r="D53" s="12">
        <f t="shared" si="32"/>
        <v>7.1401572108804405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226.71700303135788</v>
      </c>
      <c r="H53" s="70">
        <f t="shared" si="1"/>
        <v>344.48635714228345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2.591566220703335</v>
      </c>
      <c r="N53" s="14">
        <f>IF('Données projet'!$A$36&gt;35,N52+M53-V52,IF(A53&lt;'Données projet'!$A$36,$K$205^A53,IF(A53='Données projet'!$A$36,'Données projet'!$B$36,N52+M53-V52)))</f>
        <v>56.085694770806697</v>
      </c>
      <c r="O53" s="14">
        <f>N53*VLOOKUP('Données projet'!$B$9,Paramètres!$A$1:$I$89,3,0)*VLOOKUP('Données projet'!$B$9,Paramètres!$A$1:$I$89,5,0)</f>
        <v>61.245578689720908</v>
      </c>
      <c r="P53" s="14">
        <f t="shared" si="33"/>
        <v>17.482812801266373</v>
      </c>
      <c r="Q53" s="22">
        <f t="shared" si="53"/>
        <v>137.11861518013617</v>
      </c>
      <c r="R53" s="62">
        <f t="shared" si="0"/>
        <v>430.45194851346946</v>
      </c>
      <c r="S53" s="62">
        <f ca="1">AVERAGE(OFFSET($R$3,0,0,'Données projet'!$E$9+1,1))-AVERAGE(OFFSET($H$3,0,0,'Données projet'!$E$9+1,1))</f>
        <v>308.00850473946429</v>
      </c>
      <c r="T53" s="62">
        <f t="shared" si="34"/>
        <v>70.709140667951715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130.24439999999996</v>
      </c>
      <c r="AK53" s="14">
        <f t="shared" si="35"/>
        <v>34.052826821785409</v>
      </c>
      <c r="AL53" s="22">
        <f t="shared" si="4"/>
        <v>286.1510033812761</v>
      </c>
      <c r="AM53" s="62">
        <f t="shared" si="5"/>
        <v>579.48433671460941</v>
      </c>
      <c r="AN53" s="62">
        <f ca="1">AVERAGE(OFFSET($AM$3,0,0,'Données projet'!$E$10+1,1))-AVERAGE(OFFSET($H$3,0,0,'Données projet'!$E$10+1,1))</f>
        <v>271.76512254565102</v>
      </c>
      <c r="AO53" s="62">
        <f t="shared" si="36"/>
        <v>99.160986083974535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47.791666666666671</v>
      </c>
      <c r="BB53" s="13">
        <f>VLOOKUP(A53,'Données projet'!$A$87:$I$107,9,0)</f>
        <v>1.2208333333333328</v>
      </c>
      <c r="BC53" s="13">
        <f t="array" ref="BC53">INDEX(BB:BB,MIN(IF(ISNUMBER(BB53:BB249),ROW(BB53:BB249),"")))</f>
        <v>1.2208333333333328</v>
      </c>
      <c r="BD53" s="13">
        <f>IF('Données projet'!$A$88&gt;35,BD52+BC53-BL52,IF(A53&lt;'Données projet'!$A$88,$BA$205^A53,IF(A53='Données projet'!$A$88,'Données projet'!$B$88,BD52+BC53-BL52)))</f>
        <v>47.791666666666657</v>
      </c>
      <c r="BE53" s="14">
        <f>BD53*VLOOKUP('Données projet'!$B$11,Paramètres!$A$1:$I$89,3,0)*VLOOKUP('Données projet'!$B$11,Paramètres!$A$1:$I$89,5,0)</f>
        <v>55.055999999999983</v>
      </c>
      <c r="BF53" s="14">
        <f t="shared" si="37"/>
        <v>15.912083835352572</v>
      </c>
      <c r="BG53" s="22">
        <f t="shared" si="7"/>
        <v>123.60274601323903</v>
      </c>
      <c r="BH53" s="62">
        <f t="shared" si="8"/>
        <v>416.93607934657234</v>
      </c>
      <c r="BI53" s="62">
        <f ca="1">AVERAGE(OFFSET($BH$3,0,0,'Données projet'!$E$11+1,1))-AVERAGE(OFFSET($H$3,0,0,'Données projet'!$E$11+1,1))</f>
        <v>43.16958872930951</v>
      </c>
      <c r="BJ53" s="62">
        <f t="shared" si="38"/>
        <v>69.202870643733547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6.291666666666667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4</v>
      </c>
      <c r="BY53" s="13">
        <f>IF('Données projet'!$A$114&gt;35,BY52+BX53-CG52,IF(A53&lt;'Données projet'!$A$114,$BV$205^A53,IF(A53='Données projet'!$A$114,'Données projet'!$B$114,BY52+BX53-CG52)))</f>
        <v>90.000000000000043</v>
      </c>
      <c r="BZ53" s="14">
        <f>BY53*VLOOKUP('Données projet'!$B$12,Paramètres!$A$1:$I$89,3,0)*VLOOKUP('Données projet'!$B$12,Paramètres!$A$1:$I$89,5,0)</f>
        <v>52.650000000000027</v>
      </c>
      <c r="CA53" s="14">
        <f t="shared" si="39"/>
        <v>15.296063204735692</v>
      </c>
      <c r="CB53" s="22">
        <f t="shared" si="10"/>
        <v>118.33939341491471</v>
      </c>
      <c r="CC53" s="62">
        <f t="shared" si="11"/>
        <v>411.67272674824801</v>
      </c>
      <c r="CD53" s="62">
        <f ca="1">AVERAGE(OFFSET($CC$3,0,0,'Données projet'!$E$12+1,1))-AVERAGE(OFFSET($H$3,0,0,'Données projet'!$E$12+1,1))</f>
        <v>49.695493809293282</v>
      </c>
      <c r="CE53" s="62">
        <f t="shared" si="40"/>
        <v>59.252884227831601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22.674600000000012</v>
      </c>
      <c r="D54" s="12">
        <f t="shared" si="32"/>
        <v>7.2661922763048867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231.12190529077466</v>
      </c>
      <c r="H54" s="70">
        <f t="shared" si="1"/>
        <v>345.48021321456434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2.591566220703335</v>
      </c>
      <c r="N54" s="14">
        <f>IF('Données projet'!$A$36&gt;35,N53+M54-V53,IF(A54&lt;'Données projet'!$A$36,$K$205^A54,IF(A54='Données projet'!$A$36,'Données projet'!$B$36,N53+M54-V53)))</f>
        <v>58.677260991510032</v>
      </c>
      <c r="O54" s="14">
        <f>N54*VLOOKUP('Données projet'!$B$9,Paramètres!$A$1:$I$89,3,0)*VLOOKUP('Données projet'!$B$9,Paramètres!$A$1:$I$89,5,0)</f>
        <v>64.075569002728955</v>
      </c>
      <c r="P54" s="14">
        <f t="shared" si="33"/>
        <v>18.194726539573782</v>
      </c>
      <c r="Q54" s="22">
        <f t="shared" si="53"/>
        <v>143.28743140284391</v>
      </c>
      <c r="R54" s="62">
        <f t="shared" si="0"/>
        <v>436.62076473617719</v>
      </c>
      <c r="S54" s="62">
        <f ca="1">AVERAGE(OFFSET($R$3,0,0,'Données projet'!$E$9+1,1))-AVERAGE(OFFSET($H$3,0,0,'Données projet'!$E$9+1,1))</f>
        <v>308.00850473946429</v>
      </c>
      <c r="T54" s="62">
        <f t="shared" si="34"/>
        <v>70.709140667951715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126.59999999999995</v>
      </c>
      <c r="AJ54" s="14">
        <f>AI54*VLOOKUP('Données projet'!$B$10,Paramètres!$A$1:$I$89,3,0)*VLOOKUP('Données projet'!$B$10,Paramètres!$A$1:$I$89,5,0)</f>
        <v>136.27223999999993</v>
      </c>
      <c r="AK54" s="14">
        <f t="shared" si="35"/>
        <v>35.441691330456997</v>
      </c>
      <c r="AL54" s="22">
        <f t="shared" si="4"/>
        <v>299.06843040054582</v>
      </c>
      <c r="AM54" s="62">
        <f t="shared" si="5"/>
        <v>592.40176373387908</v>
      </c>
      <c r="AN54" s="62">
        <f ca="1">AVERAGE(OFFSET($AM$3,0,0,'Données projet'!$E$10+1,1))-AVERAGE(OFFSET($H$3,0,0,'Données projet'!$E$10+1,1))</f>
        <v>271.76512254565102</v>
      </c>
      <c r="AO54" s="62">
        <f t="shared" si="36"/>
        <v>99.160986083974535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1.075</v>
      </c>
      <c r="BD54" s="13">
        <f>IF('Données projet'!$A$88&gt;35,BD53+BC54-BL53,IF(A54&lt;'Données projet'!$A$88,$BA$205^A54,IF(A54='Données projet'!$A$88,'Données projet'!$B$88,BD53+BC54-BL53)))</f>
        <v>42.574999999999996</v>
      </c>
      <c r="BE54" s="14">
        <f>BD54*VLOOKUP('Données projet'!$B$11,Paramètres!$A$1:$I$89,3,0)*VLOOKUP('Données projet'!$B$11,Paramètres!$A$1:$I$89,5,0)</f>
        <v>49.046399999999991</v>
      </c>
      <c r="BF54" s="14">
        <f t="shared" si="37"/>
        <v>14.367212986246816</v>
      </c>
      <c r="BG54" s="22">
        <f t="shared" si="7"/>
        <v>110.44537595104651</v>
      </c>
      <c r="BH54" s="62">
        <f t="shared" si="8"/>
        <v>403.77870928437983</v>
      </c>
      <c r="BI54" s="62">
        <f ca="1">AVERAGE(OFFSET($BH$3,0,0,'Données projet'!$E$11+1,1))-AVERAGE(OFFSET($H$3,0,0,'Données projet'!$E$11+1,1))</f>
        <v>43.16958872930951</v>
      </c>
      <c r="BJ54" s="62">
        <f t="shared" si="38"/>
        <v>69.202870643733547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</v>
      </c>
      <c r="BY54" s="13">
        <f>IF('Données projet'!$A$114&gt;35,BY53+BX54-CG53,IF(A54&lt;'Données projet'!$A$114,$BV$205^A54,IF(A54='Données projet'!$A$114,'Données projet'!$B$114,BY53+BX54-CG53)))</f>
        <v>94.000000000000043</v>
      </c>
      <c r="BZ54" s="14">
        <f>BY54*VLOOKUP('Données projet'!$B$12,Paramètres!$A$1:$I$89,3,0)*VLOOKUP('Données projet'!$B$12,Paramètres!$A$1:$I$89,5,0)</f>
        <v>54.990000000000023</v>
      </c>
      <c r="CA54" s="14">
        <f t="shared" si="39"/>
        <v>15.895227919347022</v>
      </c>
      <c r="CB54" s="22">
        <f t="shared" si="10"/>
        <v>123.4584386261961</v>
      </c>
      <c r="CC54" s="62">
        <f t="shared" si="11"/>
        <v>416.7917719595294</v>
      </c>
      <c r="CD54" s="62">
        <f ca="1">AVERAGE(OFFSET($CC$3,0,0,'Données projet'!$E$12+1,1))-AVERAGE(OFFSET($H$3,0,0,'Données projet'!$E$12+1,1))</f>
        <v>49.695493809293282</v>
      </c>
      <c r="CE54" s="62">
        <f t="shared" si="40"/>
        <v>59.252884227831601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23.119200000000014</v>
      </c>
      <c r="D55" s="12">
        <f t="shared" si="32"/>
        <v>7.39193999378044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235.52458942567372</v>
      </c>
      <c r="H55" s="70">
        <f t="shared" si="1"/>
        <v>346.47356882250097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2.591566220703335</v>
      </c>
      <c r="N55" s="14">
        <f>IF('Données projet'!$A$36&gt;35,N54+M55-V54,IF(A55&lt;'Données projet'!$A$36,$K$205^A55,IF(A55='Données projet'!$A$36,'Données projet'!$B$36,N54+M55-V54)))</f>
        <v>61.268827212213367</v>
      </c>
      <c r="O55" s="14">
        <f>N55*VLOOKUP('Données projet'!$B$9,Paramètres!$A$1:$I$89,3,0)*VLOOKUP('Données projet'!$B$9,Paramètres!$A$1:$I$89,5,0)</f>
        <v>66.905559315736994</v>
      </c>
      <c r="P55" s="14">
        <f t="shared" si="33"/>
        <v>18.902988485434594</v>
      </c>
      <c r="Q55" s="22">
        <f t="shared" si="53"/>
        <v>149.44988742037384</v>
      </c>
      <c r="R55" s="62">
        <f t="shared" si="0"/>
        <v>442.78322075370716</v>
      </c>
      <c r="S55" s="62">
        <f ca="1">AVERAGE(OFFSET($R$3,0,0,'Données projet'!$E$9+1,1))-AVERAGE(OFFSET($H$3,0,0,'Données projet'!$E$9+1,1))</f>
        <v>308.00850473946429</v>
      </c>
      <c r="T55" s="62">
        <f t="shared" si="34"/>
        <v>70.709140667951715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132.19999999999996</v>
      </c>
      <c r="AJ55" s="14">
        <f>AI55*VLOOKUP('Données projet'!$B$10,Paramètres!$A$1:$I$89,3,0)*VLOOKUP('Données projet'!$B$10,Paramètres!$A$1:$I$89,5,0)</f>
        <v>142.30007999999995</v>
      </c>
      <c r="AK55" s="14">
        <f t="shared" si="35"/>
        <v>36.823420753495235</v>
      </c>
      <c r="AL55" s="22">
        <f t="shared" si="4"/>
        <v>311.97343047900409</v>
      </c>
      <c r="AM55" s="62">
        <f t="shared" si="5"/>
        <v>605.30676381233741</v>
      </c>
      <c r="AN55" s="62">
        <f ca="1">AVERAGE(OFFSET($AM$3,0,0,'Données projet'!$E$10+1,1))-AVERAGE(OFFSET($H$3,0,0,'Données projet'!$E$10+1,1))</f>
        <v>271.76512254565102</v>
      </c>
      <c r="AO55" s="62">
        <f t="shared" si="36"/>
        <v>99.160986083974535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1.075</v>
      </c>
      <c r="BD55" s="13">
        <f>IF('Données projet'!$A$88&gt;35,BD54+BC55-BL54,IF(A55&lt;'Données projet'!$A$88,$BA$205^A55,IF(A55='Données projet'!$A$88,'Données projet'!$B$88,BD54+BC55-BL54)))</f>
        <v>43.65</v>
      </c>
      <c r="BE55" s="14">
        <f>BD55*VLOOKUP('Données projet'!$B$11,Paramètres!$A$1:$I$89,3,0)*VLOOKUP('Données projet'!$B$11,Paramètres!$A$1:$I$89,5,0)</f>
        <v>50.284799999999997</v>
      </c>
      <c r="BF55" s="14">
        <f t="shared" si="37"/>
        <v>14.687286174296107</v>
      </c>
      <c r="BG55" s="22">
        <f t="shared" si="7"/>
        <v>113.15971675356572</v>
      </c>
      <c r="BH55" s="62">
        <f t="shared" si="8"/>
        <v>406.49305008689902</v>
      </c>
      <c r="BI55" s="62">
        <f ca="1">AVERAGE(OFFSET($BH$3,0,0,'Données projet'!$E$11+1,1))-AVERAGE(OFFSET($H$3,0,0,'Données projet'!$E$11+1,1))</f>
        <v>43.16958872930951</v>
      </c>
      <c r="BJ55" s="62">
        <f t="shared" si="38"/>
        <v>69.202870643733547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</v>
      </c>
      <c r="BY55" s="13">
        <f>IF('Données projet'!$A$114&gt;35,BY54+BX55-CG54,IF(A55&lt;'Données projet'!$A$114,$BV$205^A55,IF(A55='Données projet'!$A$114,'Données projet'!$B$114,BY54+BX55-CG54)))</f>
        <v>98.000000000000043</v>
      </c>
      <c r="BZ55" s="14">
        <f>BY55*VLOOKUP('Données projet'!$B$12,Paramètres!$A$1:$I$89,3,0)*VLOOKUP('Données projet'!$B$12,Paramètres!$A$1:$I$89,5,0)</f>
        <v>57.330000000000034</v>
      </c>
      <c r="CA55" s="14">
        <f t="shared" si="39"/>
        <v>16.491431250436101</v>
      </c>
      <c r="CB55" s="22">
        <f t="shared" si="10"/>
        <v>128.57232609450958</v>
      </c>
      <c r="CC55" s="62">
        <f t="shared" si="11"/>
        <v>421.90565942784292</v>
      </c>
      <c r="CD55" s="62">
        <f ca="1">AVERAGE(OFFSET($CC$3,0,0,'Données projet'!$E$12+1,1))-AVERAGE(OFFSET($H$3,0,0,'Données projet'!$E$12+1,1))</f>
        <v>49.695493809293282</v>
      </c>
      <c r="CE55" s="62">
        <f t="shared" si="40"/>
        <v>59.252884227831601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23.563800000000015</v>
      </c>
      <c r="D56" s="12">
        <f t="shared" si="32"/>
        <v>7.5174065263133816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239.92510301013849</v>
      </c>
      <c r="H56" s="70">
        <f t="shared" si="1"/>
        <v>347.46643469999583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2.591566220703335</v>
      </c>
      <c r="N56" s="14">
        <f>IF('Données projet'!$A$36&gt;35,N55+M56-V55,IF(A56&lt;'Données projet'!$A$36,$K$205^A56,IF(A56='Données projet'!$A$36,'Données projet'!$B$36,N55+M56-V55)))</f>
        <v>63.860393432916702</v>
      </c>
      <c r="O56" s="14">
        <f>N56*VLOOKUP('Données projet'!$B$9,Paramètres!$A$1:$I$89,3,0)*VLOOKUP('Données projet'!$B$9,Paramètres!$A$1:$I$89,5,0)</f>
        <v>69.735549628745034</v>
      </c>
      <c r="P56" s="14">
        <f t="shared" si="33"/>
        <v>19.607770763969476</v>
      </c>
      <c r="Q56" s="22">
        <f t="shared" si="53"/>
        <v>155.60628301731109</v>
      </c>
      <c r="R56" s="62">
        <f t="shared" si="0"/>
        <v>448.93961635064443</v>
      </c>
      <c r="S56" s="62">
        <f ca="1">AVERAGE(OFFSET($R$3,0,0,'Données projet'!$E$9+1,1))-AVERAGE(OFFSET($H$3,0,0,'Données projet'!$E$9+1,1))</f>
        <v>308.00850473946429</v>
      </c>
      <c r="T56" s="62">
        <f t="shared" si="34"/>
        <v>70.709140667951715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137.79999999999995</v>
      </c>
      <c r="AJ56" s="14">
        <f>AI56*VLOOKUP('Données projet'!$B$10,Paramètres!$A$1:$I$89,3,0)*VLOOKUP('Données projet'!$B$10,Paramètres!$A$1:$I$89,5,0)</f>
        <v>148.32791999999995</v>
      </c>
      <c r="AK56" s="14">
        <f t="shared" si="35"/>
        <v>38.198351889603472</v>
      </c>
      <c r="AL56" s="22">
        <f t="shared" si="4"/>
        <v>324.86659020772595</v>
      </c>
      <c r="AM56" s="62">
        <f t="shared" si="5"/>
        <v>618.19992354105921</v>
      </c>
      <c r="AN56" s="62">
        <f ca="1">AVERAGE(OFFSET($AM$3,0,0,'Données projet'!$E$10+1,1))-AVERAGE(OFFSET($H$3,0,0,'Données projet'!$E$10+1,1))</f>
        <v>271.76512254565102</v>
      </c>
      <c r="AO56" s="62">
        <f t="shared" si="36"/>
        <v>99.160986083974535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1.075</v>
      </c>
      <c r="BD56" s="13">
        <f>IF('Données projet'!$A$88&gt;35,BD55+BC56-BL55,IF(A56&lt;'Données projet'!$A$88,$BA$205^A56,IF(A56='Données projet'!$A$88,'Données projet'!$B$88,BD55+BC56-BL55)))</f>
        <v>44.725000000000001</v>
      </c>
      <c r="BE56" s="14">
        <f>BD56*VLOOKUP('Données projet'!$B$11,Paramètres!$A$1:$I$89,3,0)*VLOOKUP('Données projet'!$B$11,Paramètres!$A$1:$I$89,5,0)</f>
        <v>51.523199999999996</v>
      </c>
      <c r="BF56" s="14">
        <f t="shared" si="37"/>
        <v>15.006443035201544</v>
      </c>
      <c r="BG56" s="22">
        <f t="shared" si="7"/>
        <v>115.87246161964269</v>
      </c>
      <c r="BH56" s="62">
        <f t="shared" si="8"/>
        <v>409.20579495297602</v>
      </c>
      <c r="BI56" s="62">
        <f ca="1">AVERAGE(OFFSET($BH$3,0,0,'Données projet'!$E$11+1,1))-AVERAGE(OFFSET($H$3,0,0,'Données projet'!$E$11+1,1))</f>
        <v>43.16958872930951</v>
      </c>
      <c r="BJ56" s="62">
        <f t="shared" si="38"/>
        <v>69.202870643733547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</v>
      </c>
      <c r="BY56" s="13">
        <f>IF('Données projet'!$A$114&gt;35,BY55+BX56-CG55,IF(A56&lt;'Données projet'!$A$114,$BV$205^A56,IF(A56='Données projet'!$A$114,'Données projet'!$B$114,BY55+BX56-CG55)))</f>
        <v>102.00000000000004</v>
      </c>
      <c r="BZ56" s="14">
        <f>BY56*VLOOKUP('Données projet'!$B$12,Paramètres!$A$1:$I$89,3,0)*VLOOKUP('Données projet'!$B$12,Paramètres!$A$1:$I$89,5,0)</f>
        <v>59.67000000000003</v>
      </c>
      <c r="CA56" s="14">
        <f t="shared" si="39"/>
        <v>17.084807896591332</v>
      </c>
      <c r="CB56" s="22">
        <f t="shared" si="10"/>
        <v>133.68129041989661</v>
      </c>
      <c r="CC56" s="62">
        <f t="shared" si="11"/>
        <v>427.0146237532299</v>
      </c>
      <c r="CD56" s="62">
        <f ca="1">AVERAGE(OFFSET($CC$3,0,0,'Données projet'!$E$12+1,1))-AVERAGE(OFFSET($H$3,0,0,'Données projet'!$E$12+1,1))</f>
        <v>49.695493809293282</v>
      </c>
      <c r="CE56" s="62">
        <f t="shared" si="40"/>
        <v>59.252884227831601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24.008400000000016</v>
      </c>
      <c r="D57" s="12">
        <f t="shared" si="32"/>
        <v>7.6425977910346994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244.32349172026798</v>
      </c>
      <c r="H57" s="70">
        <f t="shared" si="1"/>
        <v>348.45882115271877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2.591566220703335</v>
      </c>
      <c r="N57" s="14">
        <f>IF('Données projet'!$A$36&gt;35,N56+M57-V56,IF(A57&lt;'Données projet'!$A$36,$K$205^A57,IF(A57='Données projet'!$A$36,'Données projet'!$B$36,N56+M57-V56)))</f>
        <v>66.451959653620037</v>
      </c>
      <c r="O57" s="14">
        <f>N57*VLOOKUP('Données projet'!$B$9,Paramètres!$A$1:$I$89,3,0)*VLOOKUP('Données projet'!$B$9,Paramètres!$A$1:$I$89,5,0)</f>
        <v>72.565539941753087</v>
      </c>
      <c r="P57" s="14">
        <f t="shared" si="33"/>
        <v>20.309230739399371</v>
      </c>
      <c r="Q57" s="22">
        <f t="shared" si="53"/>
        <v>161.75689226967384</v>
      </c>
      <c r="R57" s="62">
        <f t="shared" si="0"/>
        <v>455.09022560300718</v>
      </c>
      <c r="S57" s="62">
        <f ca="1">AVERAGE(OFFSET($R$3,0,0,'Données projet'!$E$9+1,1))-AVERAGE(OFFSET($H$3,0,0,'Données projet'!$E$9+1,1))</f>
        <v>308.00850473946429</v>
      </c>
      <c r="T57" s="62">
        <f t="shared" si="34"/>
        <v>70.709140667951715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143.39999999999995</v>
      </c>
      <c r="AJ57" s="14">
        <f>AI57*VLOOKUP('Données projet'!$B$10,Paramètres!$A$1:$I$89,3,0)*VLOOKUP('Données projet'!$B$10,Paramètres!$A$1:$I$89,5,0)</f>
        <v>154.35575999999995</v>
      </c>
      <c r="AK57" s="14">
        <f t="shared" si="35"/>
        <v>39.566792614262397</v>
      </c>
      <c r="AL57" s="22">
        <f t="shared" si="4"/>
        <v>337.74844580317352</v>
      </c>
      <c r="AM57" s="62">
        <f t="shared" si="5"/>
        <v>631.08177913650684</v>
      </c>
      <c r="AN57" s="62">
        <f ca="1">AVERAGE(OFFSET($AM$3,0,0,'Données projet'!$E$10+1,1))-AVERAGE(OFFSET($H$3,0,0,'Données projet'!$E$10+1,1))</f>
        <v>271.76512254565102</v>
      </c>
      <c r="AO57" s="62">
        <f t="shared" si="36"/>
        <v>99.160986083974535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1.075</v>
      </c>
      <c r="BD57" s="13">
        <f>IF('Données projet'!$A$88&gt;35,BD56+BC57-BL56,IF(A57&lt;'Données projet'!$A$88,$BA$205^A57,IF(A57='Données projet'!$A$88,'Données projet'!$B$88,BD56+BC57-BL56)))</f>
        <v>45.800000000000004</v>
      </c>
      <c r="BE57" s="14">
        <f>BD57*VLOOKUP('Données projet'!$B$11,Paramètres!$A$1:$I$89,3,0)*VLOOKUP('Données projet'!$B$11,Paramètres!$A$1:$I$89,5,0)</f>
        <v>52.761600000000001</v>
      </c>
      <c r="BF57" s="14">
        <f t="shared" si="37"/>
        <v>15.324708127680141</v>
      </c>
      <c r="BG57" s="22">
        <f t="shared" si="7"/>
        <v>118.58365332237622</v>
      </c>
      <c r="BH57" s="62">
        <f t="shared" si="8"/>
        <v>411.91698665570954</v>
      </c>
      <c r="BI57" s="62">
        <f ca="1">AVERAGE(OFFSET($BH$3,0,0,'Données projet'!$E$11+1,1))-AVERAGE(OFFSET($H$3,0,0,'Données projet'!$E$11+1,1))</f>
        <v>43.16958872930951</v>
      </c>
      <c r="BJ57" s="62">
        <f t="shared" si="38"/>
        <v>69.202870643733547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</v>
      </c>
      <c r="BY57" s="13">
        <f>IF('Données projet'!$A$114&gt;35,BY56+BX57-CG56,IF(A57&lt;'Données projet'!$A$114,$BV$205^A57,IF(A57='Données projet'!$A$114,'Données projet'!$B$114,BY56+BX57-CG56)))</f>
        <v>106.00000000000004</v>
      </c>
      <c r="BZ57" s="14">
        <f>BY57*VLOOKUP('Données projet'!$B$12,Paramètres!$A$1:$I$89,3,0)*VLOOKUP('Données projet'!$B$12,Paramètres!$A$1:$I$89,5,0)</f>
        <v>62.010000000000026</v>
      </c>
      <c r="CA57" s="14">
        <f t="shared" si="39"/>
        <v>17.675481393668683</v>
      </c>
      <c r="CB57" s="22">
        <f t="shared" si="10"/>
        <v>138.78554676063968</v>
      </c>
      <c r="CC57" s="62">
        <f t="shared" si="11"/>
        <v>432.11888009397296</v>
      </c>
      <c r="CD57" s="62">
        <f ca="1">AVERAGE(OFFSET($CC$3,0,0,'Données projet'!$E$12+1,1))-AVERAGE(OFFSET($H$3,0,0,'Données projet'!$E$12+1,1))</f>
        <v>49.695493809293282</v>
      </c>
      <c r="CE57" s="62">
        <f t="shared" si="40"/>
        <v>59.252884227831601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24.453000000000017</v>
      </c>
      <c r="D58" s="12">
        <f t="shared" si="32"/>
        <v>7.7675194733777841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248.71979944361814</v>
      </c>
      <c r="H58" s="70">
        <f t="shared" si="1"/>
        <v>349.45073808279966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2.591566220703335</v>
      </c>
      <c r="N58" s="14">
        <f>IF('Données projet'!$A$36&gt;35,N57+M58-V57,IF(A58&lt;'Données projet'!$A$36,$K$205^A58,IF(A58='Données projet'!$A$36,'Données projet'!$B$36,N57+M58-V57)))</f>
        <v>69.043525874323365</v>
      </c>
      <c r="O58" s="14">
        <f>N58*VLOOKUP('Données projet'!$B$9,Paramètres!$A$1:$I$89,3,0)*VLOOKUP('Données projet'!$B$9,Paramètres!$A$1:$I$89,5,0)</f>
        <v>75.395530254761113</v>
      </c>
      <c r="P58" s="14">
        <f t="shared" si="33"/>
        <v>21.007512806846297</v>
      </c>
      <c r="Q58" s="22">
        <f t="shared" si="53"/>
        <v>167.9019666656329</v>
      </c>
      <c r="R58" s="62">
        <f t="shared" si="0"/>
        <v>461.23529999896618</v>
      </c>
      <c r="S58" s="62">
        <f ca="1">AVERAGE(OFFSET($R$3,0,0,'Données projet'!$E$9+1,1))-AVERAGE(OFFSET($H$3,0,0,'Données projet'!$E$9+1,1))</f>
        <v>308.00850473946429</v>
      </c>
      <c r="T58" s="62">
        <f t="shared" si="34"/>
        <v>70.709140667951715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149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148.99999999999994</v>
      </c>
      <c r="AJ58" s="14">
        <f>AI58*VLOOKUP('Données projet'!$B$10,Paramètres!$A$1:$I$89,3,0)*VLOOKUP('Données projet'!$B$10,Paramètres!$A$1:$I$89,5,0)</f>
        <v>160.38359999999994</v>
      </c>
      <c r="AK58" s="14">
        <f t="shared" si="35"/>
        <v>40.929025395397851</v>
      </c>
      <c r="AL58" s="22">
        <f t="shared" si="4"/>
        <v>350.61948923031781</v>
      </c>
      <c r="AM58" s="62">
        <f t="shared" si="5"/>
        <v>643.95282256365113</v>
      </c>
      <c r="AN58" s="62">
        <f ca="1">AVERAGE(OFFSET($AM$3,0,0,'Données projet'!$E$10+1,1))-AVERAGE(OFFSET($H$3,0,0,'Données projet'!$E$10+1,1))</f>
        <v>271.76512254565102</v>
      </c>
      <c r="AO58" s="62">
        <f t="shared" si="36"/>
        <v>99.160986083974535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1.075</v>
      </c>
      <c r="BD58" s="13">
        <f>IF('Données projet'!$A$88&gt;35,BD57+BC58-BL57,IF(A58&lt;'Données projet'!$A$88,$BA$205^A58,IF(A58='Données projet'!$A$88,'Données projet'!$B$88,BD57+BC58-BL57)))</f>
        <v>46.875000000000007</v>
      </c>
      <c r="BE58" s="14">
        <f>BD58*VLOOKUP('Données projet'!$B$11,Paramètres!$A$1:$I$89,3,0)*VLOOKUP('Données projet'!$B$11,Paramètres!$A$1:$I$89,5,0)</f>
        <v>54.000000000000007</v>
      </c>
      <c r="BF58" s="14">
        <f t="shared" si="37"/>
        <v>15.642104791814804</v>
      </c>
      <c r="BG58" s="22">
        <f t="shared" si="7"/>
        <v>121.29333251241081</v>
      </c>
      <c r="BH58" s="62">
        <f t="shared" si="8"/>
        <v>414.62666584574413</v>
      </c>
      <c r="BI58" s="62">
        <f ca="1">AVERAGE(OFFSET($BH$3,0,0,'Données projet'!$E$11+1,1))-AVERAGE(OFFSET($H$3,0,0,'Données projet'!$E$11+1,1))</f>
        <v>43.16958872930951</v>
      </c>
      <c r="BJ58" s="62">
        <f t="shared" si="38"/>
        <v>69.202870643733547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110</v>
      </c>
      <c r="BW58" s="13">
        <f>VLOOKUP(A58,'Données projet'!$A$113:$I$133,9,0)</f>
        <v>4</v>
      </c>
      <c r="BX58" s="13">
        <f t="array" ref="BX58">INDEX(BW:BW,MIN(IF(ISNUMBER(BW58:BW254),ROW(BW58:BW254),"")))</f>
        <v>4</v>
      </c>
      <c r="BY58" s="13">
        <f>IF('Données projet'!$A$114&gt;35,BY57+BX58-CG57,IF(A58&lt;'Données projet'!$A$114,$BV$205^A58,IF(A58='Données projet'!$A$114,'Données projet'!$B$114,BY57+BX58-CG57)))</f>
        <v>110.00000000000004</v>
      </c>
      <c r="BZ58" s="14">
        <f>BY58*VLOOKUP('Données projet'!$B$12,Paramètres!$A$1:$I$89,3,0)*VLOOKUP('Données projet'!$B$12,Paramètres!$A$1:$I$89,5,0)</f>
        <v>64.350000000000037</v>
      </c>
      <c r="CA58" s="14">
        <f t="shared" si="39"/>
        <v>18.263565425931414</v>
      </c>
      <c r="CB58" s="22">
        <f t="shared" si="10"/>
        <v>143.88529311683061</v>
      </c>
      <c r="CC58" s="62">
        <f t="shared" si="11"/>
        <v>437.21862645016392</v>
      </c>
      <c r="CD58" s="62">
        <f ca="1">AVERAGE(OFFSET($CC$3,0,0,'Données projet'!$E$12+1,1))-AVERAGE(OFFSET($H$3,0,0,'Données projet'!$E$12+1,1))</f>
        <v>49.695493809293282</v>
      </c>
      <c r="CE58" s="62">
        <f t="shared" si="40"/>
        <v>59.252884227831601</v>
      </c>
      <c r="CF58" s="16">
        <f>IF(ISNA(VLOOKUP(A58,'Données projet'!$A$113:$I$133,3,0)),0,VLOOKUP(A58,'Données projet'!$A$113:$I$133,3,0))</f>
        <v>2</v>
      </c>
      <c r="CG58" s="16">
        <f>IF(ISNA(VLOOKUP(A58,'Données projet'!$A$113:$I$133,4,0)),0,VLOOKUP(A58,'Données projet'!$A$113:$I$133,4,0))</f>
        <v>47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24.897600000000018</v>
      </c>
      <c r="D59" s="12">
        <f t="shared" si="32"/>
        <v>7.8921770401958309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253.1140683804592</v>
      </c>
      <c r="H59" s="70">
        <f t="shared" si="1"/>
        <v>350.44219501167441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2.591566220703335</v>
      </c>
      <c r="N59" s="14">
        <f>IF('Données projet'!$A$36&gt;35,N58+M59-V58,IF(A59&lt;'Données projet'!$A$36,$K$205^A59,IF(A59='Données projet'!$A$36,'Données projet'!$B$36,N58+M59-V58)))</f>
        <v>71.635092095026693</v>
      </c>
      <c r="O59" s="14">
        <f>N59*VLOOKUP('Données projet'!$B$9,Paramètres!$A$1:$I$89,3,0)*VLOOKUP('Données projet'!$B$9,Paramètres!$A$1:$I$89,5,0)</f>
        <v>78.225520567769138</v>
      </c>
      <c r="P59" s="14">
        <f t="shared" si="33"/>
        <v>21.702749907547155</v>
      </c>
      <c r="Q59" s="22">
        <f t="shared" si="53"/>
        <v>174.04173774450919</v>
      </c>
      <c r="R59" s="62">
        <f t="shared" si="0"/>
        <v>467.37507107784251</v>
      </c>
      <c r="S59" s="62">
        <f ca="1">AVERAGE(OFFSET($R$3,0,0,'Données projet'!$E$9+1,1))-AVERAGE(OFFSET($H$3,0,0,'Données projet'!$E$9+1,1))</f>
        <v>308.00850473946429</v>
      </c>
      <c r="T59" s="62">
        <f t="shared" si="34"/>
        <v>70.709140667951715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126.39999999999995</v>
      </c>
      <c r="AJ59" s="14">
        <f>AI59*VLOOKUP('Données projet'!$B$10,Paramètres!$A$1:$I$89,3,0)*VLOOKUP('Données projet'!$B$10,Paramètres!$A$1:$I$89,5,0)</f>
        <v>136.05695999999992</v>
      </c>
      <c r="AK59" s="14">
        <f t="shared" si="35"/>
        <v>35.392213985322201</v>
      </c>
      <c r="AL59" s="22">
        <f t="shared" si="4"/>
        <v>298.60731135776933</v>
      </c>
      <c r="AM59" s="62">
        <f t="shared" si="5"/>
        <v>591.94064469110265</v>
      </c>
      <c r="AN59" s="62">
        <f ca="1">AVERAGE(OFFSET($AM$3,0,0,'Données projet'!$E$10+1,1))-AVERAGE(OFFSET($H$3,0,0,'Données projet'!$E$10+1,1))</f>
        <v>271.76512254565102</v>
      </c>
      <c r="AO59" s="62">
        <f t="shared" si="36"/>
        <v>99.160986083974535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1.075</v>
      </c>
      <c r="BD59" s="13">
        <f>IF('Données projet'!$A$88&gt;35,BD58+BC59-BL58,IF(A59&lt;'Données projet'!$A$88,$BA$205^A59,IF(A59='Données projet'!$A$88,'Données projet'!$B$88,BD58+BC59-BL58)))</f>
        <v>47.95000000000001</v>
      </c>
      <c r="BE59" s="14">
        <f>BD59*VLOOKUP('Données projet'!$B$11,Paramètres!$A$1:$I$89,3,0)*VLOOKUP('Données projet'!$B$11,Paramètres!$A$1:$I$89,5,0)</f>
        <v>55.238400000000013</v>
      </c>
      <c r="BF59" s="14">
        <f t="shared" si="37"/>
        <v>15.958655236063937</v>
      </c>
      <c r="BG59" s="22">
        <f t="shared" si="7"/>
        <v>124.00153786947804</v>
      </c>
      <c r="BH59" s="62">
        <f t="shared" si="8"/>
        <v>417.33487120281137</v>
      </c>
      <c r="BI59" s="62">
        <f ca="1">AVERAGE(OFFSET($BH$3,0,0,'Données projet'!$E$11+1,1))-AVERAGE(OFFSET($H$3,0,0,'Données projet'!$E$11+1,1))</f>
        <v>43.16958872930951</v>
      </c>
      <c r="BJ59" s="62">
        <f t="shared" si="38"/>
        <v>69.202870643733547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3.6</v>
      </c>
      <c r="BY59" s="13">
        <f>IF('Données projet'!$A$114&gt;35,BY58+BX59-CG58,IF(A59&lt;'Données projet'!$A$114,$BV$205^A59,IF(A59='Données projet'!$A$114,'Données projet'!$B$114,BY58+BX59-CG58)))</f>
        <v>66.600000000000037</v>
      </c>
      <c r="BZ59" s="14">
        <f>BY59*VLOOKUP('Données projet'!$B$12,Paramètres!$A$1:$I$89,3,0)*VLOOKUP('Données projet'!$B$12,Paramètres!$A$1:$I$89,5,0)</f>
        <v>38.96100000000002</v>
      </c>
      <c r="CA59" s="14">
        <f t="shared" si="39"/>
        <v>11.722839446826978</v>
      </c>
      <c r="CB59" s="22">
        <f t="shared" si="10"/>
        <v>88.274353703223667</v>
      </c>
      <c r="CC59" s="62">
        <f t="shared" si="11"/>
        <v>381.60768703655697</v>
      </c>
      <c r="CD59" s="62">
        <f ca="1">AVERAGE(OFFSET($CC$3,0,0,'Données projet'!$E$12+1,1))-AVERAGE(OFFSET($H$3,0,0,'Données projet'!$E$12+1,1))</f>
        <v>49.695493809293282</v>
      </c>
      <c r="CE59" s="62">
        <f t="shared" si="40"/>
        <v>59.252884227831601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25.34220000000002</v>
      </c>
      <c r="D60" s="12">
        <f t="shared" si="32"/>
        <v>8.016575751915763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257.50633913759555</v>
      </c>
      <c r="H60" s="70">
        <f t="shared" si="1"/>
        <v>351.4332011012533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2.591566220703335</v>
      </c>
      <c r="N60" s="14">
        <f>IF('Données projet'!$A$36&gt;35,N59+M60-V59,IF(A60&lt;'Données projet'!$A$36,$K$205^A60,IF(A60='Données projet'!$A$36,'Données projet'!$B$36,N59+M60-V59)))</f>
        <v>74.22665831573002</v>
      </c>
      <c r="O60" s="14">
        <f>N60*VLOOKUP('Données projet'!$B$9,Paramètres!$A$1:$I$89,3,0)*VLOOKUP('Données projet'!$B$9,Paramètres!$A$1:$I$89,5,0)</f>
        <v>81.055510880777177</v>
      </c>
      <c r="P60" s="14">
        <f t="shared" si="33"/>
        <v>22.39506481863982</v>
      </c>
      <c r="Q60" s="22">
        <f t="shared" si="53"/>
        <v>180.17641934315125</v>
      </c>
      <c r="R60" s="62">
        <f t="shared" si="0"/>
        <v>473.5097526764846</v>
      </c>
      <c r="S60" s="62">
        <f ca="1">AVERAGE(OFFSET($R$3,0,0,'Données projet'!$E$9+1,1))-AVERAGE(OFFSET($H$3,0,0,'Données projet'!$E$9+1,1))</f>
        <v>308.00850473946429</v>
      </c>
      <c r="T60" s="62">
        <f t="shared" si="34"/>
        <v>70.709140667951715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131.79999999999995</v>
      </c>
      <c r="AJ60" s="14">
        <f>AI60*VLOOKUP('Données projet'!$B$10,Paramètres!$A$1:$I$89,3,0)*VLOOKUP('Données projet'!$B$10,Paramètres!$A$1:$I$89,5,0)</f>
        <v>141.86951999999994</v>
      </c>
      <c r="AK60" s="14">
        <f t="shared" si="35"/>
        <v>36.724955062927357</v>
      </c>
      <c r="AL60" s="22">
        <f t="shared" si="4"/>
        <v>311.05204406793172</v>
      </c>
      <c r="AM60" s="62">
        <f t="shared" si="5"/>
        <v>604.38537740126503</v>
      </c>
      <c r="AN60" s="62">
        <f ca="1">AVERAGE(OFFSET($AM$3,0,0,'Données projet'!$E$10+1,1))-AVERAGE(OFFSET($H$3,0,0,'Données projet'!$E$10+1,1))</f>
        <v>271.76512254565102</v>
      </c>
      <c r="AO60" s="62">
        <f t="shared" si="36"/>
        <v>99.160986083974535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1.075</v>
      </c>
      <c r="BD60" s="13">
        <f>IF('Données projet'!$A$88&gt;35,BD59+BC60-BL59,IF(A60&lt;'Données projet'!$A$88,$BA$205^A60,IF(A60='Données projet'!$A$88,'Données projet'!$B$88,BD59+BC60-BL59)))</f>
        <v>49.025000000000013</v>
      </c>
      <c r="BE60" s="14">
        <f>BD60*VLOOKUP('Données projet'!$B$11,Paramètres!$A$1:$I$89,3,0)*VLOOKUP('Données projet'!$B$11,Paramètres!$A$1:$I$89,5,0)</f>
        <v>56.476800000000004</v>
      </c>
      <c r="BF60" s="14">
        <f t="shared" si="37"/>
        <v>16.274380616248337</v>
      </c>
      <c r="BG60" s="22">
        <f t="shared" si="7"/>
        <v>126.70830623996585</v>
      </c>
      <c r="BH60" s="62">
        <f t="shared" si="8"/>
        <v>420.04163957329916</v>
      </c>
      <c r="BI60" s="62">
        <f ca="1">AVERAGE(OFFSET($BH$3,0,0,'Données projet'!$E$11+1,1))-AVERAGE(OFFSET($H$3,0,0,'Données projet'!$E$11+1,1))</f>
        <v>43.16958872930951</v>
      </c>
      <c r="BJ60" s="62">
        <f t="shared" si="38"/>
        <v>69.202870643733547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3.6</v>
      </c>
      <c r="BY60" s="13">
        <f>IF('Données projet'!$A$114&gt;35,BY59+BX60-CG59,IF(A60&lt;'Données projet'!$A$114,$BV$205^A60,IF(A60='Données projet'!$A$114,'Données projet'!$B$114,BY59+BX60-CG59)))</f>
        <v>70.200000000000031</v>
      </c>
      <c r="BZ60" s="14">
        <f>BY60*VLOOKUP('Données projet'!$B$12,Paramètres!$A$1:$I$89,3,0)*VLOOKUP('Données projet'!$B$12,Paramètres!$A$1:$I$89,5,0)</f>
        <v>41.067000000000021</v>
      </c>
      <c r="CA60" s="14">
        <f t="shared" si="39"/>
        <v>12.281020616191858</v>
      </c>
      <c r="CB60" s="22">
        <f t="shared" si="10"/>
        <v>92.914469239867529</v>
      </c>
      <c r="CC60" s="62">
        <f t="shared" si="11"/>
        <v>386.24780257320083</v>
      </c>
      <c r="CD60" s="62">
        <f ca="1">AVERAGE(OFFSET($CC$3,0,0,'Données projet'!$E$12+1,1))-AVERAGE(OFFSET($H$3,0,0,'Données projet'!$E$12+1,1))</f>
        <v>49.695493809293282</v>
      </c>
      <c r="CE60" s="62">
        <f t="shared" si="40"/>
        <v>59.252884227831601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25.786800000000021</v>
      </c>
      <c r="D61" s="12">
        <f t="shared" si="32"/>
        <v>8.140720673815137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261.89665081541528</v>
      </c>
      <c r="H61" s="70">
        <f t="shared" si="1"/>
        <v>352.42376517356138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2.591566220703335</v>
      </c>
      <c r="N61" s="14">
        <f>IF('Données projet'!$A$36&gt;35,N60+M61-V60,IF(A61&lt;'Données projet'!$A$36,$K$205^A61,IF(A61='Données projet'!$A$36,'Données projet'!$B$36,N60+M61-V60)))</f>
        <v>76.818224536433348</v>
      </c>
      <c r="O61" s="14">
        <f>N61*VLOOKUP('Données projet'!$B$9,Paramètres!$A$1:$I$89,3,0)*VLOOKUP('Données projet'!$B$9,Paramètres!$A$1:$I$89,5,0)</f>
        <v>83.885501193785217</v>
      </c>
      <c r="P61" s="14">
        <f t="shared" si="33"/>
        <v>23.084571257760636</v>
      </c>
      <c r="Q61" s="22">
        <f t="shared" si="53"/>
        <v>186.30620951977571</v>
      </c>
      <c r="R61" s="62">
        <f t="shared" si="0"/>
        <v>479.63954285310899</v>
      </c>
      <c r="S61" s="62">
        <f ca="1">AVERAGE(OFFSET($R$3,0,0,'Données projet'!$E$9+1,1))-AVERAGE(OFFSET($H$3,0,0,'Données projet'!$E$9+1,1))</f>
        <v>308.00850473946429</v>
      </c>
      <c r="T61" s="62">
        <f t="shared" si="34"/>
        <v>70.709140667951715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137.19999999999996</v>
      </c>
      <c r="AJ61" s="14">
        <f>AI61*VLOOKUP('Données projet'!$B$10,Paramètres!$A$1:$I$89,3,0)*VLOOKUP('Données projet'!$B$10,Paramètres!$A$1:$I$89,5,0)</f>
        <v>147.68207999999996</v>
      </c>
      <c r="AK61" s="14">
        <f t="shared" si="35"/>
        <v>38.051353497342525</v>
      </c>
      <c r="AL61" s="22">
        <f t="shared" si="4"/>
        <v>323.48573000787144</v>
      </c>
      <c r="AM61" s="62">
        <f t="shared" si="5"/>
        <v>616.81906334120481</v>
      </c>
      <c r="AN61" s="62">
        <f ca="1">AVERAGE(OFFSET($AM$3,0,0,'Données projet'!$E$10+1,1))-AVERAGE(OFFSET($H$3,0,0,'Données projet'!$E$10+1,1))</f>
        <v>271.76512254565102</v>
      </c>
      <c r="AO61" s="62">
        <f t="shared" si="36"/>
        <v>99.160986083974535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1.075</v>
      </c>
      <c r="BD61" s="13">
        <f>IF('Données projet'!$A$88&gt;35,BD60+BC61-BL60,IF(A61&lt;'Données projet'!$A$88,$BA$205^A61,IF(A61='Données projet'!$A$88,'Données projet'!$B$88,BD60+BC61-BL60)))</f>
        <v>50.100000000000016</v>
      </c>
      <c r="BE61" s="14">
        <f>BD61*VLOOKUP('Données projet'!$B$11,Paramètres!$A$1:$I$89,3,0)*VLOOKUP('Données projet'!$B$11,Paramètres!$A$1:$I$89,5,0)</f>
        <v>57.71520000000001</v>
      </c>
      <c r="BF61" s="14">
        <f t="shared" si="37"/>
        <v>16.589301107414748</v>
      </c>
      <c r="BG61" s="22">
        <f t="shared" si="7"/>
        <v>129.41367276208069</v>
      </c>
      <c r="BH61" s="62">
        <f t="shared" si="8"/>
        <v>422.74700609541401</v>
      </c>
      <c r="BI61" s="62">
        <f ca="1">AVERAGE(OFFSET($BH$3,0,0,'Données projet'!$E$11+1,1))-AVERAGE(OFFSET($H$3,0,0,'Données projet'!$E$11+1,1))</f>
        <v>43.16958872930951</v>
      </c>
      <c r="BJ61" s="62">
        <f t="shared" si="38"/>
        <v>69.202870643733547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3.6</v>
      </c>
      <c r="BY61" s="13">
        <f>IF('Données projet'!$A$114&gt;35,BY60+BX61-CG60,IF(A61&lt;'Données projet'!$A$114,$BV$205^A61,IF(A61='Données projet'!$A$114,'Données projet'!$B$114,BY60+BX61-CG60)))</f>
        <v>73.800000000000026</v>
      </c>
      <c r="BZ61" s="14">
        <f>BY61*VLOOKUP('Données projet'!$B$12,Paramètres!$A$1:$I$89,3,0)*VLOOKUP('Données projet'!$B$12,Paramètres!$A$1:$I$89,5,0)</f>
        <v>43.173000000000023</v>
      </c>
      <c r="CA61" s="14">
        <f t="shared" si="39"/>
        <v>12.835878260170299</v>
      </c>
      <c r="CB61" s="22">
        <f t="shared" si="10"/>
        <v>97.548796303129961</v>
      </c>
      <c r="CC61" s="62">
        <f t="shared" si="11"/>
        <v>390.88212963646328</v>
      </c>
      <c r="CD61" s="62">
        <f ca="1">AVERAGE(OFFSET($CC$3,0,0,'Données projet'!$E$12+1,1))-AVERAGE(OFFSET($H$3,0,0,'Données projet'!$E$12+1,1))</f>
        <v>49.695493809293282</v>
      </c>
      <c r="CE61" s="62">
        <f t="shared" si="40"/>
        <v>59.252884227831601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26.231400000000022</v>
      </c>
      <c r="D62" s="12">
        <f t="shared" si="32"/>
        <v>8.2646166864992399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266.28504108876626</v>
      </c>
      <c r="H62" s="70">
        <f t="shared" si="1"/>
        <v>353.41389572898618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2.591566220703335</v>
      </c>
      <c r="N62" s="14">
        <f>IF('Données projet'!$A$36&gt;35,N61+M62-V61,IF(A62&lt;'Données projet'!$A$36,$K$205^A62,IF(A62='Données projet'!$A$36,'Données projet'!$B$36,N61+M62-V61)))</f>
        <v>79.409790757136676</v>
      </c>
      <c r="O62" s="14">
        <f>N62*VLOOKUP('Données projet'!$B$9,Paramètres!$A$1:$I$89,3,0)*VLOOKUP('Données projet'!$B$9,Paramètres!$A$1:$I$89,5,0)</f>
        <v>86.715491506793256</v>
      </c>
      <c r="P62" s="14">
        <f t="shared" si="33"/>
        <v>23.771374834394251</v>
      </c>
      <c r="Q62" s="22">
        <f t="shared" si="53"/>
        <v>192.43129221090157</v>
      </c>
      <c r="R62" s="62">
        <f t="shared" si="0"/>
        <v>485.76462554423489</v>
      </c>
      <c r="S62" s="62">
        <f ca="1">AVERAGE(OFFSET($R$3,0,0,'Données projet'!$E$9+1,1))-AVERAGE(OFFSET($H$3,0,0,'Données projet'!$E$9+1,1))</f>
        <v>308.00850473946429</v>
      </c>
      <c r="T62" s="62">
        <f t="shared" si="34"/>
        <v>70.709140667951715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142.59999999999997</v>
      </c>
      <c r="AJ62" s="14">
        <f>AI62*VLOOKUP('Données projet'!$B$10,Paramètres!$A$1:$I$89,3,0)*VLOOKUP('Données projet'!$B$10,Paramètres!$A$1:$I$89,5,0)</f>
        <v>153.49463999999995</v>
      </c>
      <c r="AK62" s="14">
        <f t="shared" si="35"/>
        <v>39.371687492841346</v>
      </c>
      <c r="AL62" s="22">
        <f t="shared" si="4"/>
        <v>335.90885371669856</v>
      </c>
      <c r="AM62" s="62">
        <f t="shared" si="5"/>
        <v>629.24218705003182</v>
      </c>
      <c r="AN62" s="62">
        <f ca="1">AVERAGE(OFFSET($AM$3,0,0,'Données projet'!$E$10+1,1))-AVERAGE(OFFSET($H$3,0,0,'Données projet'!$E$10+1,1))</f>
        <v>271.76512254565102</v>
      </c>
      <c r="AO62" s="62">
        <f t="shared" si="36"/>
        <v>99.160986083974535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1.075</v>
      </c>
      <c r="BD62" s="13">
        <f>IF('Données projet'!$A$88&gt;35,BD61+BC62-BL61,IF(A62&lt;'Données projet'!$A$88,$BA$205^A62,IF(A62='Données projet'!$A$88,'Données projet'!$B$88,BD61+BC62-BL61)))</f>
        <v>51.175000000000018</v>
      </c>
      <c r="BE62" s="14">
        <f>BD62*VLOOKUP('Données projet'!$B$11,Paramètres!$A$1:$I$89,3,0)*VLOOKUP('Données projet'!$B$11,Paramètres!$A$1:$I$89,5,0)</f>
        <v>58.953600000000016</v>
      </c>
      <c r="BF62" s="14">
        <f t="shared" si="37"/>
        <v>16.903435969357414</v>
      </c>
      <c r="BG62" s="22">
        <f t="shared" si="7"/>
        <v>132.11767097996417</v>
      </c>
      <c r="BH62" s="62">
        <f t="shared" si="8"/>
        <v>425.45100431329752</v>
      </c>
      <c r="BI62" s="62">
        <f ca="1">AVERAGE(OFFSET($BH$3,0,0,'Données projet'!$E$11+1,1))-AVERAGE(OFFSET($H$3,0,0,'Données projet'!$E$11+1,1))</f>
        <v>43.16958872930951</v>
      </c>
      <c r="BJ62" s="62">
        <f t="shared" si="38"/>
        <v>69.202870643733547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3.6</v>
      </c>
      <c r="BY62" s="13">
        <f>IF('Données projet'!$A$114&gt;35,BY61+BX62-CG61,IF(A62&lt;'Données projet'!$A$114,$BV$205^A62,IF(A62='Données projet'!$A$114,'Données projet'!$B$114,BY61+BX62-CG61)))</f>
        <v>77.40000000000002</v>
      </c>
      <c r="BZ62" s="14">
        <f>BY62*VLOOKUP('Données projet'!$B$12,Paramètres!$A$1:$I$89,3,0)*VLOOKUP('Données projet'!$B$12,Paramètres!$A$1:$I$89,5,0)</f>
        <v>45.279000000000018</v>
      </c>
      <c r="CA62" s="14">
        <f t="shared" si="39"/>
        <v>13.387593006845703</v>
      </c>
      <c r="CB62" s="22">
        <f t="shared" si="10"/>
        <v>102.17764948692297</v>
      </c>
      <c r="CC62" s="62">
        <f t="shared" si="11"/>
        <v>395.51098282025629</v>
      </c>
      <c r="CD62" s="62">
        <f ca="1">AVERAGE(OFFSET($CC$3,0,0,'Données projet'!$E$12+1,1))-AVERAGE(OFFSET($H$3,0,0,'Données projet'!$E$12+1,1))</f>
        <v>49.695493809293282</v>
      </c>
      <c r="CE62" s="62">
        <f t="shared" si="40"/>
        <v>59.252884227831601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26.676000000000023</v>
      </c>
      <c r="D63" s="12">
        <f t="shared" si="32"/>
        <v>8.3882684956477913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270.67154628219367</v>
      </c>
      <c r="H63" s="70">
        <f t="shared" si="1"/>
        <v>354.40360096325327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2.591566220703335</v>
      </c>
      <c r="N63" s="14">
        <f>IF('Données projet'!$A$36&gt;35,N62+M63-V62,IF(A63&lt;'Données projet'!$A$36,$K$205^A63,IF(A63='Données projet'!$A$36,'Données projet'!$B$36,N62+M63-V62)))</f>
        <v>82.001356977840004</v>
      </c>
      <c r="O63" s="14">
        <f>N63*VLOOKUP('Données projet'!$B$9,Paramètres!$A$1:$I$89,3,0)*VLOOKUP('Données projet'!$B$9,Paramètres!$A$1:$I$89,5,0)</f>
        <v>89.545481819801282</v>
      </c>
      <c r="P63" s="14">
        <f t="shared" si="33"/>
        <v>24.45557387354415</v>
      </c>
      <c r="Q63" s="22">
        <f t="shared" si="53"/>
        <v>198.55183866590994</v>
      </c>
      <c r="R63" s="62">
        <f t="shared" si="0"/>
        <v>491.88517199924325</v>
      </c>
      <c r="S63" s="62">
        <f ca="1">AVERAGE(OFFSET($R$3,0,0,'Données projet'!$E$9+1,1))-AVERAGE(OFFSET($H$3,0,0,'Données projet'!$E$9+1,1))</f>
        <v>308.00850473946429</v>
      </c>
      <c r="T63" s="62">
        <f t="shared" si="34"/>
        <v>70.709140667951715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148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147.99999999999997</v>
      </c>
      <c r="AJ63" s="14">
        <f>AI63*VLOOKUP('Données projet'!$B$10,Paramètres!$A$1:$I$89,3,0)*VLOOKUP('Données projet'!$B$10,Paramètres!$A$1:$I$89,5,0)</f>
        <v>159.30719999999997</v>
      </c>
      <c r="AK63" s="14">
        <f t="shared" si="35"/>
        <v>40.686212990054052</v>
      </c>
      <c r="AL63" s="22">
        <f t="shared" si="4"/>
        <v>348.32186095767742</v>
      </c>
      <c r="AM63" s="62">
        <f t="shared" si="5"/>
        <v>641.65519429101073</v>
      </c>
      <c r="AN63" s="62">
        <f ca="1">AVERAGE(OFFSET($AM$3,0,0,'Données projet'!$E$10+1,1))-AVERAGE(OFFSET($H$3,0,0,'Données projet'!$E$10+1,1))</f>
        <v>271.76512254565102</v>
      </c>
      <c r="AO63" s="62">
        <f t="shared" si="36"/>
        <v>99.160986083974535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52.250000000000007</v>
      </c>
      <c r="BB63" s="13">
        <f>VLOOKUP(A63,'Données projet'!$A$87:$I$107,9,0)</f>
        <v>1.075</v>
      </c>
      <c r="BC63" s="13">
        <f t="array" ref="BC63">INDEX(BB:BB,MIN(IF(ISNUMBER(BB63:BB259),ROW(BB63:BB259),"")))</f>
        <v>1.075</v>
      </c>
      <c r="BD63" s="13">
        <f>IF('Données projet'!$A$88&gt;35,BD62+BC63-BL62,IF(A63&lt;'Données projet'!$A$88,$BA$205^A63,IF(A63='Données projet'!$A$88,'Données projet'!$B$88,BD62+BC63-BL62)))</f>
        <v>52.250000000000021</v>
      </c>
      <c r="BE63" s="14">
        <f>BD63*VLOOKUP('Données projet'!$B$11,Paramètres!$A$1:$I$89,3,0)*VLOOKUP('Données projet'!$B$11,Paramètres!$A$1:$I$89,5,0)</f>
        <v>60.192000000000021</v>
      </c>
      <c r="BF63" s="14">
        <f t="shared" si="37"/>
        <v>17.216803606478795</v>
      </c>
      <c r="BG63" s="22">
        <f t="shared" si="7"/>
        <v>134.82033294795062</v>
      </c>
      <c r="BH63" s="62">
        <f t="shared" si="8"/>
        <v>428.1536662812839</v>
      </c>
      <c r="BI63" s="62">
        <f ca="1">AVERAGE(OFFSET($BH$3,0,0,'Données projet'!$E$11+1,1))-AVERAGE(OFFSET($H$3,0,0,'Données projet'!$E$11+1,1))</f>
        <v>43.16958872930951</v>
      </c>
      <c r="BJ63" s="62">
        <f t="shared" si="38"/>
        <v>69.202870643733547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6.7083333333333339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3.6</v>
      </c>
      <c r="BY63" s="13">
        <f>IF('Données projet'!$A$114&gt;35,BY62+BX63-CG62,IF(A63&lt;'Données projet'!$A$114,$BV$205^A63,IF(A63='Données projet'!$A$114,'Données projet'!$B$114,BY62+BX63-CG62)))</f>
        <v>81.000000000000014</v>
      </c>
      <c r="BZ63" s="14">
        <f>BY63*VLOOKUP('Données projet'!$B$12,Paramètres!$A$1:$I$89,3,0)*VLOOKUP('Données projet'!$B$12,Paramètres!$A$1:$I$89,5,0)</f>
        <v>47.385000000000012</v>
      </c>
      <c r="CA63" s="14">
        <f t="shared" si="39"/>
        <v>13.936327732081294</v>
      </c>
      <c r="CB63" s="22">
        <f t="shared" si="10"/>
        <v>106.80131246670827</v>
      </c>
      <c r="CC63" s="62">
        <f t="shared" si="11"/>
        <v>400.1346458000416</v>
      </c>
      <c r="CD63" s="62">
        <f ca="1">AVERAGE(OFFSET($CC$3,0,0,'Données projet'!$E$12+1,1))-AVERAGE(OFFSET($H$3,0,0,'Données projet'!$E$12+1,1))</f>
        <v>49.695493809293282</v>
      </c>
      <c r="CE63" s="62">
        <f t="shared" si="40"/>
        <v>59.252884227831601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27.120600000000024</v>
      </c>
      <c r="D64" s="12">
        <f t="shared" si="32"/>
        <v>8.51168064109347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275.05620144001995</v>
      </c>
      <c r="H64" s="70">
        <f t="shared" si="1"/>
        <v>355.39288878323782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2.591566220703335</v>
      </c>
      <c r="N64" s="14">
        <f>IF('Données projet'!$A$36&gt;35,N63+M64-V63,IF(A64&lt;'Données projet'!$A$36,$K$205^A64,IF(A64='Données projet'!$A$36,'Données projet'!$B$36,N63+M64-V63)))</f>
        <v>84.592923198543332</v>
      </c>
      <c r="O64" s="14">
        <f>N64*VLOOKUP('Données projet'!$B$9,Paramètres!$A$1:$I$89,3,0)*VLOOKUP('Données projet'!$B$9,Paramètres!$A$1:$I$89,5,0)</f>
        <v>92.375472132809321</v>
      </c>
      <c r="P64" s="14">
        <f t="shared" si="33"/>
        <v>25.137260132353465</v>
      </c>
      <c r="Q64" s="22">
        <f t="shared" si="53"/>
        <v>204.66800869515851</v>
      </c>
      <c r="R64" s="62">
        <f t="shared" si="0"/>
        <v>498.00134202849182</v>
      </c>
      <c r="S64" s="62">
        <f ca="1">AVERAGE(OFFSET($R$3,0,0,'Données projet'!$E$9+1,1))-AVERAGE(OFFSET($H$3,0,0,'Données projet'!$E$9+1,1))</f>
        <v>308.00850473946429</v>
      </c>
      <c r="T64" s="62">
        <f t="shared" si="34"/>
        <v>70.709140667951715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153.39999999999998</v>
      </c>
      <c r="AJ64" s="14">
        <f>AI64*VLOOKUP('Données projet'!$B$10,Paramètres!$A$1:$I$89,3,0)*VLOOKUP('Données projet'!$B$10,Paramètres!$A$1:$I$89,5,0)</f>
        <v>165.11975999999996</v>
      </c>
      <c r="AK64" s="14">
        <f t="shared" si="35"/>
        <v>41.995166194425131</v>
      </c>
      <c r="AL64" s="22">
        <f t="shared" si="4"/>
        <v>360.725163121957</v>
      </c>
      <c r="AM64" s="62">
        <f t="shared" si="5"/>
        <v>654.05849645529031</v>
      </c>
      <c r="AN64" s="62">
        <f ca="1">AVERAGE(OFFSET($AM$3,0,0,'Données projet'!$E$10+1,1))-AVERAGE(OFFSET($H$3,0,0,'Données projet'!$E$10+1,1))</f>
        <v>271.76512254565102</v>
      </c>
      <c r="AO64" s="62">
        <f t="shared" si="36"/>
        <v>99.160986083974535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0.9958333333333329</v>
      </c>
      <c r="BD64" s="13">
        <f>IF('Données projet'!$A$88&gt;35,BD63+BC64-BL63,IF(A64&lt;'Données projet'!$A$88,$BA$205^A64,IF(A64='Données projet'!$A$88,'Données projet'!$B$88,BD63+BC64-BL63)))</f>
        <v>46.537500000000016</v>
      </c>
      <c r="BE64" s="14">
        <f>BD64*VLOOKUP('Données projet'!$B$11,Paramètres!$A$1:$I$89,3,0)*VLOOKUP('Données projet'!$B$11,Paramètres!$A$1:$I$89,5,0)</f>
        <v>53.611200000000018</v>
      </c>
      <c r="BF64" s="14">
        <f t="shared" si="37"/>
        <v>15.542549160069225</v>
      </c>
      <c r="BG64" s="22">
        <f t="shared" si="7"/>
        <v>120.44277978712059</v>
      </c>
      <c r="BH64" s="62">
        <f t="shared" si="8"/>
        <v>413.77611312045389</v>
      </c>
      <c r="BI64" s="62">
        <f ca="1">AVERAGE(OFFSET($BH$3,0,0,'Données projet'!$E$11+1,1))-AVERAGE(OFFSET($H$3,0,0,'Données projet'!$E$11+1,1))</f>
        <v>43.16958872930951</v>
      </c>
      <c r="BJ64" s="62">
        <f t="shared" si="38"/>
        <v>69.202870643733547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3.6</v>
      </c>
      <c r="BY64" s="13">
        <f>IF('Données projet'!$A$114&gt;35,BY63+BX64-CG63,IF(A64&lt;'Données projet'!$A$114,$BV$205^A64,IF(A64='Données projet'!$A$114,'Données projet'!$B$114,BY63+BX64-CG63)))</f>
        <v>84.600000000000009</v>
      </c>
      <c r="BZ64" s="14">
        <f>BY64*VLOOKUP('Données projet'!$B$12,Paramètres!$A$1:$I$89,3,0)*VLOOKUP('Données projet'!$B$12,Paramètres!$A$1:$I$89,5,0)</f>
        <v>49.491000000000014</v>
      </c>
      <c r="CA64" s="14">
        <f t="shared" si="39"/>
        <v>14.4822300153392</v>
      </c>
      <c r="CB64" s="22">
        <f t="shared" si="10"/>
        <v>111.42004227671579</v>
      </c>
      <c r="CC64" s="62">
        <f t="shared" si="11"/>
        <v>404.75337561004909</v>
      </c>
      <c r="CD64" s="62">
        <f ca="1">AVERAGE(OFFSET($CC$3,0,0,'Données projet'!$E$12+1,1))-AVERAGE(OFFSET($H$3,0,0,'Données projet'!$E$12+1,1))</f>
        <v>49.695493809293282</v>
      </c>
      <c r="CE64" s="62">
        <f t="shared" si="40"/>
        <v>59.252884227831601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27.565200000000026</v>
      </c>
      <c r="D65" s="12">
        <f t="shared" si="32"/>
        <v>8.6348575052881813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279.43904039169843</v>
      </c>
      <c r="H65" s="70">
        <f t="shared" si="1"/>
        <v>356.3817668217103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2.591566220703335</v>
      </c>
      <c r="N65" s="14">
        <f>IF('Données projet'!$A$36&gt;35,N64+M65-V64,IF(A65&lt;'Données projet'!$A$36,$K$205^A65,IF(A65='Données projet'!$A$36,'Données projet'!$B$36,N64+M65-V64)))</f>
        <v>87.18448941924666</v>
      </c>
      <c r="O65" s="14">
        <f>N65*VLOOKUP('Données projet'!$B$9,Paramètres!$A$1:$I$89,3,0)*VLOOKUP('Données projet'!$B$9,Paramètres!$A$1:$I$89,5,0)</f>
        <v>95.205462445817346</v>
      </c>
      <c r="P65" s="14">
        <f t="shared" si="33"/>
        <v>25.816519426441456</v>
      </c>
      <c r="Q65" s="22">
        <f t="shared" si="53"/>
        <v>210.77995176085074</v>
      </c>
      <c r="R65" s="62">
        <f t="shared" si="0"/>
        <v>504.11328509418405</v>
      </c>
      <c r="S65" s="62">
        <f ca="1">AVERAGE(OFFSET($R$3,0,0,'Données projet'!$E$9+1,1))-AVERAGE(OFFSET($H$3,0,0,'Données projet'!$E$9+1,1))</f>
        <v>308.00850473946429</v>
      </c>
      <c r="T65" s="62">
        <f t="shared" si="34"/>
        <v>70.709140667951715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158.79999999999998</v>
      </c>
      <c r="AJ65" s="14">
        <f>AI65*VLOOKUP('Données projet'!$B$10,Paramètres!$A$1:$I$89,3,0)*VLOOKUP('Données projet'!$B$10,Paramètres!$A$1:$I$89,5,0)</f>
        <v>170.93231999999998</v>
      </c>
      <c r="AK65" s="14">
        <f t="shared" si="35"/>
        <v>43.298765738639716</v>
      </c>
      <c r="AL65" s="22">
        <f t="shared" si="4"/>
        <v>373.11914099479742</v>
      </c>
      <c r="AM65" s="62">
        <f t="shared" si="5"/>
        <v>666.45247432813073</v>
      </c>
      <c r="AN65" s="62">
        <f ca="1">AVERAGE(OFFSET($AM$3,0,0,'Données projet'!$E$10+1,1))-AVERAGE(OFFSET($H$3,0,0,'Données projet'!$E$10+1,1))</f>
        <v>271.76512254565102</v>
      </c>
      <c r="AO65" s="62">
        <f t="shared" si="36"/>
        <v>99.160986083974535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0.9958333333333329</v>
      </c>
      <c r="BD65" s="13">
        <f>IF('Données projet'!$A$88&gt;35,BD64+BC65-BL64,IF(A65&lt;'Données projet'!$A$88,$BA$205^A65,IF(A65='Données projet'!$A$88,'Données projet'!$B$88,BD64+BC65-BL64)))</f>
        <v>47.533333333333346</v>
      </c>
      <c r="BE65" s="14">
        <f>BD65*VLOOKUP('Données projet'!$B$11,Paramètres!$A$1:$I$89,3,0)*VLOOKUP('Données projet'!$B$11,Paramètres!$A$1:$I$89,5,0)</f>
        <v>54.758400000000016</v>
      </c>
      <c r="BF65" s="14">
        <f t="shared" si="37"/>
        <v>15.836060325224045</v>
      </c>
      <c r="BG65" s="22">
        <f t="shared" si="7"/>
        <v>122.95201839976524</v>
      </c>
      <c r="BH65" s="62">
        <f t="shared" si="8"/>
        <v>416.28535173309854</v>
      </c>
      <c r="BI65" s="62">
        <f ca="1">AVERAGE(OFFSET($BH$3,0,0,'Données projet'!$E$11+1,1))-AVERAGE(OFFSET($H$3,0,0,'Données projet'!$E$11+1,1))</f>
        <v>43.16958872930951</v>
      </c>
      <c r="BJ65" s="62">
        <f t="shared" si="38"/>
        <v>69.202870643733547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3.6</v>
      </c>
      <c r="BY65" s="13">
        <f>IF('Données projet'!$A$114&gt;35,BY64+BX65-CG64,IF(A65&lt;'Données projet'!$A$114,$BV$205^A65,IF(A65='Données projet'!$A$114,'Données projet'!$B$114,BY64+BX65-CG64)))</f>
        <v>88.2</v>
      </c>
      <c r="BZ65" s="14">
        <f>BY65*VLOOKUP('Données projet'!$B$12,Paramètres!$A$1:$I$89,3,0)*VLOOKUP('Données projet'!$B$12,Paramètres!$A$1:$I$89,5,0)</f>
        <v>51.597000000000008</v>
      </c>
      <c r="CA65" s="14">
        <f t="shared" si="39"/>
        <v>15.025434165701453</v>
      </c>
      <c r="CB65" s="22">
        <f t="shared" si="10"/>
        <v>116.03407283859671</v>
      </c>
      <c r="CC65" s="62">
        <f t="shared" si="11"/>
        <v>409.36740617193004</v>
      </c>
      <c r="CD65" s="62">
        <f ca="1">AVERAGE(OFFSET($CC$3,0,0,'Données projet'!$E$12+1,1))-AVERAGE(OFFSET($H$3,0,0,'Données projet'!$E$12+1,1))</f>
        <v>49.695493809293282</v>
      </c>
      <c r="CE65" s="62">
        <f t="shared" si="40"/>
        <v>59.252884227831601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28.009800000000027</v>
      </c>
      <c r="D66" s="12">
        <f t="shared" si="32"/>
        <v>8.7578033212077067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283.8200958128316</v>
      </c>
      <c r="H66" s="70">
        <f t="shared" si="1"/>
        <v>357.37024245110342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89.776055639950002</v>
      </c>
      <c r="L66" s="13">
        <f>VLOOKUP(A66,'Données projet'!$A$35:$I$55,9,0)</f>
        <v>2.591566220703335</v>
      </c>
      <c r="M66" s="13">
        <f t="array" ref="M66">INDEX(L:L,MIN(IF(ISNUMBER(L66:L262),ROW(L66:L262),"")))</f>
        <v>2.591566220703335</v>
      </c>
      <c r="N66" s="14">
        <f>IF('Données projet'!$A$36&gt;35,N65+M66-V65,IF(A66&lt;'Données projet'!$A$36,$K$205^A66,IF(A66='Données projet'!$A$36,'Données projet'!$B$36,N65+M66-V65)))</f>
        <v>89.776055639949988</v>
      </c>
      <c r="O66" s="14">
        <f>N66*VLOOKUP('Données projet'!$B$9,Paramètres!$A$1:$I$89,3,0)*VLOOKUP('Données projet'!$B$9,Paramètres!$A$1:$I$89,5,0)</f>
        <v>98.035452758825372</v>
      </c>
      <c r="P66" s="14">
        <f t="shared" si="33"/>
        <v>26.493432179676141</v>
      </c>
      <c r="Q66" s="22">
        <f t="shared" si="53"/>
        <v>216.88780793455678</v>
      </c>
      <c r="R66" s="62">
        <f t="shared" si="0"/>
        <v>510.22114126789006</v>
      </c>
      <c r="S66" s="62">
        <f ca="1">AVERAGE(OFFSET($R$3,0,0,'Données projet'!$E$9+1,1))-AVERAGE(OFFSET($H$3,0,0,'Données projet'!$E$9+1,1))</f>
        <v>308.00850473946429</v>
      </c>
      <c r="T66" s="62">
        <f t="shared" si="34"/>
        <v>70.709140667951715</v>
      </c>
      <c r="U66" s="16">
        <f>IF(ISNA(VLOOKUP(A66,'Données projet'!$A$35:$I$55,3,0)),0,VLOOKUP(A66,'Données projet'!$A$35:$I$55,3,0))</f>
        <v>3</v>
      </c>
      <c r="V66" s="16">
        <f>IF(ISNA(VLOOKUP(A66,'Données projet'!$A$35:$I$55,4,0)),0,VLOOKUP(A66,'Données projet'!$A$35:$I$55,4,0))</f>
        <v>9.9751172933277701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164.2</v>
      </c>
      <c r="AJ66" s="14">
        <f>AI66*VLOOKUP('Données projet'!$B$10,Paramètres!$A$1:$I$89,3,0)*VLOOKUP('Données projet'!$B$10,Paramètres!$A$1:$I$89,5,0)</f>
        <v>176.74487999999999</v>
      </c>
      <c r="AK66" s="14">
        <f t="shared" si="35"/>
        <v>44.59721454265302</v>
      </c>
      <c r="AL66" s="22">
        <f t="shared" si="4"/>
        <v>385.5041479951206</v>
      </c>
      <c r="AM66" s="62">
        <f t="shared" si="5"/>
        <v>678.83748132845392</v>
      </c>
      <c r="AN66" s="62">
        <f ca="1">AVERAGE(OFFSET($AM$3,0,0,'Données projet'!$E$10+1,1))-AVERAGE(OFFSET($H$3,0,0,'Données projet'!$E$10+1,1))</f>
        <v>271.76512254565102</v>
      </c>
      <c r="AO66" s="62">
        <f t="shared" si="36"/>
        <v>99.160986083974535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0.9958333333333329</v>
      </c>
      <c r="BD66" s="13">
        <f>IF('Données projet'!$A$88&gt;35,BD65+BC66-BL65,IF(A66&lt;'Données projet'!$A$88,$BA$205^A66,IF(A66='Données projet'!$A$88,'Données projet'!$B$88,BD65+BC66-BL65)))</f>
        <v>48.529166666666676</v>
      </c>
      <c r="BE66" s="14">
        <f>BD66*VLOOKUP('Données projet'!$B$11,Paramètres!$A$1:$I$89,3,0)*VLOOKUP('Données projet'!$B$11,Paramètres!$A$1:$I$89,5,0)</f>
        <v>55.905600000000007</v>
      </c>
      <c r="BF66" s="14">
        <f t="shared" si="37"/>
        <v>16.128856549468615</v>
      </c>
      <c r="BG66" s="22">
        <f t="shared" si="7"/>
        <v>125.46001182365784</v>
      </c>
      <c r="BH66" s="62">
        <f t="shared" si="8"/>
        <v>418.79334515699117</v>
      </c>
      <c r="BI66" s="62">
        <f ca="1">AVERAGE(OFFSET($BH$3,0,0,'Données projet'!$E$11+1,1))-AVERAGE(OFFSET($H$3,0,0,'Données projet'!$E$11+1,1))</f>
        <v>43.16958872930951</v>
      </c>
      <c r="BJ66" s="62">
        <f t="shared" si="38"/>
        <v>69.202870643733547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3.6</v>
      </c>
      <c r="BY66" s="13">
        <f>IF('Données projet'!$A$114&gt;35,BY65+BX66-CG65,IF(A66&lt;'Données projet'!$A$114,$BV$205^A66,IF(A66='Données projet'!$A$114,'Données projet'!$B$114,BY65+BX66-CG65)))</f>
        <v>91.8</v>
      </c>
      <c r="BZ66" s="14">
        <f>BY66*VLOOKUP('Données projet'!$B$12,Paramètres!$A$1:$I$89,3,0)*VLOOKUP('Données projet'!$B$12,Paramètres!$A$1:$I$89,5,0)</f>
        <v>53.703000000000003</v>
      </c>
      <c r="CA66" s="14">
        <f t="shared" si="39"/>
        <v>15.566062907796509</v>
      </c>
      <c r="CB66" s="22">
        <f t="shared" si="10"/>
        <v>120.64361789774557</v>
      </c>
      <c r="CC66" s="62">
        <f t="shared" si="11"/>
        <v>413.97695123107889</v>
      </c>
      <c r="CD66" s="62">
        <f ca="1">AVERAGE(OFFSET($CC$3,0,0,'Données projet'!$E$12+1,1))-AVERAGE(OFFSET($H$3,0,0,'Données projet'!$E$12+1,1))</f>
        <v>49.695493809293282</v>
      </c>
      <c r="CE66" s="62">
        <f t="shared" si="40"/>
        <v>59.252884227831601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28.454400000000028</v>
      </c>
      <c r="D67" s="12">
        <f t="shared" si="32"/>
        <v>8.8805221797401703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288.19939928220504</v>
      </c>
      <c r="H67" s="70">
        <f t="shared" si="1"/>
        <v>358.35832279638083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2.8826719034900434</v>
      </c>
      <c r="N67" s="14">
        <f>IF('Données projet'!$A$36&gt;35,N66+M67-V66,IF(A67&lt;'Données projet'!$A$36,$K$205^A67,IF(A67='Données projet'!$A$36,'Données projet'!$B$36,N66+M67-V66)))</f>
        <v>82.683610250112267</v>
      </c>
      <c r="O67" s="14">
        <f>N67*VLOOKUP('Données projet'!$B$9,Paramètres!$A$1:$I$89,3,0)*VLOOKUP('Données projet'!$B$9,Paramètres!$A$1:$I$89,5,0)</f>
        <v>90.290502393122594</v>
      </c>
      <c r="P67" s="14">
        <f t="shared" si="33"/>
        <v>24.635274029874118</v>
      </c>
      <c r="Q67" s="22">
        <f t="shared" ref="Q67:Q98" si="54">(O67+P67)*0.475*44/12</f>
        <v>200.16239393671924</v>
      </c>
      <c r="R67" s="62">
        <f t="shared" ref="R67:R130" si="55">Q67+(I67+J67)*44/12</f>
        <v>493.49572727005256</v>
      </c>
      <c r="S67" s="62">
        <f ca="1">AVERAGE(OFFSET($R$3,0,0,'Données projet'!$E$9+1,1))-AVERAGE(OFFSET($H$3,0,0,'Données projet'!$E$9+1,1))</f>
        <v>308.00850473946429</v>
      </c>
      <c r="T67" s="62">
        <f t="shared" si="34"/>
        <v>70.709140667951715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169.6</v>
      </c>
      <c r="AJ67" s="14">
        <f>AI67*VLOOKUP('Données projet'!$B$10,Paramètres!$A$1:$I$89,3,0)*VLOOKUP('Données projet'!$B$10,Paramètres!$A$1:$I$89,5,0)</f>
        <v>182.55743999999999</v>
      </c>
      <c r="AK67" s="14">
        <f t="shared" si="35"/>
        <v>45.890701422165712</v>
      </c>
      <c r="AL67" s="22">
        <f t="shared" si="4"/>
        <v>397.88051297693852</v>
      </c>
      <c r="AM67" s="62">
        <f t="shared" si="5"/>
        <v>691.21384631027183</v>
      </c>
      <c r="AN67" s="62">
        <f ca="1">AVERAGE(OFFSET($AM$3,0,0,'Données projet'!$E$10+1,1))-AVERAGE(OFFSET($H$3,0,0,'Données projet'!$E$10+1,1))</f>
        <v>271.76512254565102</v>
      </c>
      <c r="AO67" s="62">
        <f t="shared" si="36"/>
        <v>99.160986083974535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0.9958333333333329</v>
      </c>
      <c r="BD67" s="13">
        <f>IF('Données projet'!$A$88&gt;35,BD66+BC67-BL66,IF(A67&lt;'Données projet'!$A$88,$BA$205^A67,IF(A67='Données projet'!$A$88,'Données projet'!$B$88,BD66+BC67-BL66)))</f>
        <v>49.525000000000006</v>
      </c>
      <c r="BE67" s="14">
        <f>BD67*VLOOKUP('Données projet'!$B$11,Paramètres!$A$1:$I$89,3,0)*VLOOKUP('Données projet'!$B$11,Paramètres!$A$1:$I$89,5,0)</f>
        <v>57.052800000000005</v>
      </c>
      <c r="BF67" s="14">
        <f t="shared" si="37"/>
        <v>16.420954194063821</v>
      </c>
      <c r="BG67" s="22">
        <f t="shared" si="7"/>
        <v>127.96678855466116</v>
      </c>
      <c r="BH67" s="62">
        <f t="shared" si="8"/>
        <v>421.30012188799446</v>
      </c>
      <c r="BI67" s="62">
        <f ca="1">AVERAGE(OFFSET($BH$3,0,0,'Données projet'!$E$11+1,1))-AVERAGE(OFFSET($H$3,0,0,'Données projet'!$E$11+1,1))</f>
        <v>43.16958872930951</v>
      </c>
      <c r="BJ67" s="62">
        <f t="shared" si="38"/>
        <v>69.202870643733547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3.6</v>
      </c>
      <c r="BY67" s="13">
        <f>IF('Données projet'!$A$114&gt;35,BY66+BX67-CG66,IF(A67&lt;'Données projet'!$A$114,$BV$205^A67,IF(A67='Données projet'!$A$114,'Données projet'!$B$114,BY66+BX67-CG66)))</f>
        <v>95.399999999999991</v>
      </c>
      <c r="BZ67" s="14">
        <f>BY67*VLOOKUP('Données projet'!$B$12,Paramètres!$A$1:$I$89,3,0)*VLOOKUP('Données projet'!$B$12,Paramètres!$A$1:$I$89,5,0)</f>
        <v>55.809000000000005</v>
      </c>
      <c r="CA67" s="14">
        <f t="shared" si="39"/>
        <v>16.104228795825517</v>
      </c>
      <c r="CB67" s="22">
        <f t="shared" si="10"/>
        <v>125.24887348606275</v>
      </c>
      <c r="CC67" s="62">
        <f t="shared" si="11"/>
        <v>418.58220681939605</v>
      </c>
      <c r="CD67" s="62">
        <f ca="1">AVERAGE(OFFSET($CC$3,0,0,'Données projet'!$E$12+1,1))-AVERAGE(OFFSET($H$3,0,0,'Données projet'!$E$12+1,1))</f>
        <v>49.695493809293282</v>
      </c>
      <c r="CE67" s="62">
        <f t="shared" si="40"/>
        <v>59.252884227831601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28.899000000000029</v>
      </c>
      <c r="D68" s="12">
        <f t="shared" si="32"/>
        <v>9.0030180365996646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292.57698133515555</v>
      </c>
      <c r="H68" s="70">
        <f t="shared" ref="H68:H131" si="56">(B68+E68+F68)*44/12+(C68+D68)*0.475*44/12</f>
        <v>359.34601474707779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2.8826719034900434</v>
      </c>
      <c r="N68" s="14">
        <f>IF('Données projet'!$A$36&gt;35,N67+M68-V67,IF(A68&lt;'Données projet'!$A$36,$K$205^A68,IF(A68='Données projet'!$A$36,'Données projet'!$B$36,N67+M68-V67)))</f>
        <v>85.566282153602316</v>
      </c>
      <c r="O68" s="14">
        <f>N68*VLOOKUP('Données projet'!$B$9,Paramètres!$A$1:$I$89,3,0)*VLOOKUP('Données projet'!$B$9,Paramètres!$A$1:$I$89,5,0)</f>
        <v>93.438380111733736</v>
      </c>
      <c r="P68" s="14">
        <f t="shared" si="33"/>
        <v>25.39266134160367</v>
      </c>
      <c r="Q68" s="22">
        <f t="shared" si="54"/>
        <v>206.96406386456263</v>
      </c>
      <c r="R68" s="62">
        <f t="shared" si="55"/>
        <v>500.29739719789598</v>
      </c>
      <c r="S68" s="62">
        <f ca="1">AVERAGE(OFFSET($R$3,0,0,'Données projet'!$E$9+1,1))-AVERAGE(OFFSET($H$3,0,0,'Données projet'!$E$9+1,1))</f>
        <v>308.00850473946429</v>
      </c>
      <c r="T68" s="62">
        <f t="shared" si="34"/>
        <v>70.709140667951715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175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175</v>
      </c>
      <c r="AJ68" s="14">
        <f>AI68*VLOOKUP('Données projet'!$B$10,Paramètres!$A$1:$I$89,3,0)*VLOOKUP('Données projet'!$B$10,Paramètres!$A$1:$I$89,5,0)</f>
        <v>188.36999999999998</v>
      </c>
      <c r="AK68" s="14">
        <f t="shared" si="35"/>
        <v>47.179402486491298</v>
      </c>
      <c r="AL68" s="22">
        <f t="shared" ref="AL68:AL131" si="58">(AJ68+AK68)*0.475*44/12</f>
        <v>410.24854266397227</v>
      </c>
      <c r="AM68" s="62">
        <f t="shared" ref="AM68:AM131" si="59">AL68+(AD68+AE68)*44/12</f>
        <v>703.58187599730559</v>
      </c>
      <c r="AN68" s="62">
        <f ca="1">AVERAGE(OFFSET($AM$3,0,0,'Données projet'!$E$10+1,1))-AVERAGE(OFFSET($H$3,0,0,'Données projet'!$E$10+1,1))</f>
        <v>271.76512254565102</v>
      </c>
      <c r="AO68" s="62">
        <f t="shared" si="36"/>
        <v>99.160986083974535</v>
      </c>
      <c r="AP68" s="16">
        <f>IF(ISNA(VLOOKUP(A68,'Données projet'!$A$61:$I$81,3,0)),0,VLOOKUP(A68,'Données projet'!$A$61:$I$81,3,0))</f>
        <v>4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0.9958333333333329</v>
      </c>
      <c r="BD68" s="13">
        <f>IF('Données projet'!$A$88&gt;35,BD67+BC68-BL67,IF(A68&lt;'Données projet'!$A$88,$BA$205^A68,IF(A68='Données projet'!$A$88,'Données projet'!$B$88,BD67+BC68-BL67)))</f>
        <v>50.520833333333336</v>
      </c>
      <c r="BE68" s="14">
        <f>BD68*VLOOKUP('Données projet'!$B$11,Paramètres!$A$1:$I$89,3,0)*VLOOKUP('Données projet'!$B$11,Paramètres!$A$1:$I$89,5,0)</f>
        <v>58.199999999999996</v>
      </c>
      <c r="BF68" s="14">
        <f t="shared" si="37"/>
        <v>16.712368924675634</v>
      </c>
      <c r="BG68" s="22">
        <f t="shared" ref="BG68:BG131" si="61">(BE68+BF68)*0.475*44/12</f>
        <v>130.47237587714338</v>
      </c>
      <c r="BH68" s="62">
        <f t="shared" ref="BH68:BH131" si="62">BG68+(AY68+AZ68)*44/12</f>
        <v>423.80570921047672</v>
      </c>
      <c r="BI68" s="62">
        <f ca="1">AVERAGE(OFFSET($BH$3,0,0,'Données projet'!$E$11+1,1))-AVERAGE(OFFSET($H$3,0,0,'Données projet'!$E$11+1,1))</f>
        <v>43.16958872930951</v>
      </c>
      <c r="BJ68" s="62">
        <f t="shared" si="38"/>
        <v>69.202870643733547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3.6</v>
      </c>
      <c r="BY68" s="13">
        <f>IF('Données projet'!$A$114&gt;35,BY67+BX68-CG67,IF(A68&lt;'Données projet'!$A$114,$BV$205^A68,IF(A68='Données projet'!$A$114,'Données projet'!$B$114,BY67+BX68-CG67)))</f>
        <v>98.999999999999986</v>
      </c>
      <c r="BZ68" s="14">
        <f>BY68*VLOOKUP('Données projet'!$B$12,Paramètres!$A$1:$I$89,3,0)*VLOOKUP('Données projet'!$B$12,Paramètres!$A$1:$I$89,5,0)</f>
        <v>57.914999999999999</v>
      </c>
      <c r="CA68" s="14">
        <f t="shared" si="39"/>
        <v>16.640035408149132</v>
      </c>
      <c r="CB68" s="22">
        <f t="shared" ref="CB68:CB131" si="64">(BZ68+CA68)*0.475*44/12</f>
        <v>129.85002000252641</v>
      </c>
      <c r="CC68" s="62">
        <f t="shared" ref="CC68:CC131" si="65">CB68+(BT68+BU68)*44/12</f>
        <v>423.18335333585969</v>
      </c>
      <c r="CD68" s="62">
        <f ca="1">AVERAGE(OFFSET($CC$3,0,0,'Données projet'!$E$12+1,1))-AVERAGE(OFFSET($H$3,0,0,'Données projet'!$E$12+1,1))</f>
        <v>49.695493809293282</v>
      </c>
      <c r="CE68" s="62">
        <f t="shared" si="40"/>
        <v>59.252884227831601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29.343600000000031</v>
      </c>
      <c r="D69" s="12">
        <f t="shared" ref="D69:D132" si="86">IFERROR(EXP(-1.0587+0.8836*LN(C69)+0.284),0)</f>
        <v>9.1252947188023263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296.95287151356212</v>
      </c>
      <c r="H69" s="70">
        <f t="shared" si="56"/>
        <v>360.33332496858077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2.8826719034900434</v>
      </c>
      <c r="N69" s="14">
        <f>IF('Données projet'!$A$36&gt;35,N68+M69-V68,IF(A69&lt;'Données projet'!$A$36,$K$205^A69,IF(A69='Données projet'!$A$36,'Données projet'!$B$36,N68+M69-V68)))</f>
        <v>88.448954057092365</v>
      </c>
      <c r="O69" s="14">
        <f>N69*VLOOKUP('Données projet'!$B$9,Paramètres!$A$1:$I$89,3,0)*VLOOKUP('Données projet'!$B$9,Paramètres!$A$1:$I$89,5,0)</f>
        <v>96.586257830344863</v>
      </c>
      <c r="P69" s="14">
        <f t="shared" ref="P69:P132" si="87">EXP(-1.0587+0.8836*LN(O69)+0.284)</f>
        <v>26.147083828071768</v>
      </c>
      <c r="Q69" s="22">
        <f t="shared" si="54"/>
        <v>213.76057005507562</v>
      </c>
      <c r="R69" s="62">
        <f t="shared" si="55"/>
        <v>507.09390338840893</v>
      </c>
      <c r="S69" s="62">
        <f ca="1">AVERAGE(OFFSET($R$3,0,0,'Données projet'!$E$9+1,1))-AVERAGE(OFFSET($H$3,0,0,'Données projet'!$E$9+1,1))</f>
        <v>308.00850473946429</v>
      </c>
      <c r="T69" s="62">
        <f t="shared" ref="T69:T132" si="88">$T$3</f>
        <v>70.709140667951715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152</v>
      </c>
      <c r="AJ69" s="14">
        <f>AI69*VLOOKUP('Données projet'!$B$10,Paramètres!$A$1:$I$89,3,0)*VLOOKUP('Données projet'!$B$10,Paramètres!$A$1:$I$89,5,0)</f>
        <v>163.61279999999999</v>
      </c>
      <c r="AK69" s="14">
        <f t="shared" ref="AK69:AK132" si="89">EXP(-1.0587+0.8836*LN(AJ69)+0.284)</f>
        <v>41.656330547871804</v>
      </c>
      <c r="AL69" s="22">
        <f t="shared" si="58"/>
        <v>357.51040237087665</v>
      </c>
      <c r="AM69" s="62">
        <f t="shared" si="59"/>
        <v>650.84373570420996</v>
      </c>
      <c r="AN69" s="62">
        <f ca="1">AVERAGE(OFFSET($AM$3,0,0,'Données projet'!$E$10+1,1))-AVERAGE(OFFSET($H$3,0,0,'Données projet'!$E$10+1,1))</f>
        <v>271.76512254565102</v>
      </c>
      <c r="AO69" s="62">
        <f t="shared" ref="AO69:AO132" si="90">$AO$3</f>
        <v>99.160986083974535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0.9958333333333329</v>
      </c>
      <c r="BD69" s="13">
        <f>IF('Données projet'!$A$88&gt;35,BD68+BC69-BL68,IF(A69&lt;'Données projet'!$A$88,$BA$205^A69,IF(A69='Données projet'!$A$88,'Données projet'!$B$88,BD68+BC69-BL68)))</f>
        <v>51.516666666666666</v>
      </c>
      <c r="BE69" s="14">
        <f>BD69*VLOOKUP('Données projet'!$B$11,Paramètres!$A$1:$I$89,3,0)*VLOOKUP('Données projet'!$B$11,Paramètres!$A$1:$I$89,5,0)</f>
        <v>59.347199999999994</v>
      </c>
      <c r="BF69" s="14">
        <f t="shared" ref="BF69:BF132" si="91">EXP(-1.0587+0.8836*LN(BE69)+0.284)</f>
        <v>17.003115754066624</v>
      </c>
      <c r="BG69" s="22">
        <f t="shared" si="61"/>
        <v>132.97679993833268</v>
      </c>
      <c r="BH69" s="62">
        <f t="shared" si="62"/>
        <v>426.31013327166602</v>
      </c>
      <c r="BI69" s="62">
        <f ca="1">AVERAGE(OFFSET($BH$3,0,0,'Données projet'!$E$11+1,1))-AVERAGE(OFFSET($H$3,0,0,'Données projet'!$E$11+1,1))</f>
        <v>43.16958872930951</v>
      </c>
      <c r="BJ69" s="62">
        <f t="shared" ref="BJ69:BJ132" si="92">$BJ$3</f>
        <v>69.202870643733547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3.6</v>
      </c>
      <c r="BY69" s="13">
        <f>IF('Données projet'!$A$114&gt;35,BY68+BX69-CG68,IF(A69&lt;'Données projet'!$A$114,$BV$205^A69,IF(A69='Données projet'!$A$114,'Données projet'!$B$114,BY68+BX69-CG68)))</f>
        <v>102.59999999999998</v>
      </c>
      <c r="BZ69" s="14">
        <f>BY69*VLOOKUP('Données projet'!$B$12,Paramètres!$A$1:$I$89,3,0)*VLOOKUP('Données projet'!$B$12,Paramètres!$A$1:$I$89,5,0)</f>
        <v>60.020999999999994</v>
      </c>
      <c r="CA69" s="14">
        <f t="shared" ref="CA69:CA132" si="93">EXP(-1.0587+0.8836*LN(BZ69)+0.284)</f>
        <v>17.173578363232526</v>
      </c>
      <c r="CB69" s="22">
        <f t="shared" si="64"/>
        <v>134.44722398262996</v>
      </c>
      <c r="CC69" s="62">
        <f t="shared" si="65"/>
        <v>427.78055731596328</v>
      </c>
      <c r="CD69" s="62">
        <f ca="1">AVERAGE(OFFSET($CC$3,0,0,'Données projet'!$E$12+1,1))-AVERAGE(OFFSET($H$3,0,0,'Données projet'!$E$12+1,1))</f>
        <v>49.695493809293282</v>
      </c>
      <c r="CE69" s="62">
        <f t="shared" ref="CE69:CE132" si="94">$CE$3</f>
        <v>59.252884227831601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29.788200000000032</v>
      </c>
      <c r="D70" s="12">
        <f t="shared" si="86"/>
        <v>9.2473559307387863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301.32709841272072</v>
      </c>
      <c r="H70" s="70">
        <f t="shared" si="56"/>
        <v>361.32025991270342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2.8826719034900434</v>
      </c>
      <c r="N70" s="14">
        <f>IF('Données projet'!$A$36&gt;35,N69+M70-V69,IF(A70&lt;'Données projet'!$A$36,$K$205^A70,IF(A70='Données projet'!$A$36,'Données projet'!$B$36,N69+M70-V69)))</f>
        <v>91.331625960582414</v>
      </c>
      <c r="O70" s="14">
        <f>N70*VLOOKUP('Données projet'!$B$9,Paramètres!$A$1:$I$89,3,0)*VLOOKUP('Données projet'!$B$9,Paramètres!$A$1:$I$89,5,0)</f>
        <v>99.73413554895599</v>
      </c>
      <c r="P70" s="14">
        <f t="shared" si="87"/>
        <v>26.898649198791631</v>
      </c>
      <c r="Q70" s="22">
        <f t="shared" si="54"/>
        <v>220.5521001023271</v>
      </c>
      <c r="R70" s="62">
        <f t="shared" si="55"/>
        <v>513.88543343566039</v>
      </c>
      <c r="S70" s="62">
        <f ca="1">AVERAGE(OFFSET($R$3,0,0,'Données projet'!$E$9+1,1))-AVERAGE(OFFSET($H$3,0,0,'Données projet'!$E$9+1,1))</f>
        <v>308.00850473946429</v>
      </c>
      <c r="T70" s="62">
        <f t="shared" si="88"/>
        <v>70.709140667951715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157</v>
      </c>
      <c r="AJ70" s="14">
        <f>AI70*VLOOKUP('Données projet'!$B$10,Paramètres!$A$1:$I$89,3,0)*VLOOKUP('Données projet'!$B$10,Paramètres!$A$1:$I$89,5,0)</f>
        <v>168.9948</v>
      </c>
      <c r="AK70" s="14">
        <f t="shared" si="89"/>
        <v>42.864814577758281</v>
      </c>
      <c r="AL70" s="22">
        <f t="shared" si="58"/>
        <v>368.98882872292899</v>
      </c>
      <c r="AM70" s="62">
        <f t="shared" si="59"/>
        <v>662.3221620562623</v>
      </c>
      <c r="AN70" s="62">
        <f ca="1">AVERAGE(OFFSET($AM$3,0,0,'Données projet'!$E$10+1,1))-AVERAGE(OFFSET($H$3,0,0,'Données projet'!$E$10+1,1))</f>
        <v>271.76512254565102</v>
      </c>
      <c r="AO70" s="62">
        <f t="shared" si="90"/>
        <v>99.160986083974535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0.9958333333333329</v>
      </c>
      <c r="BD70" s="13">
        <f>IF('Données projet'!$A$88&gt;35,BD69+BC70-BL69,IF(A70&lt;'Données projet'!$A$88,$BA$205^A70,IF(A70='Données projet'!$A$88,'Données projet'!$B$88,BD69+BC70-BL69)))</f>
        <v>52.512499999999996</v>
      </c>
      <c r="BE70" s="14">
        <f>BD70*VLOOKUP('Données projet'!$B$11,Paramètres!$A$1:$I$89,3,0)*VLOOKUP('Données projet'!$B$11,Paramètres!$A$1:$I$89,5,0)</f>
        <v>60.494399999999985</v>
      </c>
      <c r="BF70" s="14">
        <f t="shared" si="91"/>
        <v>17.293209081392963</v>
      </c>
      <c r="BG70" s="22">
        <f t="shared" si="61"/>
        <v>135.48008581675938</v>
      </c>
      <c r="BH70" s="62">
        <f t="shared" si="62"/>
        <v>428.81341915009273</v>
      </c>
      <c r="BI70" s="62">
        <f ca="1">AVERAGE(OFFSET($BH$3,0,0,'Données projet'!$E$11+1,1))-AVERAGE(OFFSET($H$3,0,0,'Données projet'!$E$11+1,1))</f>
        <v>43.16958872930951</v>
      </c>
      <c r="BJ70" s="62">
        <f t="shared" si="92"/>
        <v>69.202870643733547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3.6</v>
      </c>
      <c r="BY70" s="13">
        <f>IF('Données projet'!$A$114&gt;35,BY69+BX70-CG69,IF(A70&lt;'Données projet'!$A$114,$BV$205^A70,IF(A70='Données projet'!$A$114,'Données projet'!$B$114,BY69+BX70-CG69)))</f>
        <v>106.19999999999997</v>
      </c>
      <c r="BZ70" s="14">
        <f>BY70*VLOOKUP('Données projet'!$B$12,Paramètres!$A$1:$I$89,3,0)*VLOOKUP('Données projet'!$B$12,Paramètres!$A$1:$I$89,5,0)</f>
        <v>62.126999999999988</v>
      </c>
      <c r="CA70" s="14">
        <f t="shared" si="93"/>
        <v>17.704946188995372</v>
      </c>
      <c r="CB70" s="22">
        <f t="shared" si="64"/>
        <v>139.04063961250026</v>
      </c>
      <c r="CC70" s="62">
        <f t="shared" si="65"/>
        <v>432.37397294583354</v>
      </c>
      <c r="CD70" s="62">
        <f ca="1">AVERAGE(OFFSET($CC$3,0,0,'Données projet'!$E$12+1,1))-AVERAGE(OFFSET($H$3,0,0,'Données projet'!$E$12+1,1))</f>
        <v>49.695493809293282</v>
      </c>
      <c r="CE70" s="62">
        <f t="shared" si="94"/>
        <v>59.252884227831601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30.232800000000033</v>
      </c>
      <c r="D71" s="12">
        <f t="shared" si="86"/>
        <v>9.3692052598738034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305.6996897253419</v>
      </c>
      <c r="H71" s="70">
        <f t="shared" si="56"/>
        <v>362.30682582761358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2.8826719034900434</v>
      </c>
      <c r="N71" s="14">
        <f>IF('Données projet'!$A$36&gt;35,N70+M71-V70,IF(A71&lt;'Données projet'!$A$36,$K$205^A71,IF(A71='Données projet'!$A$36,'Données projet'!$B$36,N70+M71-V70)))</f>
        <v>94.214297864072464</v>
      </c>
      <c r="O71" s="14">
        <f>N71*VLOOKUP('Données projet'!$B$9,Paramètres!$A$1:$I$89,3,0)*VLOOKUP('Données projet'!$B$9,Paramètres!$A$1:$I$89,5,0)</f>
        <v>102.88201326756712</v>
      </c>
      <c r="P71" s="14">
        <f t="shared" si="87"/>
        <v>27.647457977938007</v>
      </c>
      <c r="Q71" s="22">
        <f t="shared" si="54"/>
        <v>227.33882908592145</v>
      </c>
      <c r="R71" s="62">
        <f t="shared" si="55"/>
        <v>520.67216241925473</v>
      </c>
      <c r="S71" s="62">
        <f ca="1">AVERAGE(OFFSET($R$3,0,0,'Données projet'!$E$9+1,1))-AVERAGE(OFFSET($H$3,0,0,'Données projet'!$E$9+1,1))</f>
        <v>308.00850473946429</v>
      </c>
      <c r="T71" s="62">
        <f t="shared" si="88"/>
        <v>70.709140667951715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162</v>
      </c>
      <c r="AJ71" s="14">
        <f>AI71*VLOOKUP('Données projet'!$B$10,Paramètres!$A$1:$I$89,3,0)*VLOOKUP('Données projet'!$B$10,Paramètres!$A$1:$I$89,5,0)</f>
        <v>174.37679999999997</v>
      </c>
      <c r="AK71" s="14">
        <f t="shared" si="89"/>
        <v>44.06882624410639</v>
      </c>
      <c r="AL71" s="22">
        <f t="shared" si="58"/>
        <v>380.45946570848531</v>
      </c>
      <c r="AM71" s="62">
        <f t="shared" si="59"/>
        <v>673.79279904181863</v>
      </c>
      <c r="AN71" s="62">
        <f ca="1">AVERAGE(OFFSET($AM$3,0,0,'Données projet'!$E$10+1,1))-AVERAGE(OFFSET($H$3,0,0,'Données projet'!$E$10+1,1))</f>
        <v>271.76512254565102</v>
      </c>
      <c r="AO71" s="62">
        <f t="shared" si="90"/>
        <v>99.160986083974535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0.9958333333333329</v>
      </c>
      <c r="BD71" s="13">
        <f>IF('Données projet'!$A$88&gt;35,BD70+BC71-BL70,IF(A71&lt;'Données projet'!$A$88,$BA$205^A71,IF(A71='Données projet'!$A$88,'Données projet'!$B$88,BD70+BC71-BL70)))</f>
        <v>53.508333333333326</v>
      </c>
      <c r="BE71" s="14">
        <f>BD71*VLOOKUP('Données projet'!$B$11,Paramètres!$A$1:$I$89,3,0)*VLOOKUP('Données projet'!$B$11,Paramètres!$A$1:$I$89,5,0)</f>
        <v>61.641599999999983</v>
      </c>
      <c r="BF71" s="14">
        <f t="shared" si="91"/>
        <v>17.582662728436421</v>
      </c>
      <c r="BG71" s="22">
        <f t="shared" si="61"/>
        <v>137.98225758536006</v>
      </c>
      <c r="BH71" s="62">
        <f t="shared" si="62"/>
        <v>431.31559091869337</v>
      </c>
      <c r="BI71" s="62">
        <f ca="1">AVERAGE(OFFSET($BH$3,0,0,'Données projet'!$E$11+1,1))-AVERAGE(OFFSET($H$3,0,0,'Données projet'!$E$11+1,1))</f>
        <v>43.16958872930951</v>
      </c>
      <c r="BJ71" s="62">
        <f t="shared" si="92"/>
        <v>69.202870643733547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3.6</v>
      </c>
      <c r="BY71" s="13">
        <f>IF('Données projet'!$A$114&gt;35,BY70+BX71-CG70,IF(A71&lt;'Données projet'!$A$114,$BV$205^A71,IF(A71='Données projet'!$A$114,'Données projet'!$B$114,BY70+BX71-CG70)))</f>
        <v>109.79999999999997</v>
      </c>
      <c r="BZ71" s="14">
        <f>BY71*VLOOKUP('Données projet'!$B$12,Paramètres!$A$1:$I$89,3,0)*VLOOKUP('Données projet'!$B$12,Paramètres!$A$1:$I$89,5,0)</f>
        <v>64.23299999999999</v>
      </c>
      <c r="CA71" s="14">
        <f t="shared" si="93"/>
        <v>18.234221070972289</v>
      </c>
      <c r="CB71" s="22">
        <f t="shared" si="64"/>
        <v>143.63041003194337</v>
      </c>
      <c r="CC71" s="62">
        <f t="shared" si="65"/>
        <v>436.96374336527668</v>
      </c>
      <c r="CD71" s="62">
        <f ca="1">AVERAGE(OFFSET($CC$3,0,0,'Données projet'!$E$12+1,1))-AVERAGE(OFFSET($H$3,0,0,'Données projet'!$E$12+1,1))</f>
        <v>49.695493809293282</v>
      </c>
      <c r="CE71" s="62">
        <f t="shared" si="94"/>
        <v>59.252884227831601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30.677400000000034</v>
      </c>
      <c r="D72" s="12">
        <f t="shared" si="86"/>
        <v>9.4908461821010697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310.07067228288571</v>
      </c>
      <c r="H72" s="70">
        <f t="shared" si="56"/>
        <v>363.2930287671594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2.8826719034900434</v>
      </c>
      <c r="N72" s="14">
        <f>IF('Données projet'!$A$36&gt;35,N71+M72-V71,IF(A72&lt;'Données projet'!$A$36,$K$205^A72,IF(A72='Données projet'!$A$36,'Données projet'!$B$36,N71+M72-V71)))</f>
        <v>97.096969767562513</v>
      </c>
      <c r="O72" s="14">
        <f>N72*VLOOKUP('Données projet'!$B$9,Paramètres!$A$1:$I$89,3,0)*VLOOKUP('Données projet'!$B$9,Paramètres!$A$1:$I$89,5,0)</f>
        <v>106.02989098617826</v>
      </c>
      <c r="P72" s="14">
        <f t="shared" si="87"/>
        <v>28.39360418870254</v>
      </c>
      <c r="Q72" s="22">
        <f t="shared" si="54"/>
        <v>234.12092076291739</v>
      </c>
      <c r="R72" s="62">
        <f t="shared" si="55"/>
        <v>527.45425409625068</v>
      </c>
      <c r="S72" s="62">
        <f ca="1">AVERAGE(OFFSET($R$3,0,0,'Données projet'!$E$9+1,1))-AVERAGE(OFFSET($H$3,0,0,'Données projet'!$E$9+1,1))</f>
        <v>308.00850473946429</v>
      </c>
      <c r="T72" s="62">
        <f t="shared" si="88"/>
        <v>70.709140667951715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167</v>
      </c>
      <c r="AJ72" s="14">
        <f>AI72*VLOOKUP('Données projet'!$B$10,Paramètres!$A$1:$I$89,3,0)*VLOOKUP('Données projet'!$B$10,Paramètres!$A$1:$I$89,5,0)</f>
        <v>179.75879999999998</v>
      </c>
      <c r="AK72" s="14">
        <f t="shared" si="89"/>
        <v>45.268519423286527</v>
      </c>
      <c r="AL72" s="22">
        <f t="shared" si="58"/>
        <v>391.92258132889066</v>
      </c>
      <c r="AM72" s="62">
        <f t="shared" si="59"/>
        <v>685.25591466222397</v>
      </c>
      <c r="AN72" s="62">
        <f ca="1">AVERAGE(OFFSET($AM$3,0,0,'Données projet'!$E$10+1,1))-AVERAGE(OFFSET($H$3,0,0,'Données projet'!$E$10+1,1))</f>
        <v>271.76512254565102</v>
      </c>
      <c r="AO72" s="62">
        <f t="shared" si="90"/>
        <v>99.160986083974535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0.9958333333333329</v>
      </c>
      <c r="BD72" s="13">
        <f>IF('Données projet'!$A$88&gt;35,BD71+BC72-BL71,IF(A72&lt;'Données projet'!$A$88,$BA$205^A72,IF(A72='Données projet'!$A$88,'Données projet'!$B$88,BD71+BC72-BL71)))</f>
        <v>54.504166666666656</v>
      </c>
      <c r="BE72" s="14">
        <f>BD72*VLOOKUP('Données projet'!$B$11,Paramètres!$A$1:$I$89,3,0)*VLOOKUP('Données projet'!$B$11,Paramètres!$A$1:$I$89,5,0)</f>
        <v>62.788799999999988</v>
      </c>
      <c r="BF72" s="14">
        <f t="shared" si="91"/>
        <v>17.87148997306284</v>
      </c>
      <c r="BG72" s="22">
        <f t="shared" si="61"/>
        <v>140.4833383697511</v>
      </c>
      <c r="BH72" s="62">
        <f t="shared" si="62"/>
        <v>433.81667170308441</v>
      </c>
      <c r="BI72" s="62">
        <f ca="1">AVERAGE(OFFSET($BH$3,0,0,'Données projet'!$E$11+1,1))-AVERAGE(OFFSET($H$3,0,0,'Données projet'!$E$11+1,1))</f>
        <v>43.16958872930951</v>
      </c>
      <c r="BJ72" s="62">
        <f t="shared" si="92"/>
        <v>69.202870643733547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3.6</v>
      </c>
      <c r="BY72" s="13">
        <f>IF('Données projet'!$A$114&gt;35,BY71+BX72-CG71,IF(A72&lt;'Données projet'!$A$114,$BV$205^A72,IF(A72='Données projet'!$A$114,'Données projet'!$B$114,BY71+BX72-CG71)))</f>
        <v>113.39999999999996</v>
      </c>
      <c r="BZ72" s="14">
        <f>BY72*VLOOKUP('Données projet'!$B$12,Paramètres!$A$1:$I$89,3,0)*VLOOKUP('Données projet'!$B$12,Paramètres!$A$1:$I$89,5,0)</f>
        <v>66.338999999999984</v>
      </c>
      <c r="CA72" s="14">
        <f t="shared" si="93"/>
        <v>18.761479499597563</v>
      </c>
      <c r="CB72" s="22">
        <f t="shared" si="64"/>
        <v>148.21666846179906</v>
      </c>
      <c r="CC72" s="62">
        <f t="shared" si="65"/>
        <v>441.5500017951324</v>
      </c>
      <c r="CD72" s="62">
        <f ca="1">AVERAGE(OFFSET($CC$3,0,0,'Données projet'!$E$12+1,1))-AVERAGE(OFFSET($H$3,0,0,'Données projet'!$E$12+1,1))</f>
        <v>49.695493809293282</v>
      </c>
      <c r="CE72" s="62">
        <f t="shared" si="94"/>
        <v>59.252884227831601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31.122000000000035</v>
      </c>
      <c r="D73" s="12">
        <f t="shared" si="86"/>
        <v>9.6122820667788105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314.44007209443322</v>
      </c>
      <c r="H73" s="70">
        <f t="shared" si="56"/>
        <v>364.27887459963978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2.8826719034900434</v>
      </c>
      <c r="N73" s="14">
        <f>IF('Données projet'!$A$36&gt;35,N72+M73-V72,IF(A73&lt;'Données projet'!$A$36,$K$205^A73,IF(A73='Données projet'!$A$36,'Données projet'!$B$36,N72+M73-V72)))</f>
        <v>99.979641671052562</v>
      </c>
      <c r="O73" s="14">
        <f>N73*VLOOKUP('Données projet'!$B$9,Paramètres!$A$1:$I$89,3,0)*VLOOKUP('Données projet'!$B$9,Paramètres!$A$1:$I$89,5,0)</f>
        <v>109.1777687047894</v>
      </c>
      <c r="P73" s="14">
        <f t="shared" si="87"/>
        <v>29.137175954094939</v>
      </c>
      <c r="Q73" s="22">
        <f t="shared" si="54"/>
        <v>240.89852861422355</v>
      </c>
      <c r="R73" s="62">
        <f t="shared" si="55"/>
        <v>534.23186194755681</v>
      </c>
      <c r="S73" s="62">
        <f ca="1">AVERAGE(OFFSET($R$3,0,0,'Données projet'!$E$9+1,1))-AVERAGE(OFFSET($H$3,0,0,'Données projet'!$E$9+1,1))</f>
        <v>308.00850473946429</v>
      </c>
      <c r="T73" s="62">
        <f t="shared" si="88"/>
        <v>70.709140667951715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172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172</v>
      </c>
      <c r="AJ73" s="14">
        <f>AI73*VLOOKUP('Données projet'!$B$10,Paramètres!$A$1:$I$89,3,0)*VLOOKUP('Données projet'!$B$10,Paramètres!$A$1:$I$89,5,0)</f>
        <v>185.14079999999998</v>
      </c>
      <c r="AK73" s="14">
        <f t="shared" si="89"/>
        <v>46.464038253813506</v>
      </c>
      <c r="AL73" s="22">
        <f t="shared" si="58"/>
        <v>403.3784266253918</v>
      </c>
      <c r="AM73" s="62">
        <f t="shared" si="59"/>
        <v>696.71175995872511</v>
      </c>
      <c r="AN73" s="62">
        <f ca="1">AVERAGE(OFFSET($AM$3,0,0,'Données projet'!$E$10+1,1))-AVERAGE(OFFSET($H$3,0,0,'Données projet'!$E$10+1,1))</f>
        <v>271.76512254565102</v>
      </c>
      <c r="AO73" s="62">
        <f t="shared" si="90"/>
        <v>99.160986083974535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55.5</v>
      </c>
      <c r="BB73" s="13">
        <f>VLOOKUP(A73,'Données projet'!$A$87:$I$107,9,0)</f>
        <v>0.9958333333333329</v>
      </c>
      <c r="BC73" s="13">
        <f t="array" ref="BC73">INDEX(BB:BB,MIN(IF(ISNUMBER(BB73:BB269),ROW(BB73:BB269),"")))</f>
        <v>0.9958333333333329</v>
      </c>
      <c r="BD73" s="13">
        <f>IF('Données projet'!$A$88&gt;35,BD72+BC73-BL72,IF(A73&lt;'Données projet'!$A$88,$BA$205^A73,IF(A73='Données projet'!$A$88,'Données projet'!$B$88,BD72+BC73-BL72)))</f>
        <v>55.499999999999986</v>
      </c>
      <c r="BE73" s="14">
        <f>BD73*VLOOKUP('Données projet'!$B$11,Paramètres!$A$1:$I$89,3,0)*VLOOKUP('Données projet'!$B$11,Paramètres!$A$1:$I$89,5,0)</f>
        <v>63.935999999999979</v>
      </c>
      <c r="BF73" s="14">
        <f t="shared" si="91"/>
        <v>18.159703580166067</v>
      </c>
      <c r="BG73" s="22">
        <f t="shared" si="61"/>
        <v>142.98335040212251</v>
      </c>
      <c r="BH73" s="62">
        <f t="shared" si="62"/>
        <v>436.31668373545585</v>
      </c>
      <c r="BI73" s="62">
        <f ca="1">AVERAGE(OFFSET($BH$3,0,0,'Données projet'!$E$11+1,1))-AVERAGE(OFFSET($H$3,0,0,'Données projet'!$E$11+1,1))</f>
        <v>43.16958872930951</v>
      </c>
      <c r="BJ73" s="62">
        <f t="shared" si="92"/>
        <v>69.202870643733547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6.541666666666667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117</v>
      </c>
      <c r="BW73" s="13">
        <f>VLOOKUP(A73,'Données projet'!$A$113:$I$133,9,0)</f>
        <v>3.6</v>
      </c>
      <c r="BX73" s="13">
        <f t="array" ref="BX73">INDEX(BW:BW,MIN(IF(ISNUMBER(BW73:BW269),ROW(BW73:BW269),"")))</f>
        <v>3.6</v>
      </c>
      <c r="BY73" s="13">
        <f>IF('Données projet'!$A$114&gt;35,BY72+BX73-CG72,IF(A73&lt;'Données projet'!$A$114,$BV$205^A73,IF(A73='Données projet'!$A$114,'Données projet'!$B$114,BY72+BX73-CG72)))</f>
        <v>116.99999999999996</v>
      </c>
      <c r="BZ73" s="14">
        <f>BY73*VLOOKUP('Données projet'!$B$12,Paramètres!$A$1:$I$89,3,0)*VLOOKUP('Données projet'!$B$12,Paramètres!$A$1:$I$89,5,0)</f>
        <v>68.444999999999979</v>
      </c>
      <c r="CA73" s="14">
        <f t="shared" si="93"/>
        <v>19.286792832986222</v>
      </c>
      <c r="CB73" s="22">
        <f t="shared" si="64"/>
        <v>152.79953918411763</v>
      </c>
      <c r="CC73" s="62">
        <f t="shared" si="65"/>
        <v>446.13287251745095</v>
      </c>
      <c r="CD73" s="62">
        <f ca="1">AVERAGE(OFFSET($CC$3,0,0,'Données projet'!$E$12+1,1))-AVERAGE(OFFSET($H$3,0,0,'Données projet'!$E$12+1,1))</f>
        <v>49.695493809293282</v>
      </c>
      <c r="CE73" s="62">
        <f t="shared" si="94"/>
        <v>59.252884227831601</v>
      </c>
      <c r="CF73" s="16">
        <f>IF(ISNA(VLOOKUP(A73,'Données projet'!$A$113:$I$133,3,0)),0,VLOOKUP(A73,'Données projet'!$A$113:$I$133,3,0))</f>
        <v>3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31.566600000000037</v>
      </c>
      <c r="D74" s="12">
        <f t="shared" si="86"/>
        <v>9.7335161814694349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318.80791438327316</v>
      </c>
      <c r="H74" s="70">
        <f t="shared" si="56"/>
        <v>365.26436901605928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2.8826719034900434</v>
      </c>
      <c r="N74" s="14">
        <f>IF('Données projet'!$A$36&gt;35,N73+M74-V73,IF(A74&lt;'Données projet'!$A$36,$K$205^A74,IF(A74='Données projet'!$A$36,'Données projet'!$B$36,N73+M74-V73)))</f>
        <v>102.86231357454261</v>
      </c>
      <c r="O74" s="14">
        <f>N74*VLOOKUP('Données projet'!$B$9,Paramètres!$A$1:$I$89,3,0)*VLOOKUP('Données projet'!$B$9,Paramètres!$A$1:$I$89,5,0)</f>
        <v>112.32564642340051</v>
      </c>
      <c r="P74" s="14">
        <f t="shared" si="87"/>
        <v>29.878256026506474</v>
      </c>
      <c r="Q74" s="22">
        <f t="shared" si="54"/>
        <v>247.67179676692135</v>
      </c>
      <c r="R74" s="62">
        <f t="shared" si="55"/>
        <v>541.00513010025463</v>
      </c>
      <c r="S74" s="62">
        <f ca="1">AVERAGE(OFFSET($R$3,0,0,'Données projet'!$E$9+1,1))-AVERAGE(OFFSET($H$3,0,0,'Données projet'!$E$9+1,1))</f>
        <v>308.00850473946429</v>
      </c>
      <c r="T74" s="62">
        <f t="shared" si="88"/>
        <v>70.709140667951715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</v>
      </c>
      <c r="AI74" s="14">
        <f>IF('Données projet'!$A$62&gt;35,AI73+AH74-AQ73,IF(A74&lt;'Données projet'!$A$62,$AF$205^A74,IF(A74='Données projet'!$A$62,'Données projet'!$B$62,AI73+AH74-AQ73)))</f>
        <v>177</v>
      </c>
      <c r="AJ74" s="14">
        <f>AI74*VLOOKUP('Données projet'!$B$10,Paramètres!$A$1:$I$89,3,0)*VLOOKUP('Données projet'!$B$10,Paramètres!$A$1:$I$89,5,0)</f>
        <v>190.52279999999999</v>
      </c>
      <c r="AK74" s="14">
        <f t="shared" si="89"/>
        <v>47.655518017541539</v>
      </c>
      <c r="AL74" s="22">
        <f t="shared" si="58"/>
        <v>414.82723721388487</v>
      </c>
      <c r="AM74" s="62">
        <f t="shared" si="59"/>
        <v>708.16057054721819</v>
      </c>
      <c r="AN74" s="62">
        <f ca="1">AVERAGE(OFFSET($AM$3,0,0,'Données projet'!$E$10+1,1))-AVERAGE(OFFSET($H$3,0,0,'Données projet'!$E$10+1,1))</f>
        <v>271.76512254565102</v>
      </c>
      <c r="AO74" s="62">
        <f t="shared" si="90"/>
        <v>99.160986083974535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0.88750000000000073</v>
      </c>
      <c r="BD74" s="13">
        <f>IF('Données projet'!$A$88&gt;35,BD73+BC74-BL73,IF(A74&lt;'Données projet'!$A$88,$BA$205^A74,IF(A74='Données projet'!$A$88,'Données projet'!$B$88,BD73+BC74-BL73)))</f>
        <v>49.845833333333324</v>
      </c>
      <c r="BE74" s="14">
        <f>BD74*VLOOKUP('Données projet'!$B$11,Paramètres!$A$1:$I$89,3,0)*VLOOKUP('Données projet'!$B$11,Paramètres!$A$1:$I$89,5,0)</f>
        <v>57.422399999999989</v>
      </c>
      <c r="BF74" s="14">
        <f t="shared" si="91"/>
        <v>16.514914779905229</v>
      </c>
      <c r="BG74" s="22">
        <f t="shared" si="61"/>
        <v>128.77415657500157</v>
      </c>
      <c r="BH74" s="62">
        <f t="shared" si="62"/>
        <v>422.10748990833486</v>
      </c>
      <c r="BI74" s="62">
        <f ca="1">AVERAGE(OFFSET($BH$3,0,0,'Données projet'!$E$11+1,1))-AVERAGE(OFFSET($H$3,0,0,'Données projet'!$E$11+1,1))</f>
        <v>43.16958872930951</v>
      </c>
      <c r="BJ74" s="62">
        <f t="shared" si="92"/>
        <v>69.202870643733547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</v>
      </c>
      <c r="BY74" s="13">
        <f>IF('Données projet'!$A$114&gt;35,BY73+BX74-CG73,IF(A74&lt;'Données projet'!$A$114,$BV$205^A74,IF(A74='Données projet'!$A$114,'Données projet'!$B$114,BY73+BX74-CG73)))</f>
        <v>77.999999999999957</v>
      </c>
      <c r="BZ74" s="14">
        <f>BY74*VLOOKUP('Données projet'!$B$12,Paramètres!$A$1:$I$89,3,0)*VLOOKUP('Données projet'!$B$12,Paramètres!$A$1:$I$89,5,0)</f>
        <v>45.629999999999974</v>
      </c>
      <c r="CA74" s="14">
        <f t="shared" si="93"/>
        <v>13.479251577264556</v>
      </c>
      <c r="CB74" s="22">
        <f t="shared" si="64"/>
        <v>102.94861316373573</v>
      </c>
      <c r="CC74" s="62">
        <f t="shared" si="65"/>
        <v>396.28194649706904</v>
      </c>
      <c r="CD74" s="62">
        <f ca="1">AVERAGE(OFFSET($CC$3,0,0,'Données projet'!$E$12+1,1))-AVERAGE(OFFSET($H$3,0,0,'Données projet'!$E$12+1,1))</f>
        <v>49.695493809293282</v>
      </c>
      <c r="CE74" s="62">
        <f t="shared" si="94"/>
        <v>59.252884227831601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32.011200000000038</v>
      </c>
      <c r="D75" s="12">
        <f t="shared" si="86"/>
        <v>9.8545516964045881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323.17422362136909</v>
      </c>
      <c r="H75" s="70">
        <f t="shared" si="56"/>
        <v>366.24951753790469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2.8826719034900434</v>
      </c>
      <c r="N75" s="14">
        <f>IF('Données projet'!$A$36&gt;35,N74+M75-V74,IF(A75&lt;'Données projet'!$A$36,$K$205^A75,IF(A75='Données projet'!$A$36,'Données projet'!$B$36,N74+M75-V74)))</f>
        <v>105.74498547803266</v>
      </c>
      <c r="O75" s="14">
        <f>N75*VLOOKUP('Données projet'!$B$9,Paramètres!$A$1:$I$89,3,0)*VLOOKUP('Données projet'!$B$9,Paramètres!$A$1:$I$89,5,0)</f>
        <v>115.47352414201166</v>
      </c>
      <c r="P75" s="14">
        <f t="shared" si="87"/>
        <v>30.616922256241409</v>
      </c>
      <c r="Q75" s="22">
        <f t="shared" si="54"/>
        <v>254.44086081029073</v>
      </c>
      <c r="R75" s="62">
        <f t="shared" si="55"/>
        <v>547.77419414362407</v>
      </c>
      <c r="S75" s="62">
        <f ca="1">AVERAGE(OFFSET($R$3,0,0,'Données projet'!$E$9+1,1))-AVERAGE(OFFSET($H$3,0,0,'Données projet'!$E$9+1,1))</f>
        <v>308.00850473946429</v>
      </c>
      <c r="T75" s="62">
        <f t="shared" si="88"/>
        <v>70.709140667951715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</v>
      </c>
      <c r="AI75" s="14">
        <f>IF('Données projet'!$A$62&gt;35,AI74+AH75-AQ74,IF(A75&lt;'Données projet'!$A$62,$AF$205^A75,IF(A75='Données projet'!$A$62,'Données projet'!$B$62,AI74+AH75-AQ74)))</f>
        <v>182</v>
      </c>
      <c r="AJ75" s="14">
        <f>AI75*VLOOKUP('Données projet'!$B$10,Paramètres!$A$1:$I$89,3,0)*VLOOKUP('Données projet'!$B$10,Paramètres!$A$1:$I$89,5,0)</f>
        <v>195.90479999999999</v>
      </c>
      <c r="AK75" s="14">
        <f t="shared" si="89"/>
        <v>48.843085918490004</v>
      </c>
      <c r="AL75" s="22">
        <f t="shared" si="58"/>
        <v>426.26923464137008</v>
      </c>
      <c r="AM75" s="62">
        <f t="shared" si="59"/>
        <v>719.60256797470333</v>
      </c>
      <c r="AN75" s="62">
        <f ca="1">AVERAGE(OFFSET($AM$3,0,0,'Données projet'!$E$10+1,1))-AVERAGE(OFFSET($H$3,0,0,'Données projet'!$E$10+1,1))</f>
        <v>271.76512254565102</v>
      </c>
      <c r="AO75" s="62">
        <f t="shared" si="90"/>
        <v>99.160986083974535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0.88750000000000073</v>
      </c>
      <c r="BD75" s="13">
        <f>IF('Données projet'!$A$88&gt;35,BD74+BC75-BL74,IF(A75&lt;'Données projet'!$A$88,$BA$205^A75,IF(A75='Données projet'!$A$88,'Données projet'!$B$88,BD74+BC75-BL74)))</f>
        <v>50.733333333333327</v>
      </c>
      <c r="BE75" s="14">
        <f>BD75*VLOOKUP('Données projet'!$B$11,Paramètres!$A$1:$I$89,3,0)*VLOOKUP('Données projet'!$B$11,Paramètres!$A$1:$I$89,5,0)</f>
        <v>58.444799999999987</v>
      </c>
      <c r="BF75" s="14">
        <f t="shared" si="91"/>
        <v>16.774466692309048</v>
      </c>
      <c r="BG75" s="22">
        <f t="shared" si="61"/>
        <v>131.00688948910491</v>
      </c>
      <c r="BH75" s="62">
        <f t="shared" si="62"/>
        <v>424.34022282243825</v>
      </c>
      <c r="BI75" s="62">
        <f ca="1">AVERAGE(OFFSET($BH$3,0,0,'Données projet'!$E$11+1,1))-AVERAGE(OFFSET($H$3,0,0,'Données projet'!$E$11+1,1))</f>
        <v>43.16958872930951</v>
      </c>
      <c r="BJ75" s="62">
        <f t="shared" si="92"/>
        <v>69.202870643733547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</v>
      </c>
      <c r="BY75" s="13">
        <f>IF('Données projet'!$A$114&gt;35,BY74+BX75-CG74,IF(A75&lt;'Données projet'!$A$114,$BV$205^A75,IF(A75='Données projet'!$A$114,'Données projet'!$B$114,BY74+BX75-CG74)))</f>
        <v>80.999999999999957</v>
      </c>
      <c r="BZ75" s="14">
        <f>BY75*VLOOKUP('Données projet'!$B$12,Paramètres!$A$1:$I$89,3,0)*VLOOKUP('Données projet'!$B$12,Paramètres!$A$1:$I$89,5,0)</f>
        <v>47.384999999999977</v>
      </c>
      <c r="CA75" s="14">
        <f t="shared" si="93"/>
        <v>13.936327732081281</v>
      </c>
      <c r="CB75" s="22">
        <f t="shared" si="64"/>
        <v>106.80131246670818</v>
      </c>
      <c r="CC75" s="62">
        <f t="shared" si="65"/>
        <v>400.13464580004148</v>
      </c>
      <c r="CD75" s="62">
        <f ca="1">AVERAGE(OFFSET($CC$3,0,0,'Données projet'!$E$12+1,1))-AVERAGE(OFFSET($H$3,0,0,'Données projet'!$E$12+1,1))</f>
        <v>49.695493809293282</v>
      </c>
      <c r="CE75" s="62">
        <f t="shared" si="94"/>
        <v>59.252884227831601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32.455800000000039</v>
      </c>
      <c r="D76" s="12">
        <f t="shared" si="86"/>
        <v>9.975391688695062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327.53902356185694</v>
      </c>
      <c r="H76" s="70">
        <f t="shared" si="56"/>
        <v>367.2343255244773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2.8826719034900434</v>
      </c>
      <c r="N76" s="14">
        <f>IF('Données projet'!$A$36&gt;35,N75+M76-V75,IF(A76&lt;'Données projet'!$A$36,$K$205^A76,IF(A76='Données projet'!$A$36,'Données projet'!$B$36,N75+M76-V75)))</f>
        <v>108.62765738152271</v>
      </c>
      <c r="O76" s="14">
        <f>N76*VLOOKUP('Données projet'!$B$9,Paramètres!$A$1:$I$89,3,0)*VLOOKUP('Données projet'!$B$9,Paramètres!$A$1:$I$89,5,0)</f>
        <v>118.6214018606228</v>
      </c>
      <c r="P76" s="14">
        <f t="shared" si="87"/>
        <v>31.353248007521795</v>
      </c>
      <c r="Q76" s="22">
        <f t="shared" si="54"/>
        <v>261.20584852035182</v>
      </c>
      <c r="R76" s="62">
        <f t="shared" si="55"/>
        <v>554.53918185368514</v>
      </c>
      <c r="S76" s="62">
        <f ca="1">AVERAGE(OFFSET($R$3,0,0,'Données projet'!$E$9+1,1))-AVERAGE(OFFSET($H$3,0,0,'Données projet'!$E$9+1,1))</f>
        <v>308.00850473946429</v>
      </c>
      <c r="T76" s="62">
        <f t="shared" si="88"/>
        <v>70.709140667951715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187</v>
      </c>
      <c r="AJ76" s="14">
        <f>AI76*VLOOKUP('Données projet'!$B$10,Paramètres!$A$1:$I$89,3,0)*VLOOKUP('Données projet'!$B$10,Paramètres!$A$1:$I$89,5,0)</f>
        <v>201.2868</v>
      </c>
      <c r="AK76" s="14">
        <f t="shared" si="89"/>
        <v>50.026861773677616</v>
      </c>
      <c r="AL76" s="22">
        <f t="shared" si="58"/>
        <v>437.70462758915511</v>
      </c>
      <c r="AM76" s="62">
        <f t="shared" si="59"/>
        <v>731.03796092248842</v>
      </c>
      <c r="AN76" s="62">
        <f ca="1">AVERAGE(OFFSET($AM$3,0,0,'Données projet'!$E$10+1,1))-AVERAGE(OFFSET($H$3,0,0,'Données projet'!$E$10+1,1))</f>
        <v>271.76512254565102</v>
      </c>
      <c r="AO76" s="62">
        <f t="shared" si="90"/>
        <v>99.160986083974535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0.88750000000000073</v>
      </c>
      <c r="BD76" s="13">
        <f>IF('Données projet'!$A$88&gt;35,BD75+BC76-BL75,IF(A76&lt;'Données projet'!$A$88,$BA$205^A76,IF(A76='Données projet'!$A$88,'Données projet'!$B$88,BD75+BC76-BL75)))</f>
        <v>51.62083333333333</v>
      </c>
      <c r="BE76" s="14">
        <f>BD76*VLOOKUP('Données projet'!$B$11,Paramètres!$A$1:$I$89,3,0)*VLOOKUP('Données projet'!$B$11,Paramètres!$A$1:$I$89,5,0)</f>
        <v>59.467199999999991</v>
      </c>
      <c r="BF76" s="14">
        <f t="shared" si="91"/>
        <v>17.033490605217114</v>
      </c>
      <c r="BG76" s="22">
        <f t="shared" si="61"/>
        <v>133.23870280408644</v>
      </c>
      <c r="BH76" s="62">
        <f t="shared" si="62"/>
        <v>426.57203613741979</v>
      </c>
      <c r="BI76" s="62">
        <f ca="1">AVERAGE(OFFSET($BH$3,0,0,'Données projet'!$E$11+1,1))-AVERAGE(OFFSET($H$3,0,0,'Données projet'!$E$11+1,1))</f>
        <v>43.16958872930951</v>
      </c>
      <c r="BJ76" s="62">
        <f t="shared" si="92"/>
        <v>69.202870643733547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</v>
      </c>
      <c r="BY76" s="13">
        <f>IF('Données projet'!$A$114&gt;35,BY75+BX76-CG75,IF(A76&lt;'Données projet'!$A$114,$BV$205^A76,IF(A76='Données projet'!$A$114,'Données projet'!$B$114,BY75+BX76-CG75)))</f>
        <v>83.999999999999957</v>
      </c>
      <c r="BZ76" s="14">
        <f>BY76*VLOOKUP('Données projet'!$B$12,Paramètres!$A$1:$I$89,3,0)*VLOOKUP('Données projet'!$B$12,Paramètres!$A$1:$I$89,5,0)</f>
        <v>49.139999999999979</v>
      </c>
      <c r="CA76" s="14">
        <f t="shared" si="93"/>
        <v>14.391437147300861</v>
      </c>
      <c r="CB76" s="22">
        <f t="shared" si="64"/>
        <v>110.6505863648823</v>
      </c>
      <c r="CC76" s="62">
        <f t="shared" si="65"/>
        <v>403.98391969821563</v>
      </c>
      <c r="CD76" s="62">
        <f ca="1">AVERAGE(OFFSET($CC$3,0,0,'Données projet'!$E$12+1,1))-AVERAGE(OFFSET($H$3,0,0,'Données projet'!$E$12+1,1))</f>
        <v>49.695493809293282</v>
      </c>
      <c r="CE76" s="62">
        <f t="shared" si="94"/>
        <v>59.252884227831601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32.90040000000004</v>
      </c>
      <c r="D77" s="12">
        <f t="shared" si="86"/>
        <v>10.096039146303516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331.90233726971172</v>
      </c>
      <c r="H77" s="70">
        <f t="shared" si="56"/>
        <v>368.21879817981198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2.8826719034900434</v>
      </c>
      <c r="N77" s="14">
        <f>IF('Données projet'!$A$36&gt;35,N76+M77-V76,IF(A77&lt;'Données projet'!$A$36,$K$205^A77,IF(A77='Données projet'!$A$36,'Données projet'!$B$36,N76+M77-V76)))</f>
        <v>111.51032928501276</v>
      </c>
      <c r="O77" s="14">
        <f>N77*VLOOKUP('Données projet'!$B$9,Paramètres!$A$1:$I$89,3,0)*VLOOKUP('Données projet'!$B$9,Paramètres!$A$1:$I$89,5,0)</f>
        <v>121.76927957923394</v>
      </c>
      <c r="P77" s="14">
        <f t="shared" si="87"/>
        <v>32.087302529092405</v>
      </c>
      <c r="Q77" s="22">
        <f t="shared" si="54"/>
        <v>267.96688050533498</v>
      </c>
      <c r="R77" s="62">
        <f t="shared" si="55"/>
        <v>561.30021383866824</v>
      </c>
      <c r="S77" s="62">
        <f ca="1">AVERAGE(OFFSET($R$3,0,0,'Données projet'!$E$9+1,1))-AVERAGE(OFFSET($H$3,0,0,'Données projet'!$E$9+1,1))</f>
        <v>308.00850473946429</v>
      </c>
      <c r="T77" s="62">
        <f t="shared" si="88"/>
        <v>70.709140667951715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192</v>
      </c>
      <c r="AJ77" s="14">
        <f>AI77*VLOOKUP('Données projet'!$B$10,Paramètres!$A$1:$I$89,3,0)*VLOOKUP('Données projet'!$B$10,Paramètres!$A$1:$I$89,5,0)</f>
        <v>206.6688</v>
      </c>
      <c r="AK77" s="14">
        <f t="shared" si="89"/>
        <v>51.206958627992755</v>
      </c>
      <c r="AL77" s="22">
        <f t="shared" si="58"/>
        <v>449.13361294375403</v>
      </c>
      <c r="AM77" s="62">
        <f t="shared" si="59"/>
        <v>742.46694627708735</v>
      </c>
      <c r="AN77" s="62">
        <f ca="1">AVERAGE(OFFSET($AM$3,0,0,'Données projet'!$E$10+1,1))-AVERAGE(OFFSET($H$3,0,0,'Données projet'!$E$10+1,1))</f>
        <v>271.76512254565102</v>
      </c>
      <c r="AO77" s="62">
        <f t="shared" si="90"/>
        <v>99.160986083974535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0.88750000000000073</v>
      </c>
      <c r="BD77" s="13">
        <f>IF('Données projet'!$A$88&gt;35,BD76+BC77-BL76,IF(A77&lt;'Données projet'!$A$88,$BA$205^A77,IF(A77='Données projet'!$A$88,'Données projet'!$B$88,BD76+BC77-BL76)))</f>
        <v>52.508333333333333</v>
      </c>
      <c r="BE77" s="14">
        <f>BD77*VLOOKUP('Données projet'!$B$11,Paramètres!$A$1:$I$89,3,0)*VLOOKUP('Données projet'!$B$11,Paramètres!$A$1:$I$89,5,0)</f>
        <v>60.489599999999989</v>
      </c>
      <c r="BF77" s="14">
        <f t="shared" si="91"/>
        <v>17.291996643869357</v>
      </c>
      <c r="BG77" s="22">
        <f t="shared" si="61"/>
        <v>135.46961415473911</v>
      </c>
      <c r="BH77" s="62">
        <f t="shared" si="62"/>
        <v>428.80294748807239</v>
      </c>
      <c r="BI77" s="62">
        <f ca="1">AVERAGE(OFFSET($BH$3,0,0,'Données projet'!$E$11+1,1))-AVERAGE(OFFSET($H$3,0,0,'Données projet'!$E$11+1,1))</f>
        <v>43.16958872930951</v>
      </c>
      <c r="BJ77" s="62">
        <f t="shared" si="92"/>
        <v>69.202870643733547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</v>
      </c>
      <c r="BY77" s="13">
        <f>IF('Données projet'!$A$114&gt;35,BY76+BX77-CG76,IF(A77&lt;'Données projet'!$A$114,$BV$205^A77,IF(A77='Données projet'!$A$114,'Données projet'!$B$114,BY76+BX77-CG76)))</f>
        <v>86.999999999999957</v>
      </c>
      <c r="BZ77" s="14">
        <f>BY77*VLOOKUP('Données projet'!$B$12,Paramètres!$A$1:$I$89,3,0)*VLOOKUP('Données projet'!$B$12,Paramètres!$A$1:$I$89,5,0)</f>
        <v>50.894999999999982</v>
      </c>
      <c r="CA77" s="14">
        <f t="shared" si="93"/>
        <v>14.8446581107152</v>
      </c>
      <c r="CB77" s="22">
        <f t="shared" si="64"/>
        <v>114.4965712094956</v>
      </c>
      <c r="CC77" s="62">
        <f t="shared" si="65"/>
        <v>407.8299045428289</v>
      </c>
      <c r="CD77" s="62">
        <f ca="1">AVERAGE(OFFSET($CC$3,0,0,'Données projet'!$E$12+1,1))-AVERAGE(OFFSET($H$3,0,0,'Données projet'!$E$12+1,1))</f>
        <v>49.695493809293282</v>
      </c>
      <c r="CE77" s="62">
        <f t="shared" si="94"/>
        <v>59.252884227831601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33.345000000000041</v>
      </c>
      <c r="D78" s="12">
        <f t="shared" si="86"/>
        <v>10.216496971796296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336.26418715070861</v>
      </c>
      <c r="H78" s="70">
        <f t="shared" si="56"/>
        <v>369.20294055921192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2.8826719034900434</v>
      </c>
      <c r="N78" s="14">
        <f>IF('Données projet'!$A$36&gt;35,N77+M78-V77,IF(A78&lt;'Données projet'!$A$36,$K$205^A78,IF(A78='Données projet'!$A$36,'Données projet'!$B$36,N77+M78-V77)))</f>
        <v>114.39300118850281</v>
      </c>
      <c r="O78" s="14">
        <f>N78*VLOOKUP('Données projet'!$B$9,Paramètres!$A$1:$I$89,3,0)*VLOOKUP('Données projet'!$B$9,Paramètres!$A$1:$I$89,5,0)</f>
        <v>124.91715729784505</v>
      </c>
      <c r="P78" s="14">
        <f t="shared" si="87"/>
        <v>32.819151285424418</v>
      </c>
      <c r="Q78" s="22">
        <f t="shared" si="54"/>
        <v>274.72407078252769</v>
      </c>
      <c r="R78" s="62">
        <f t="shared" si="55"/>
        <v>568.057404115861</v>
      </c>
      <c r="S78" s="62">
        <f ca="1">AVERAGE(OFFSET($R$3,0,0,'Données projet'!$E$9+1,1))-AVERAGE(OFFSET($H$3,0,0,'Données projet'!$E$9+1,1))</f>
        <v>308.00850473946429</v>
      </c>
      <c r="T78" s="62">
        <f t="shared" si="88"/>
        <v>70.709140667951715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197</v>
      </c>
      <c r="AG78" s="13">
        <f>VLOOKUP(A78,'Données projet'!$A$61:$I$81,9,0)</f>
        <v>5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197</v>
      </c>
      <c r="AJ78" s="14">
        <f>AI78*VLOOKUP('Données projet'!$B$10,Paramètres!$A$1:$I$89,3,0)*VLOOKUP('Données projet'!$B$10,Paramètres!$A$1:$I$89,5,0)</f>
        <v>212.05079999999998</v>
      </c>
      <c r="AK78" s="14">
        <f t="shared" si="89"/>
        <v>52.383483303212302</v>
      </c>
      <c r="AL78" s="22">
        <f t="shared" si="58"/>
        <v>460.55637675309475</v>
      </c>
      <c r="AM78" s="62">
        <f t="shared" si="59"/>
        <v>753.88971008642807</v>
      </c>
      <c r="AN78" s="62">
        <f ca="1">AVERAGE(OFFSET($AM$3,0,0,'Données projet'!$E$10+1,1))-AVERAGE(OFFSET($H$3,0,0,'Données projet'!$E$10+1,1))</f>
        <v>271.76512254565102</v>
      </c>
      <c r="AO78" s="62">
        <f t="shared" si="90"/>
        <v>99.160986083974535</v>
      </c>
      <c r="AP78" s="16">
        <f>IF(ISNA(VLOOKUP(A78,'Données projet'!$A$61:$I$81,3,0)),0,VLOOKUP(A78,'Données projet'!$A$61:$I$81,3,0))</f>
        <v>5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0.88750000000000073</v>
      </c>
      <c r="BD78" s="13">
        <f>IF('Données projet'!$A$88&gt;35,BD77+BC78-BL77,IF(A78&lt;'Données projet'!$A$88,$BA$205^A78,IF(A78='Données projet'!$A$88,'Données projet'!$B$88,BD77+BC78-BL77)))</f>
        <v>53.395833333333336</v>
      </c>
      <c r="BE78" s="14">
        <f>BD78*VLOOKUP('Données projet'!$B$11,Paramètres!$A$1:$I$89,3,0)*VLOOKUP('Données projet'!$B$11,Paramètres!$A$1:$I$89,5,0)</f>
        <v>61.511999999999993</v>
      </c>
      <c r="BF78" s="14">
        <f t="shared" si="91"/>
        <v>17.549994571614665</v>
      </c>
      <c r="BG78" s="22">
        <f t="shared" si="61"/>
        <v>137.69964054556218</v>
      </c>
      <c r="BH78" s="62">
        <f t="shared" si="62"/>
        <v>431.03297387889552</v>
      </c>
      <c r="BI78" s="62">
        <f ca="1">AVERAGE(OFFSET($BH$3,0,0,'Données projet'!$E$11+1,1))-AVERAGE(OFFSET($H$3,0,0,'Données projet'!$E$11+1,1))</f>
        <v>43.16958872930951</v>
      </c>
      <c r="BJ78" s="62">
        <f t="shared" si="92"/>
        <v>69.202870643733547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3</v>
      </c>
      <c r="BY78" s="13">
        <f>IF('Données projet'!$A$114&gt;35,BY77+BX78-CG77,IF(A78&lt;'Données projet'!$A$114,$BV$205^A78,IF(A78='Données projet'!$A$114,'Données projet'!$B$114,BY77+BX78-CG77)))</f>
        <v>89.999999999999957</v>
      </c>
      <c r="BZ78" s="14">
        <f>BY78*VLOOKUP('Données projet'!$B$12,Paramètres!$A$1:$I$89,3,0)*VLOOKUP('Données projet'!$B$12,Paramètres!$A$1:$I$89,5,0)</f>
        <v>52.649999999999977</v>
      </c>
      <c r="CA78" s="14">
        <f t="shared" si="93"/>
        <v>15.296063204735677</v>
      </c>
      <c r="CB78" s="22">
        <f t="shared" si="64"/>
        <v>118.33939341491458</v>
      </c>
      <c r="CC78" s="62">
        <f t="shared" si="65"/>
        <v>411.6727267482479</v>
      </c>
      <c r="CD78" s="62">
        <f ca="1">AVERAGE(OFFSET($CC$3,0,0,'Données projet'!$E$12+1,1))-AVERAGE(OFFSET($H$3,0,0,'Données projet'!$E$12+1,1))</f>
        <v>49.695493809293282</v>
      </c>
      <c r="CE78" s="62">
        <f t="shared" si="94"/>
        <v>59.252884227831601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33.789600000000043</v>
      </c>
      <c r="D79" s="12">
        <f t="shared" si="86"/>
        <v>10.336767985889514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340.62459497879661</v>
      </c>
      <c r="H79" s="70">
        <f t="shared" si="56"/>
        <v>370.18675757542428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2.8826719034900434</v>
      </c>
      <c r="N79" s="14">
        <f>IF('Données projet'!$A$36&gt;35,N78+M79-V78,IF(A79&lt;'Données projet'!$A$36,$K$205^A79,IF(A79='Données projet'!$A$36,'Données projet'!$B$36,N78+M79-V78)))</f>
        <v>117.27567309199286</v>
      </c>
      <c r="O79" s="14">
        <f>N79*VLOOKUP('Données projet'!$B$9,Paramètres!$A$1:$I$89,3,0)*VLOOKUP('Données projet'!$B$9,Paramètres!$A$1:$I$89,5,0)</f>
        <v>128.06503501645619</v>
      </c>
      <c r="P79" s="14">
        <f t="shared" si="87"/>
        <v>33.548856253595211</v>
      </c>
      <c r="Q79" s="22">
        <f t="shared" si="54"/>
        <v>281.47752729533948</v>
      </c>
      <c r="R79" s="62">
        <f t="shared" si="55"/>
        <v>574.8108606286728</v>
      </c>
      <c r="S79" s="62">
        <f ca="1">AVERAGE(OFFSET($R$3,0,0,'Données projet'!$E$9+1,1))-AVERAGE(OFFSET($H$3,0,0,'Données projet'!$E$9+1,1))</f>
        <v>308.00850473946429</v>
      </c>
      <c r="T79" s="62">
        <f t="shared" si="88"/>
        <v>70.709140667951715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173.6</v>
      </c>
      <c r="AJ79" s="14">
        <f>AI79*VLOOKUP('Données projet'!$B$10,Paramètres!$A$1:$I$89,3,0)*VLOOKUP('Données projet'!$B$10,Paramètres!$A$1:$I$89,5,0)</f>
        <v>186.86303999999998</v>
      </c>
      <c r="AK79" s="14">
        <f t="shared" si="89"/>
        <v>46.845744983534466</v>
      </c>
      <c r="AL79" s="22">
        <f t="shared" si="58"/>
        <v>407.04280051298912</v>
      </c>
      <c r="AM79" s="62">
        <f t="shared" si="59"/>
        <v>700.37613384632243</v>
      </c>
      <c r="AN79" s="62">
        <f ca="1">AVERAGE(OFFSET($AM$3,0,0,'Données projet'!$E$10+1,1))-AVERAGE(OFFSET($H$3,0,0,'Données projet'!$E$10+1,1))</f>
        <v>271.76512254565102</v>
      </c>
      <c r="AO79" s="62">
        <f t="shared" si="90"/>
        <v>99.160986083974535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0.88750000000000073</v>
      </c>
      <c r="BD79" s="13">
        <f>IF('Données projet'!$A$88&gt;35,BD78+BC79-BL78,IF(A79&lt;'Données projet'!$A$88,$BA$205^A79,IF(A79='Données projet'!$A$88,'Données projet'!$B$88,BD78+BC79-BL78)))</f>
        <v>54.283333333333339</v>
      </c>
      <c r="BE79" s="14">
        <f>BD79*VLOOKUP('Données projet'!$B$11,Paramètres!$A$1:$I$89,3,0)*VLOOKUP('Données projet'!$B$11,Paramètres!$A$1:$I$89,5,0)</f>
        <v>62.534399999999998</v>
      </c>
      <c r="BF79" s="14">
        <f t="shared" si="91"/>
        <v>17.807493808641414</v>
      </c>
      <c r="BG79" s="22">
        <f t="shared" si="61"/>
        <v>139.92879838338379</v>
      </c>
      <c r="BH79" s="62">
        <f t="shared" si="62"/>
        <v>433.26213171671714</v>
      </c>
      <c r="BI79" s="62">
        <f ca="1">AVERAGE(OFFSET($BH$3,0,0,'Données projet'!$E$11+1,1))-AVERAGE(OFFSET($H$3,0,0,'Données projet'!$E$11+1,1))</f>
        <v>43.16958872930951</v>
      </c>
      <c r="BJ79" s="62">
        <f t="shared" si="92"/>
        <v>69.202870643733547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92.999999999999957</v>
      </c>
      <c r="BZ79" s="14">
        <f>BY79*VLOOKUP('Données projet'!$B$12,Paramètres!$A$1:$I$89,3,0)*VLOOKUP('Données projet'!$B$12,Paramètres!$A$1:$I$89,5,0)</f>
        <v>54.404999999999973</v>
      </c>
      <c r="CA79" s="14">
        <f t="shared" si="93"/>
        <v>15.745719898367927</v>
      </c>
      <c r="CB79" s="22">
        <f t="shared" si="64"/>
        <v>122.17917048965741</v>
      </c>
      <c r="CC79" s="62">
        <f t="shared" si="65"/>
        <v>415.51250382299071</v>
      </c>
      <c r="CD79" s="62">
        <f ca="1">AVERAGE(OFFSET($CC$3,0,0,'Données projet'!$E$12+1,1))-AVERAGE(OFFSET($H$3,0,0,'Données projet'!$E$12+1,1))</f>
        <v>49.695493809293282</v>
      </c>
      <c r="CE79" s="62">
        <f t="shared" si="94"/>
        <v>59.252884227831601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34.234200000000044</v>
      </c>
      <c r="D80" s="12">
        <f t="shared" si="86"/>
        <v>10.456854930803106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344.98358192198924</v>
      </c>
      <c r="H80" s="70">
        <f t="shared" si="56"/>
        <v>371.1702540044821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2.8826719034900434</v>
      </c>
      <c r="N80" s="14">
        <f>IF('Données projet'!$A$36&gt;35,N79+M80-V79,IF(A80&lt;'Données projet'!$A$36,$K$205^A80,IF(A80='Données projet'!$A$36,'Données projet'!$B$36,N79+M80-V79)))</f>
        <v>120.15834499548291</v>
      </c>
      <c r="O80" s="14">
        <f>N80*VLOOKUP('Données projet'!$B$9,Paramètres!$A$1:$I$89,3,0)*VLOOKUP('Données projet'!$B$9,Paramètres!$A$1:$I$89,5,0)</f>
        <v>131.21291273506733</v>
      </c>
      <c r="P80" s="14">
        <f t="shared" si="87"/>
        <v>34.276476190156238</v>
      </c>
      <c r="Q80" s="22">
        <f t="shared" si="54"/>
        <v>288.22735237809775</v>
      </c>
      <c r="R80" s="62">
        <f t="shared" si="55"/>
        <v>581.56068571143101</v>
      </c>
      <c r="S80" s="62">
        <f ca="1">AVERAGE(OFFSET($R$3,0,0,'Données projet'!$E$9+1,1))-AVERAGE(OFFSET($H$3,0,0,'Données projet'!$E$9+1,1))</f>
        <v>308.00850473946429</v>
      </c>
      <c r="T80" s="62">
        <f t="shared" si="88"/>
        <v>70.709140667951715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178.2</v>
      </c>
      <c r="AJ80" s="14">
        <f>AI80*VLOOKUP('Données projet'!$B$10,Paramètres!$A$1:$I$89,3,0)*VLOOKUP('Données projet'!$B$10,Paramètres!$A$1:$I$89,5,0)</f>
        <v>191.81447999999997</v>
      </c>
      <c r="AK80" s="14">
        <f t="shared" si="89"/>
        <v>47.940886441320977</v>
      </c>
      <c r="AL80" s="22">
        <f t="shared" si="58"/>
        <v>417.57392988530063</v>
      </c>
      <c r="AM80" s="62">
        <f t="shared" si="59"/>
        <v>710.90726321863394</v>
      </c>
      <c r="AN80" s="62">
        <f ca="1">AVERAGE(OFFSET($AM$3,0,0,'Données projet'!$E$10+1,1))-AVERAGE(OFFSET($H$3,0,0,'Données projet'!$E$10+1,1))</f>
        <v>271.76512254565102</v>
      </c>
      <c r="AO80" s="62">
        <f t="shared" si="90"/>
        <v>99.160986083974535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0.88750000000000073</v>
      </c>
      <c r="BD80" s="13">
        <f>IF('Données projet'!$A$88&gt;35,BD79+BC80-BL79,IF(A80&lt;'Données projet'!$A$88,$BA$205^A80,IF(A80='Données projet'!$A$88,'Données projet'!$B$88,BD79+BC80-BL79)))</f>
        <v>55.170833333333341</v>
      </c>
      <c r="BE80" s="14">
        <f>BD80*VLOOKUP('Données projet'!$B$11,Paramètres!$A$1:$I$89,3,0)*VLOOKUP('Données projet'!$B$11,Paramètres!$A$1:$I$89,5,0)</f>
        <v>63.556800000000003</v>
      </c>
      <c r="BF80" s="14">
        <f t="shared" si="91"/>
        <v>18.064503449448384</v>
      </c>
      <c r="BG80" s="22">
        <f t="shared" si="61"/>
        <v>142.15710350778929</v>
      </c>
      <c r="BH80" s="62">
        <f t="shared" si="62"/>
        <v>435.49043684112257</v>
      </c>
      <c r="BI80" s="62">
        <f ca="1">AVERAGE(OFFSET($BH$3,0,0,'Données projet'!$E$11+1,1))-AVERAGE(OFFSET($H$3,0,0,'Données projet'!$E$11+1,1))</f>
        <v>43.16958872930951</v>
      </c>
      <c r="BJ80" s="62">
        <f t="shared" si="92"/>
        <v>69.202870643733547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95.999999999999957</v>
      </c>
      <c r="BZ80" s="14">
        <f>BY80*VLOOKUP('Données projet'!$B$12,Paramètres!$A$1:$I$89,3,0)*VLOOKUP('Données projet'!$B$12,Paramètres!$A$1:$I$89,5,0)</f>
        <v>56.159999999999975</v>
      </c>
      <c r="CA80" s="14">
        <f t="shared" si="93"/>
        <v>16.193691060657031</v>
      </c>
      <c r="CB80" s="22">
        <f t="shared" si="64"/>
        <v>126.0160119306443</v>
      </c>
      <c r="CC80" s="62">
        <f t="shared" si="65"/>
        <v>419.34934526397763</v>
      </c>
      <c r="CD80" s="62">
        <f ca="1">AVERAGE(OFFSET($CC$3,0,0,'Données projet'!$E$12+1,1))-AVERAGE(OFFSET($H$3,0,0,'Données projet'!$E$12+1,1))</f>
        <v>49.695493809293282</v>
      </c>
      <c r="CE80" s="62">
        <f t="shared" si="94"/>
        <v>59.252884227831601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34.678800000000045</v>
      </c>
      <c r="D81" s="12">
        <f t="shared" si="86"/>
        <v>10.576760473435796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349.34116856687319</v>
      </c>
      <c r="H81" s="70">
        <f t="shared" si="56"/>
        <v>372.15343449123407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123.04101689897288</v>
      </c>
      <c r="L81" s="13">
        <f>VLOOKUP(A81,'Données projet'!$A$35:$I$55,9,0)</f>
        <v>2.8826719034900434</v>
      </c>
      <c r="M81" s="13">
        <f t="array" ref="M81">INDEX(L:L,MIN(IF(ISNUMBER(L81:L277),ROW(L81:L277),"")))</f>
        <v>2.8826719034900434</v>
      </c>
      <c r="N81" s="14">
        <f>IF('Données projet'!$A$36&gt;35,N80+M81-V80,IF(A81&lt;'Données projet'!$A$36,$K$205^A81,IF(A81='Données projet'!$A$36,'Données projet'!$B$36,N80+M81-V80)))</f>
        <v>123.04101689897296</v>
      </c>
      <c r="O81" s="14">
        <f>N81*VLOOKUP('Données projet'!$B$9,Paramètres!$A$1:$I$89,3,0)*VLOOKUP('Données projet'!$B$9,Paramètres!$A$1:$I$89,5,0)</f>
        <v>134.36079045367845</v>
      </c>
      <c r="P81" s="14">
        <f t="shared" si="87"/>
        <v>35.002066871670714</v>
      </c>
      <c r="Q81" s="22">
        <f t="shared" si="54"/>
        <v>294.97364317498312</v>
      </c>
      <c r="R81" s="62">
        <f t="shared" si="55"/>
        <v>588.30697650831644</v>
      </c>
      <c r="S81" s="62">
        <f ca="1">AVERAGE(OFFSET($R$3,0,0,'Données projet'!$E$9+1,1))-AVERAGE(OFFSET($H$3,0,0,'Données projet'!$E$9+1,1))</f>
        <v>308.00850473946429</v>
      </c>
      <c r="T81" s="62">
        <f t="shared" si="88"/>
        <v>70.709140667951715</v>
      </c>
      <c r="U81" s="16">
        <f>IF(ISNA(VLOOKUP(A81,'Données projet'!$A$35:$I$55,3,0)),0,VLOOKUP(A81,'Données projet'!$A$35:$I$55,3,0))</f>
        <v>4</v>
      </c>
      <c r="V81" s="16">
        <f>IF(ISNA(VLOOKUP(A81,'Données projet'!$A$35:$I$55,4,0)),0,VLOOKUP(A81,'Données projet'!$A$35:$I$55,4,0))</f>
        <v>13.671224099885858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182.79999999999998</v>
      </c>
      <c r="AJ81" s="14">
        <f>AI81*VLOOKUP('Données projet'!$B$10,Paramètres!$A$1:$I$89,3,0)*VLOOKUP('Données projet'!$B$10,Paramètres!$A$1:$I$89,5,0)</f>
        <v>196.76591999999997</v>
      </c>
      <c r="AK81" s="14">
        <f t="shared" si="89"/>
        <v>49.03274186547759</v>
      </c>
      <c r="AL81" s="22">
        <f t="shared" si="58"/>
        <v>428.09933608237338</v>
      </c>
      <c r="AM81" s="62">
        <f t="shared" si="59"/>
        <v>721.43266941570664</v>
      </c>
      <c r="AN81" s="62">
        <f ca="1">AVERAGE(OFFSET($AM$3,0,0,'Données projet'!$E$10+1,1))-AVERAGE(OFFSET($H$3,0,0,'Données projet'!$E$10+1,1))</f>
        <v>271.76512254565102</v>
      </c>
      <c r="AO81" s="62">
        <f t="shared" si="90"/>
        <v>99.160986083974535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0.88750000000000073</v>
      </c>
      <c r="BD81" s="13">
        <f>IF('Données projet'!$A$88&gt;35,BD80+BC81-BL80,IF(A81&lt;'Données projet'!$A$88,$BA$205^A81,IF(A81='Données projet'!$A$88,'Données projet'!$B$88,BD80+BC81-BL80)))</f>
        <v>56.058333333333344</v>
      </c>
      <c r="BE81" s="14">
        <f>BD81*VLOOKUP('Données projet'!$B$11,Paramètres!$A$1:$I$89,3,0)*VLOOKUP('Données projet'!$B$11,Paramètres!$A$1:$I$89,5,0)</f>
        <v>64.579200000000014</v>
      </c>
      <c r="BF81" s="14">
        <f t="shared" si="91"/>
        <v>18.321032279159724</v>
      </c>
      <c r="BG81" s="22">
        <f t="shared" si="61"/>
        <v>144.38457121953653</v>
      </c>
      <c r="BH81" s="62">
        <f t="shared" si="62"/>
        <v>437.71790455286987</v>
      </c>
      <c r="BI81" s="62">
        <f ca="1">AVERAGE(OFFSET($BH$3,0,0,'Données projet'!$E$11+1,1))-AVERAGE(OFFSET($H$3,0,0,'Données projet'!$E$11+1,1))</f>
        <v>43.16958872930951</v>
      </c>
      <c r="BJ81" s="62">
        <f t="shared" si="92"/>
        <v>69.202870643733547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98.999999999999957</v>
      </c>
      <c r="BZ81" s="14">
        <f>BY81*VLOOKUP('Données projet'!$B$12,Paramètres!$A$1:$I$89,3,0)*VLOOKUP('Données projet'!$B$12,Paramètres!$A$1:$I$89,5,0)</f>
        <v>57.914999999999978</v>
      </c>
      <c r="CA81" s="14">
        <f t="shared" si="93"/>
        <v>16.640035408149114</v>
      </c>
      <c r="CB81" s="22">
        <f t="shared" si="64"/>
        <v>129.85002000252635</v>
      </c>
      <c r="CC81" s="62">
        <f t="shared" si="65"/>
        <v>423.18335333585969</v>
      </c>
      <c r="CD81" s="62">
        <f ca="1">AVERAGE(OFFSET($CC$3,0,0,'Données projet'!$E$12+1,1))-AVERAGE(OFFSET($H$3,0,0,'Données projet'!$E$12+1,1))</f>
        <v>49.695493809293282</v>
      </c>
      <c r="CE81" s="62">
        <f t="shared" si="94"/>
        <v>59.252884227831601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35.123400000000046</v>
      </c>
      <c r="D82" s="12">
        <f t="shared" si="86"/>
        <v>10.696487208372506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353.69737494182317</v>
      </c>
      <c r="H82" s="70">
        <f t="shared" si="56"/>
        <v>373.13630355458218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3.0816718909993281</v>
      </c>
      <c r="N82" s="14">
        <f>IF('Données projet'!$A$36&gt;35,N81+M82-V81,IF(A82&lt;'Données projet'!$A$36,$K$205^A82,IF(A82='Données projet'!$A$36,'Données projet'!$B$36,N81+M82-V81)))</f>
        <v>112.45146469008642</v>
      </c>
      <c r="O82" s="14">
        <f>N82*VLOOKUP('Données projet'!$B$9,Paramètres!$A$1:$I$89,3,0)*VLOOKUP('Données projet'!$B$9,Paramètres!$A$1:$I$89,5,0)</f>
        <v>122.79699944157437</v>
      </c>
      <c r="P82" s="14">
        <f t="shared" si="87"/>
        <v>32.326476116845697</v>
      </c>
      <c r="Q82" s="22">
        <f t="shared" si="54"/>
        <v>270.17338659758155</v>
      </c>
      <c r="R82" s="62">
        <f t="shared" si="55"/>
        <v>563.50671993091487</v>
      </c>
      <c r="S82" s="62">
        <f ca="1">AVERAGE(OFFSET($R$3,0,0,'Données projet'!$E$9+1,1))-AVERAGE(OFFSET($H$3,0,0,'Données projet'!$E$9+1,1))</f>
        <v>308.00850473946429</v>
      </c>
      <c r="T82" s="62">
        <f t="shared" si="88"/>
        <v>70.709140667951715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187.39999999999998</v>
      </c>
      <c r="AJ82" s="14">
        <f>AI82*VLOOKUP('Données projet'!$B$10,Paramètres!$A$1:$I$89,3,0)*VLOOKUP('Données projet'!$B$10,Paramètres!$A$1:$I$89,5,0)</f>
        <v>201.71735999999999</v>
      </c>
      <c r="AK82" s="14">
        <f t="shared" si="89"/>
        <v>50.121403455877136</v>
      </c>
      <c r="AL82" s="22">
        <f t="shared" si="58"/>
        <v>438.61917968565263</v>
      </c>
      <c r="AM82" s="62">
        <f t="shared" si="59"/>
        <v>731.95251301898588</v>
      </c>
      <c r="AN82" s="62">
        <f ca="1">AVERAGE(OFFSET($AM$3,0,0,'Données projet'!$E$10+1,1))-AVERAGE(OFFSET($H$3,0,0,'Données projet'!$E$10+1,1))</f>
        <v>271.76512254565102</v>
      </c>
      <c r="AO82" s="62">
        <f t="shared" si="90"/>
        <v>99.160986083974535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0.88750000000000073</v>
      </c>
      <c r="BD82" s="13">
        <f>IF('Données projet'!$A$88&gt;35,BD81+BC82-BL81,IF(A82&lt;'Données projet'!$A$88,$BA$205^A82,IF(A82='Données projet'!$A$88,'Données projet'!$B$88,BD81+BC82-BL81)))</f>
        <v>56.945833333333347</v>
      </c>
      <c r="BE82" s="14">
        <f>BD82*VLOOKUP('Données projet'!$B$11,Paramètres!$A$1:$I$89,3,0)*VLOOKUP('Données projet'!$B$11,Paramètres!$A$1:$I$89,5,0)</f>
        <v>65.601600000000019</v>
      </c>
      <c r="BF82" s="14">
        <f t="shared" si="91"/>
        <v>18.577088788777257</v>
      </c>
      <c r="BG82" s="22">
        <f t="shared" si="61"/>
        <v>146.61121630712043</v>
      </c>
      <c r="BH82" s="62">
        <f t="shared" si="62"/>
        <v>439.94454964045372</v>
      </c>
      <c r="BI82" s="62">
        <f ca="1">AVERAGE(OFFSET($BH$3,0,0,'Données projet'!$E$11+1,1))-AVERAGE(OFFSET($H$3,0,0,'Données projet'!$E$11+1,1))</f>
        <v>43.16958872930951</v>
      </c>
      <c r="BJ82" s="62">
        <f t="shared" si="92"/>
        <v>69.202870643733547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101.99999999999996</v>
      </c>
      <c r="BZ82" s="14">
        <f>BY82*VLOOKUP('Données projet'!$B$12,Paramètres!$A$1:$I$89,3,0)*VLOOKUP('Données projet'!$B$12,Paramètres!$A$1:$I$89,5,0)</f>
        <v>59.66999999999998</v>
      </c>
      <c r="CA82" s="14">
        <f t="shared" si="93"/>
        <v>17.084807896591315</v>
      </c>
      <c r="CB82" s="22">
        <f t="shared" si="64"/>
        <v>133.6812904198965</v>
      </c>
      <c r="CC82" s="62">
        <f t="shared" si="65"/>
        <v>427.01462375322978</v>
      </c>
      <c r="CD82" s="62">
        <f ca="1">AVERAGE(OFFSET($CC$3,0,0,'Données projet'!$E$12+1,1))-AVERAGE(OFFSET($H$3,0,0,'Données projet'!$E$12+1,1))</f>
        <v>49.695493809293282</v>
      </c>
      <c r="CE82" s="62">
        <f t="shared" si="94"/>
        <v>59.252884227831601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35.568000000000048</v>
      </c>
      <c r="D83" s="12">
        <f t="shared" si="86"/>
        <v>10.816037660735223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358.05222053900917</v>
      </c>
      <c r="H83" s="70">
        <f t="shared" si="56"/>
        <v>374.11886559244726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3.0816718909993281</v>
      </c>
      <c r="N83" s="14">
        <f>IF('Données projet'!$A$36&gt;35,N82+M83-V82,IF(A83&lt;'Données projet'!$A$36,$K$205^A83,IF(A83='Données projet'!$A$36,'Données projet'!$B$36,N82+M83-V82)))</f>
        <v>115.53313658108576</v>
      </c>
      <c r="O83" s="14">
        <f>N83*VLOOKUP('Données projet'!$B$9,Paramètres!$A$1:$I$89,3,0)*VLOOKUP('Données projet'!$B$9,Paramètres!$A$1:$I$89,5,0)</f>
        <v>126.16218514654564</v>
      </c>
      <c r="P83" s="14">
        <f t="shared" si="87"/>
        <v>33.108012319942979</v>
      </c>
      <c r="Q83" s="22">
        <f t="shared" si="54"/>
        <v>277.39559392080099</v>
      </c>
      <c r="R83" s="62">
        <f t="shared" si="55"/>
        <v>570.72892725413431</v>
      </c>
      <c r="S83" s="62">
        <f ca="1">AVERAGE(OFFSET($R$3,0,0,'Données projet'!$E$9+1,1))-AVERAGE(OFFSET($H$3,0,0,'Données projet'!$E$9+1,1))</f>
        <v>308.00850473946429</v>
      </c>
      <c r="T83" s="62">
        <f t="shared" si="88"/>
        <v>70.709140667951715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191.99999999999997</v>
      </c>
      <c r="AJ83" s="14">
        <f>AI83*VLOOKUP('Données projet'!$B$10,Paramètres!$A$1:$I$89,3,0)*VLOOKUP('Données projet'!$B$10,Paramètres!$A$1:$I$89,5,0)</f>
        <v>206.66879999999995</v>
      </c>
      <c r="AK83" s="14">
        <f t="shared" si="89"/>
        <v>51.206958627992705</v>
      </c>
      <c r="AL83" s="22">
        <f t="shared" si="58"/>
        <v>449.1336129437538</v>
      </c>
      <c r="AM83" s="62">
        <f t="shared" si="59"/>
        <v>742.46694627708712</v>
      </c>
      <c r="AN83" s="62">
        <f ca="1">AVERAGE(OFFSET($AM$3,0,0,'Données projet'!$E$10+1,1))-AVERAGE(OFFSET($H$3,0,0,'Données projet'!$E$10+1,1))</f>
        <v>271.76512254565102</v>
      </c>
      <c r="AO83" s="62">
        <f t="shared" si="90"/>
        <v>99.160986083974535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57.833333333333343</v>
      </c>
      <c r="BB83" s="13">
        <f>VLOOKUP(A83,'Données projet'!$A$87:$I$107,9,0)</f>
        <v>0.88750000000000073</v>
      </c>
      <c r="BC83" s="13">
        <f t="array" ref="BC83">INDEX(BB:BB,MIN(IF(ISNUMBER(BB83:BB279),ROW(BB83:BB279),"")))</f>
        <v>0.88750000000000073</v>
      </c>
      <c r="BD83" s="13">
        <f>IF('Données projet'!$A$88&gt;35,BD82+BC83-BL82,IF(A83&lt;'Données projet'!$A$88,$BA$205^A83,IF(A83='Données projet'!$A$88,'Données projet'!$B$88,BD82+BC83-BL82)))</f>
        <v>57.83333333333335</v>
      </c>
      <c r="BE83" s="14">
        <f>BD83*VLOOKUP('Données projet'!$B$11,Paramètres!$A$1:$I$89,3,0)*VLOOKUP('Données projet'!$B$11,Paramètres!$A$1:$I$89,5,0)</f>
        <v>66.624000000000024</v>
      </c>
      <c r="BF83" s="14">
        <f t="shared" si="91"/>
        <v>18.832681189455133</v>
      </c>
      <c r="BG83" s="22">
        <f t="shared" si="61"/>
        <v>148.83705307163439</v>
      </c>
      <c r="BH83" s="62">
        <f t="shared" si="62"/>
        <v>442.1703864049677</v>
      </c>
      <c r="BI83" s="62">
        <f ca="1">AVERAGE(OFFSET($BH$3,0,0,'Données projet'!$E$11+1,1))-AVERAGE(OFFSET($H$3,0,0,'Données projet'!$E$11+1,1))</f>
        <v>43.16958872930951</v>
      </c>
      <c r="BJ83" s="62">
        <f t="shared" si="92"/>
        <v>69.202870643733547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6.7083333333333339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104.99999999999996</v>
      </c>
      <c r="BZ83" s="14">
        <f>BY83*VLOOKUP('Données projet'!$B$12,Paramètres!$A$1:$I$89,3,0)*VLOOKUP('Données projet'!$B$12,Paramètres!$A$1:$I$89,5,0)</f>
        <v>61.424999999999976</v>
      </c>
      <c r="CA83" s="14">
        <f t="shared" si="93"/>
        <v>17.528060065254426</v>
      </c>
      <c r="CB83" s="22">
        <f t="shared" si="64"/>
        <v>137.50991294698474</v>
      </c>
      <c r="CC83" s="62">
        <f t="shared" si="65"/>
        <v>430.84324628031806</v>
      </c>
      <c r="CD83" s="62">
        <f ca="1">AVERAGE(OFFSET($CC$3,0,0,'Données projet'!$E$12+1,1))-AVERAGE(OFFSET($H$3,0,0,'Données projet'!$E$12+1,1))</f>
        <v>49.695493809293282</v>
      </c>
      <c r="CE83" s="62">
        <f t="shared" si="94"/>
        <v>59.252884227831601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36.012600000000049</v>
      </c>
      <c r="D84" s="12">
        <f t="shared" si="86"/>
        <v>10.935414288887221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362.40572433527018</v>
      </c>
      <c r="H84" s="70">
        <f t="shared" si="56"/>
        <v>375.10112488647866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3.0816718909993281</v>
      </c>
      <c r="N84" s="14">
        <f>IF('Données projet'!$A$36&gt;35,N83+M84-V83,IF(A84&lt;'Données projet'!$A$36,$K$205^A84,IF(A84='Données projet'!$A$36,'Données projet'!$B$36,N83+M84-V83)))</f>
        <v>118.61480847208509</v>
      </c>
      <c r="O84" s="14">
        <f>N84*VLOOKUP('Données projet'!$B$9,Paramètres!$A$1:$I$89,3,0)*VLOOKUP('Données projet'!$B$9,Paramètres!$A$1:$I$89,5,0)</f>
        <v>129.52737085151691</v>
      </c>
      <c r="P84" s="14">
        <f t="shared" si="87"/>
        <v>33.887125473382632</v>
      </c>
      <c r="Q84" s="22">
        <f t="shared" si="54"/>
        <v>284.61358109920002</v>
      </c>
      <c r="R84" s="62">
        <f t="shared" si="55"/>
        <v>577.94691443253328</v>
      </c>
      <c r="S84" s="62">
        <f ca="1">AVERAGE(OFFSET($R$3,0,0,'Données projet'!$E$9+1,1))-AVERAGE(OFFSET($H$3,0,0,'Données projet'!$E$9+1,1))</f>
        <v>308.00850473946429</v>
      </c>
      <c r="T84" s="62">
        <f t="shared" si="88"/>
        <v>70.709140667951715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196.39999999999998</v>
      </c>
      <c r="AJ84" s="14">
        <f>AI84*VLOOKUP('Données projet'!$B$10,Paramètres!$A$1:$I$89,3,0)*VLOOKUP('Données projet'!$B$10,Paramètres!$A$1:$I$89,5,0)</f>
        <v>211.40495999999996</v>
      </c>
      <c r="AK84" s="14">
        <f t="shared" si="89"/>
        <v>52.242485557708825</v>
      </c>
      <c r="AL84" s="22">
        <f t="shared" si="58"/>
        <v>459.18596767967614</v>
      </c>
      <c r="AM84" s="62">
        <f t="shared" si="59"/>
        <v>752.51930101300945</v>
      </c>
      <c r="AN84" s="62">
        <f ca="1">AVERAGE(OFFSET($AM$3,0,0,'Données projet'!$E$10+1,1))-AVERAGE(OFFSET($H$3,0,0,'Données projet'!$E$10+1,1))</f>
        <v>271.76512254565102</v>
      </c>
      <c r="AO84" s="62">
        <f t="shared" si="90"/>
        <v>99.160986083974535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0.83750000000000002</v>
      </c>
      <c r="BD84" s="13">
        <f>IF('Données projet'!$A$88&gt;35,BD83+BC84-BL83,IF(A84&lt;'Données projet'!$A$88,$BA$205^A84,IF(A84='Données projet'!$A$88,'Données projet'!$B$88,BD83+BC84-BL83)))</f>
        <v>51.962500000000013</v>
      </c>
      <c r="BE84" s="14">
        <f>BD84*VLOOKUP('Données projet'!$B$11,Paramètres!$A$1:$I$89,3,0)*VLOOKUP('Données projet'!$B$11,Paramètres!$A$1:$I$89,5,0)</f>
        <v>59.860800000000005</v>
      </c>
      <c r="BF84" s="14">
        <f t="shared" si="91"/>
        <v>17.133070128939028</v>
      </c>
      <c r="BG84" s="22">
        <f t="shared" si="61"/>
        <v>134.09765714123549</v>
      </c>
      <c r="BH84" s="62">
        <f t="shared" si="62"/>
        <v>427.43099047456883</v>
      </c>
      <c r="BI84" s="62">
        <f ca="1">AVERAGE(OFFSET($BH$3,0,0,'Données projet'!$E$11+1,1))-AVERAGE(OFFSET($H$3,0,0,'Données projet'!$E$11+1,1))</f>
        <v>43.16958872930951</v>
      </c>
      <c r="BJ84" s="62">
        <f t="shared" si="92"/>
        <v>69.202870643733547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</v>
      </c>
      <c r="BY84" s="13">
        <f>IF('Données projet'!$A$114&gt;35,BY83+BX84-CG83,IF(A84&lt;'Données projet'!$A$114,$BV$205^A84,IF(A84='Données projet'!$A$114,'Données projet'!$B$114,BY83+BX84-CG83)))</f>
        <v>107.99999999999996</v>
      </c>
      <c r="BZ84" s="14">
        <f>BY84*VLOOKUP('Données projet'!$B$12,Paramètres!$A$1:$I$89,3,0)*VLOOKUP('Données projet'!$B$12,Paramètres!$A$1:$I$89,5,0)</f>
        <v>63.179999999999978</v>
      </c>
      <c r="CA84" s="14">
        <f t="shared" si="93"/>
        <v>17.969840340798367</v>
      </c>
      <c r="CB84" s="22">
        <f t="shared" si="64"/>
        <v>141.33597192689044</v>
      </c>
      <c r="CC84" s="62">
        <f t="shared" si="65"/>
        <v>434.66930526022372</v>
      </c>
      <c r="CD84" s="62">
        <f ca="1">AVERAGE(OFFSET($CC$3,0,0,'Données projet'!$E$12+1,1))-AVERAGE(OFFSET($H$3,0,0,'Données projet'!$E$12+1,1))</f>
        <v>49.695493809293282</v>
      </c>
      <c r="CE84" s="62">
        <f t="shared" si="94"/>
        <v>59.252884227831601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36.45720000000005</v>
      </c>
      <c r="D85" s="12">
        <f t="shared" si="86"/>
        <v>11.054619486999979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366.75790481193008</v>
      </c>
      <c r="H85" s="70">
        <f t="shared" si="56"/>
        <v>376.083085606525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3.0816718909993281</v>
      </c>
      <c r="N85" s="14">
        <f>IF('Données projet'!$A$36&gt;35,N84+M85-V84,IF(A85&lt;'Données projet'!$A$36,$K$205^A85,IF(A85='Données projet'!$A$36,'Données projet'!$B$36,N84+M85-V84)))</f>
        <v>121.69648036308442</v>
      </c>
      <c r="O85" s="14">
        <f>N85*VLOOKUP('Données projet'!$B$9,Paramètres!$A$1:$I$89,3,0)*VLOOKUP('Données projet'!$B$9,Paramètres!$A$1:$I$89,5,0)</f>
        <v>132.89255655648819</v>
      </c>
      <c r="P85" s="14">
        <f t="shared" si="87"/>
        <v>34.66388576664184</v>
      </c>
      <c r="Q85" s="22">
        <f t="shared" si="54"/>
        <v>291.82747037945143</v>
      </c>
      <c r="R85" s="62">
        <f t="shared" si="55"/>
        <v>585.16080371278474</v>
      </c>
      <c r="S85" s="62">
        <f ca="1">AVERAGE(OFFSET($R$3,0,0,'Données projet'!$E$9+1,1))-AVERAGE(OFFSET($H$3,0,0,'Données projet'!$E$9+1,1))</f>
        <v>308.00850473946429</v>
      </c>
      <c r="T85" s="62">
        <f t="shared" si="88"/>
        <v>70.709140667951715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200.79999999999998</v>
      </c>
      <c r="AJ85" s="14">
        <f>AI85*VLOOKUP('Données projet'!$B$10,Paramètres!$A$1:$I$89,3,0)*VLOOKUP('Données projet'!$B$10,Paramètres!$A$1:$I$89,5,0)</f>
        <v>216.14111999999994</v>
      </c>
      <c r="AK85" s="14">
        <f t="shared" si="89"/>
        <v>53.275315382572593</v>
      </c>
      <c r="AL85" s="22">
        <f t="shared" si="58"/>
        <v>469.23362495798051</v>
      </c>
      <c r="AM85" s="62">
        <f t="shared" si="59"/>
        <v>762.56695829131377</v>
      </c>
      <c r="AN85" s="62">
        <f ca="1">AVERAGE(OFFSET($AM$3,0,0,'Données projet'!$E$10+1,1))-AVERAGE(OFFSET($H$3,0,0,'Données projet'!$E$10+1,1))</f>
        <v>271.76512254565102</v>
      </c>
      <c r="AO85" s="62">
        <f t="shared" si="90"/>
        <v>99.160986083974535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0.83750000000000002</v>
      </c>
      <c r="BD85" s="13">
        <f>IF('Données projet'!$A$88&gt;35,BD84+BC85-BL84,IF(A85&lt;'Données projet'!$A$88,$BA$205^A85,IF(A85='Données projet'!$A$88,'Données projet'!$B$88,BD84+BC85-BL84)))</f>
        <v>52.800000000000011</v>
      </c>
      <c r="BE85" s="14">
        <f>BD85*VLOOKUP('Données projet'!$B$11,Paramètres!$A$1:$I$89,3,0)*VLOOKUP('Données projet'!$B$11,Paramètres!$A$1:$I$89,5,0)</f>
        <v>60.825600000000009</v>
      </c>
      <c r="BF85" s="14">
        <f t="shared" si="91"/>
        <v>17.376840281745594</v>
      </c>
      <c r="BG85" s="22">
        <f t="shared" si="61"/>
        <v>136.20258349070693</v>
      </c>
      <c r="BH85" s="62">
        <f t="shared" si="62"/>
        <v>429.53591682404021</v>
      </c>
      <c r="BI85" s="62">
        <f ca="1">AVERAGE(OFFSET($BH$3,0,0,'Données projet'!$E$11+1,1))-AVERAGE(OFFSET($H$3,0,0,'Données projet'!$E$11+1,1))</f>
        <v>43.16958872930951</v>
      </c>
      <c r="BJ85" s="62">
        <f t="shared" si="92"/>
        <v>69.202870643733547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</v>
      </c>
      <c r="BY85" s="13">
        <f>IF('Données projet'!$A$114&gt;35,BY84+BX85-CG84,IF(A85&lt;'Données projet'!$A$114,$BV$205^A85,IF(A85='Données projet'!$A$114,'Données projet'!$B$114,BY84+BX85-CG84)))</f>
        <v>110.99999999999996</v>
      </c>
      <c r="BZ85" s="14">
        <f>BY85*VLOOKUP('Données projet'!$B$12,Paramètres!$A$1:$I$89,3,0)*VLOOKUP('Données projet'!$B$12,Paramètres!$A$1:$I$89,5,0)</f>
        <v>64.934999999999974</v>
      </c>
      <c r="CA85" s="14">
        <f t="shared" si="93"/>
        <v>18.410194306425588</v>
      </c>
      <c r="CB85" s="22">
        <f t="shared" si="64"/>
        <v>145.15954675035783</v>
      </c>
      <c r="CC85" s="62">
        <f t="shared" si="65"/>
        <v>438.49288008369115</v>
      </c>
      <c r="CD85" s="62">
        <f ca="1">AVERAGE(OFFSET($CC$3,0,0,'Données projet'!$E$12+1,1))-AVERAGE(OFFSET($H$3,0,0,'Données projet'!$E$12+1,1))</f>
        <v>49.695493809293282</v>
      </c>
      <c r="CE85" s="62">
        <f t="shared" si="94"/>
        <v>59.252884227831601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36.901800000000051</v>
      </c>
      <c r="D86" s="12">
        <f t="shared" si="86"/>
        <v>11.173655587491266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371.10877997361723</v>
      </c>
      <c r="H86" s="70">
        <f t="shared" si="56"/>
        <v>377.06475181488071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3.0816718909993281</v>
      </c>
      <c r="N86" s="14">
        <f>IF('Données projet'!$A$36&gt;35,N85+M86-V85,IF(A86&lt;'Données projet'!$A$36,$K$205^A86,IF(A86='Données projet'!$A$36,'Données projet'!$B$36,N85+M86-V85)))</f>
        <v>124.77815225408375</v>
      </c>
      <c r="O86" s="14">
        <f>N86*VLOOKUP('Données projet'!$B$9,Paramètres!$A$1:$I$89,3,0)*VLOOKUP('Données projet'!$B$9,Paramètres!$A$1:$I$89,5,0)</f>
        <v>136.25774226145944</v>
      </c>
      <c r="P86" s="14">
        <f t="shared" si="87"/>
        <v>35.438359631877397</v>
      </c>
      <c r="Q86" s="22">
        <f t="shared" si="54"/>
        <v>299.03737746422831</v>
      </c>
      <c r="R86" s="62">
        <f t="shared" si="55"/>
        <v>592.37071079756163</v>
      </c>
      <c r="S86" s="62">
        <f ca="1">AVERAGE(OFFSET($R$3,0,0,'Données projet'!$E$9+1,1))-AVERAGE(OFFSET($H$3,0,0,'Données projet'!$E$9+1,1))</f>
        <v>308.00850473946429</v>
      </c>
      <c r="T86" s="62">
        <f t="shared" si="88"/>
        <v>70.709140667951715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205.2</v>
      </c>
      <c r="AJ86" s="14">
        <f>AI86*VLOOKUP('Données projet'!$B$10,Paramètres!$A$1:$I$89,3,0)*VLOOKUP('Données projet'!$B$10,Paramètres!$A$1:$I$89,5,0)</f>
        <v>220.87727999999998</v>
      </c>
      <c r="AK86" s="14">
        <f t="shared" si="89"/>
        <v>54.305514008302801</v>
      </c>
      <c r="AL86" s="22">
        <f t="shared" si="58"/>
        <v>479.27669956446061</v>
      </c>
      <c r="AM86" s="62">
        <f t="shared" si="59"/>
        <v>772.61003289779387</v>
      </c>
      <c r="AN86" s="62">
        <f ca="1">AVERAGE(OFFSET($AM$3,0,0,'Données projet'!$E$10+1,1))-AVERAGE(OFFSET($H$3,0,0,'Données projet'!$E$10+1,1))</f>
        <v>271.76512254565102</v>
      </c>
      <c r="AO86" s="62">
        <f t="shared" si="90"/>
        <v>99.160986083974535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0.83750000000000002</v>
      </c>
      <c r="BD86" s="13">
        <f>IF('Données projet'!$A$88&gt;35,BD85+BC86-BL85,IF(A86&lt;'Données projet'!$A$88,$BA$205^A86,IF(A86='Données projet'!$A$88,'Données projet'!$B$88,BD85+BC86-BL85)))</f>
        <v>53.63750000000001</v>
      </c>
      <c r="BE86" s="14">
        <f>BD86*VLOOKUP('Données projet'!$B$11,Paramètres!$A$1:$I$89,3,0)*VLOOKUP('Données projet'!$B$11,Paramètres!$A$1:$I$89,5,0)</f>
        <v>61.790400000000005</v>
      </c>
      <c r="BF86" s="14">
        <f t="shared" si="91"/>
        <v>17.620160755352792</v>
      </c>
      <c r="BG86" s="22">
        <f t="shared" si="61"/>
        <v>138.30672664890611</v>
      </c>
      <c r="BH86" s="62">
        <f t="shared" si="62"/>
        <v>431.64005998223945</v>
      </c>
      <c r="BI86" s="62">
        <f ca="1">AVERAGE(OFFSET($BH$3,0,0,'Données projet'!$E$11+1,1))-AVERAGE(OFFSET($H$3,0,0,'Données projet'!$E$11+1,1))</f>
        <v>43.16958872930951</v>
      </c>
      <c r="BJ86" s="62">
        <f t="shared" si="92"/>
        <v>69.202870643733547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</v>
      </c>
      <c r="BY86" s="13">
        <f>IF('Données projet'!$A$114&gt;35,BY85+BX86-CG85,IF(A86&lt;'Données projet'!$A$114,$BV$205^A86,IF(A86='Données projet'!$A$114,'Données projet'!$B$114,BY85+BX86-CG85)))</f>
        <v>113.99999999999996</v>
      </c>
      <c r="BZ86" s="14">
        <f>BY86*VLOOKUP('Données projet'!$B$12,Paramètres!$A$1:$I$89,3,0)*VLOOKUP('Données projet'!$B$12,Paramètres!$A$1:$I$89,5,0)</f>
        <v>66.689999999999984</v>
      </c>
      <c r="CA86" s="14">
        <f t="shared" si="93"/>
        <v>18.849164941118623</v>
      </c>
      <c r="CB86" s="22">
        <f t="shared" si="64"/>
        <v>148.98071227244824</v>
      </c>
      <c r="CC86" s="62">
        <f t="shared" si="65"/>
        <v>442.31404560578153</v>
      </c>
      <c r="CD86" s="62">
        <f ca="1">AVERAGE(OFFSET($CC$3,0,0,'Données projet'!$E$12+1,1))-AVERAGE(OFFSET($H$3,0,0,'Données projet'!$E$12+1,1))</f>
        <v>49.695493809293282</v>
      </c>
      <c r="CE86" s="62">
        <f t="shared" si="94"/>
        <v>59.252884227831601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37.346400000000052</v>
      </c>
      <c r="D87" s="12">
        <f t="shared" si="86"/>
        <v>11.292524863342413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375.45836736615234</v>
      </c>
      <c r="H87" s="70">
        <f t="shared" si="56"/>
        <v>378.04612747032144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3.0816718909993281</v>
      </c>
      <c r="N87" s="14">
        <f>IF('Données projet'!$A$36&gt;35,N86+M87-V86,IF(A87&lt;'Données projet'!$A$36,$K$205^A87,IF(A87='Données projet'!$A$36,'Données projet'!$B$36,N86+M87-V86)))</f>
        <v>127.85982414508308</v>
      </c>
      <c r="O87" s="14">
        <f>N87*VLOOKUP('Données projet'!$B$9,Paramètres!$A$1:$I$89,3,0)*VLOOKUP('Données projet'!$B$9,Paramètres!$A$1:$I$89,5,0)</f>
        <v>139.62292796643072</v>
      </c>
      <c r="P87" s="14">
        <f t="shared" si="87"/>
        <v>36.210610032816085</v>
      </c>
      <c r="Q87" s="22">
        <f t="shared" si="54"/>
        <v>306.24341201535486</v>
      </c>
      <c r="R87" s="62">
        <f t="shared" si="55"/>
        <v>599.57674534868818</v>
      </c>
      <c r="S87" s="62">
        <f ca="1">AVERAGE(OFFSET($R$3,0,0,'Données projet'!$E$9+1,1))-AVERAGE(OFFSET($H$3,0,0,'Données projet'!$E$9+1,1))</f>
        <v>308.00850473946429</v>
      </c>
      <c r="T87" s="62">
        <f t="shared" si="88"/>
        <v>70.709140667951715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209.6</v>
      </c>
      <c r="AJ87" s="14">
        <f>AI87*VLOOKUP('Données projet'!$B$10,Paramètres!$A$1:$I$89,3,0)*VLOOKUP('Données projet'!$B$10,Paramètres!$A$1:$I$89,5,0)</f>
        <v>225.61344</v>
      </c>
      <c r="AK87" s="14">
        <f t="shared" si="89"/>
        <v>55.333144352799209</v>
      </c>
      <c r="AL87" s="22">
        <f t="shared" si="58"/>
        <v>489.31530108112526</v>
      </c>
      <c r="AM87" s="62">
        <f t="shared" si="59"/>
        <v>782.64863441445857</v>
      </c>
      <c r="AN87" s="62">
        <f ca="1">AVERAGE(OFFSET($AM$3,0,0,'Données projet'!$E$10+1,1))-AVERAGE(OFFSET($H$3,0,0,'Données projet'!$E$10+1,1))</f>
        <v>271.76512254565102</v>
      </c>
      <c r="AO87" s="62">
        <f t="shared" si="90"/>
        <v>99.160986083974535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0.83750000000000002</v>
      </c>
      <c r="BD87" s="13">
        <f>IF('Données projet'!$A$88&gt;35,BD86+BC87-BL86,IF(A87&lt;'Données projet'!$A$88,$BA$205^A87,IF(A87='Données projet'!$A$88,'Données projet'!$B$88,BD86+BC87-BL86)))</f>
        <v>54.475000000000009</v>
      </c>
      <c r="BE87" s="14">
        <f>BD87*VLOOKUP('Données projet'!$B$11,Paramètres!$A$1:$I$89,3,0)*VLOOKUP('Données projet'!$B$11,Paramètres!$A$1:$I$89,5,0)</f>
        <v>62.755200000000002</v>
      </c>
      <c r="BF87" s="14">
        <f t="shared" si="91"/>
        <v>17.863039381890083</v>
      </c>
      <c r="BG87" s="22">
        <f t="shared" si="61"/>
        <v>140.41010025679188</v>
      </c>
      <c r="BH87" s="62">
        <f t="shared" si="62"/>
        <v>433.74343359012516</v>
      </c>
      <c r="BI87" s="62">
        <f ca="1">AVERAGE(OFFSET($BH$3,0,0,'Données projet'!$E$11+1,1))-AVERAGE(OFFSET($H$3,0,0,'Données projet'!$E$11+1,1))</f>
        <v>43.16958872930951</v>
      </c>
      <c r="BJ87" s="62">
        <f t="shared" si="92"/>
        <v>69.202870643733547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</v>
      </c>
      <c r="BY87" s="13">
        <f>IF('Données projet'!$A$114&gt;35,BY86+BX87-CG86,IF(A87&lt;'Données projet'!$A$114,$BV$205^A87,IF(A87='Données projet'!$A$114,'Données projet'!$B$114,BY86+BX87-CG86)))</f>
        <v>116.99999999999996</v>
      </c>
      <c r="BZ87" s="14">
        <f>BY87*VLOOKUP('Données projet'!$B$12,Paramètres!$A$1:$I$89,3,0)*VLOOKUP('Données projet'!$B$12,Paramètres!$A$1:$I$89,5,0)</f>
        <v>68.444999999999979</v>
      </c>
      <c r="CA87" s="14">
        <f t="shared" si="93"/>
        <v>19.286792832986222</v>
      </c>
      <c r="CB87" s="22">
        <f t="shared" si="64"/>
        <v>152.79953918411763</v>
      </c>
      <c r="CC87" s="62">
        <f t="shared" si="65"/>
        <v>446.13287251745095</v>
      </c>
      <c r="CD87" s="62">
        <f ca="1">AVERAGE(OFFSET($CC$3,0,0,'Données projet'!$E$12+1,1))-AVERAGE(OFFSET($H$3,0,0,'Données projet'!$E$12+1,1))</f>
        <v>49.695493809293282</v>
      </c>
      <c r="CE87" s="62">
        <f t="shared" si="94"/>
        <v>59.252884227831601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37.791000000000054</v>
      </c>
      <c r="D88" s="12">
        <f t="shared" si="86"/>
        <v>11.411229530302077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379.80668409356036</v>
      </c>
      <c r="H88" s="70">
        <f t="shared" si="56"/>
        <v>379.02721643194286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3.0816718909993281</v>
      </c>
      <c r="N88" s="14">
        <f>IF('Données projet'!$A$36&gt;35,N87+M88-V87,IF(A88&lt;'Données projet'!$A$36,$K$205^A88,IF(A88='Données projet'!$A$36,'Données projet'!$B$36,N87+M88-V87)))</f>
        <v>130.94149603608241</v>
      </c>
      <c r="O88" s="14">
        <f>N88*VLOOKUP('Données projet'!$B$9,Paramètres!$A$1:$I$89,3,0)*VLOOKUP('Données projet'!$B$9,Paramètres!$A$1:$I$89,5,0)</f>
        <v>142.98811367140198</v>
      </c>
      <c r="P88" s="14">
        <f t="shared" si="87"/>
        <v>36.980696725009437</v>
      </c>
      <c r="Q88" s="22">
        <f t="shared" si="54"/>
        <v>313.44567810708321</v>
      </c>
      <c r="R88" s="62">
        <f t="shared" si="55"/>
        <v>606.77901144041653</v>
      </c>
      <c r="S88" s="62">
        <f ca="1">AVERAGE(OFFSET($R$3,0,0,'Données projet'!$E$9+1,1))-AVERAGE(OFFSET($H$3,0,0,'Données projet'!$E$9+1,1))</f>
        <v>308.00850473946429</v>
      </c>
      <c r="T88" s="62">
        <f t="shared" si="88"/>
        <v>70.709140667951715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214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214</v>
      </c>
      <c r="AJ88" s="14">
        <f>AI88*VLOOKUP('Données projet'!$B$10,Paramètres!$A$1:$I$89,3,0)*VLOOKUP('Données projet'!$B$10,Paramètres!$A$1:$I$89,5,0)</f>
        <v>230.34960000000001</v>
      </c>
      <c r="AK88" s="14">
        <f t="shared" si="89"/>
        <v>56.35826654142631</v>
      </c>
      <c r="AL88" s="22">
        <f t="shared" si="58"/>
        <v>499.34953422631753</v>
      </c>
      <c r="AM88" s="62">
        <f t="shared" si="59"/>
        <v>792.68286755965084</v>
      </c>
      <c r="AN88" s="62">
        <f ca="1">AVERAGE(OFFSET($AM$3,0,0,'Données projet'!$E$10+1,1))-AVERAGE(OFFSET($H$3,0,0,'Données projet'!$E$10+1,1))</f>
        <v>271.76512254565102</v>
      </c>
      <c r="AO88" s="62">
        <f t="shared" si="90"/>
        <v>99.160986083974535</v>
      </c>
      <c r="AP88" s="16">
        <f>IF(ISNA(VLOOKUP(A88,'Données projet'!$A$61:$I$81,3,0)),0,VLOOKUP(A88,'Données projet'!$A$61:$I$81,3,0))</f>
        <v>6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0.83750000000000002</v>
      </c>
      <c r="BD88" s="13">
        <f>IF('Données projet'!$A$88&gt;35,BD87+BC88-BL87,IF(A88&lt;'Données projet'!$A$88,$BA$205^A88,IF(A88='Données projet'!$A$88,'Données projet'!$B$88,BD87+BC88-BL87)))</f>
        <v>55.312500000000007</v>
      </c>
      <c r="BE88" s="14">
        <f>BD88*VLOOKUP('Données projet'!$B$11,Paramètres!$A$1:$I$89,3,0)*VLOOKUP('Données projet'!$B$11,Paramètres!$A$1:$I$89,5,0)</f>
        <v>63.72</v>
      </c>
      <c r="BF88" s="14">
        <f t="shared" si="91"/>
        <v>18.105483738846338</v>
      </c>
      <c r="BG88" s="22">
        <f t="shared" si="61"/>
        <v>142.51271751182404</v>
      </c>
      <c r="BH88" s="62">
        <f t="shared" si="62"/>
        <v>435.84605084515738</v>
      </c>
      <c r="BI88" s="62">
        <f ca="1">AVERAGE(OFFSET($BH$3,0,0,'Données projet'!$E$11+1,1))-AVERAGE(OFFSET($H$3,0,0,'Données projet'!$E$11+1,1))</f>
        <v>43.16958872930951</v>
      </c>
      <c r="BJ88" s="62">
        <f t="shared" si="92"/>
        <v>69.202870643733547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3</v>
      </c>
      <c r="BY88" s="13">
        <f>IF('Données projet'!$A$114&gt;35,BY87+BX88-CG87,IF(A88&lt;'Données projet'!$A$114,$BV$205^A88,IF(A88='Données projet'!$A$114,'Données projet'!$B$114,BY87+BX88-CG87)))</f>
        <v>119.99999999999996</v>
      </c>
      <c r="BZ88" s="14">
        <f>BY88*VLOOKUP('Données projet'!$B$12,Paramètres!$A$1:$I$89,3,0)*VLOOKUP('Données projet'!$B$12,Paramètres!$A$1:$I$89,5,0)</f>
        <v>70.199999999999974</v>
      </c>
      <c r="CA88" s="14">
        <f t="shared" si="93"/>
        <v>19.723116370112184</v>
      </c>
      <c r="CB88" s="22">
        <f t="shared" si="64"/>
        <v>156.61609434461198</v>
      </c>
      <c r="CC88" s="62">
        <f t="shared" si="65"/>
        <v>449.94942767794532</v>
      </c>
      <c r="CD88" s="62">
        <f ca="1">AVERAGE(OFFSET($CC$3,0,0,'Données projet'!$E$12+1,1))-AVERAGE(OFFSET($H$3,0,0,'Données projet'!$E$12+1,1))</f>
        <v>49.695493809293282</v>
      </c>
      <c r="CE88" s="62">
        <f t="shared" si="94"/>
        <v>59.252884227831601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38.235600000000055</v>
      </c>
      <c r="D89" s="12">
        <f t="shared" si="86"/>
        <v>11.529771748983361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384.1537468342579</v>
      </c>
      <c r="H89" s="70">
        <f t="shared" si="56"/>
        <v>380.00802246281273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3.0816718909993281</v>
      </c>
      <c r="N89" s="14">
        <f>IF('Données projet'!$A$36&gt;35,N88+M89-V88,IF(A89&lt;'Données projet'!$A$36,$K$205^A89,IF(A89='Données projet'!$A$36,'Données projet'!$B$36,N88+M89-V88)))</f>
        <v>134.02316792708174</v>
      </c>
      <c r="O89" s="14">
        <f>N89*VLOOKUP('Données projet'!$B$9,Paramètres!$A$1:$I$89,3,0)*VLOOKUP('Données projet'!$B$9,Paramètres!$A$1:$I$89,5,0)</f>
        <v>146.35329937637326</v>
      </c>
      <c r="P89" s="14">
        <f t="shared" si="87"/>
        <v>37.748676490898369</v>
      </c>
      <c r="Q89" s="22">
        <f t="shared" si="54"/>
        <v>320.64427463549805</v>
      </c>
      <c r="R89" s="62">
        <f t="shared" si="55"/>
        <v>613.97760796883131</v>
      </c>
      <c r="S89" s="62">
        <f ca="1">AVERAGE(OFFSET($R$3,0,0,'Données projet'!$E$9+1,1))-AVERAGE(OFFSET($H$3,0,0,'Données projet'!$E$9+1,1))</f>
        <v>308.00850473946429</v>
      </c>
      <c r="T89" s="62">
        <f t="shared" si="88"/>
        <v>70.709140667951715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</v>
      </c>
      <c r="AI89" s="14">
        <f>IF('Données projet'!$A$62&gt;35,AI88+AH89-AQ88,IF(A89&lt;'Données projet'!$A$62,$AF$205^A89,IF(A89='Données projet'!$A$62,'Données projet'!$B$62,AI88+AH89-AQ88)))</f>
        <v>190</v>
      </c>
      <c r="AJ89" s="14">
        <f>AI89*VLOOKUP('Données projet'!$B$10,Paramètres!$A$1:$I$89,3,0)*VLOOKUP('Données projet'!$B$10,Paramètres!$A$1:$I$89,5,0)</f>
        <v>204.51599999999999</v>
      </c>
      <c r="AK89" s="14">
        <f t="shared" si="89"/>
        <v>50.735354396355888</v>
      </c>
      <c r="AL89" s="22">
        <f t="shared" si="58"/>
        <v>444.56277557365314</v>
      </c>
      <c r="AM89" s="62">
        <f t="shared" si="59"/>
        <v>737.89610890698646</v>
      </c>
      <c r="AN89" s="62">
        <f ca="1">AVERAGE(OFFSET($AM$3,0,0,'Données projet'!$E$10+1,1))-AVERAGE(OFFSET($H$3,0,0,'Données projet'!$E$10+1,1))</f>
        <v>271.76512254565102</v>
      </c>
      <c r="AO89" s="62">
        <f t="shared" si="90"/>
        <v>99.160986083974535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0.83750000000000002</v>
      </c>
      <c r="BD89" s="13">
        <f>IF('Données projet'!$A$88&gt;35,BD88+BC89-BL88,IF(A89&lt;'Données projet'!$A$88,$BA$205^A89,IF(A89='Données projet'!$A$88,'Données projet'!$B$88,BD88+BC89-BL88)))</f>
        <v>56.150000000000006</v>
      </c>
      <c r="BE89" s="14">
        <f>BD89*VLOOKUP('Données projet'!$B$11,Paramètres!$A$1:$I$89,3,0)*VLOOKUP('Données projet'!$B$11,Paramètres!$A$1:$I$89,5,0)</f>
        <v>64.684799999999996</v>
      </c>
      <c r="BF89" s="14">
        <f t="shared" si="91"/>
        <v>18.34750116107648</v>
      </c>
      <c r="BG89" s="22">
        <f t="shared" si="61"/>
        <v>144.61459118887487</v>
      </c>
      <c r="BH89" s="62">
        <f t="shared" si="62"/>
        <v>437.94792452220815</v>
      </c>
      <c r="BI89" s="62">
        <f ca="1">AVERAGE(OFFSET($BH$3,0,0,'Données projet'!$E$11+1,1))-AVERAGE(OFFSET($H$3,0,0,'Données projet'!$E$11+1,1))</f>
        <v>43.16958872930951</v>
      </c>
      <c r="BJ89" s="62">
        <f t="shared" si="92"/>
        <v>69.202870643733547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</v>
      </c>
      <c r="BY89" s="13">
        <f>IF('Données projet'!$A$114&gt;35,BY88+BX89-CG88,IF(A89&lt;'Données projet'!$A$114,$BV$205^A89,IF(A89='Données projet'!$A$114,'Données projet'!$B$114,BY88+BX89-CG88)))</f>
        <v>122.99999999999996</v>
      </c>
      <c r="BZ89" s="14">
        <f>BY89*VLOOKUP('Données projet'!$B$12,Paramètres!$A$1:$I$89,3,0)*VLOOKUP('Données projet'!$B$12,Paramètres!$A$1:$I$89,5,0)</f>
        <v>71.95499999999997</v>
      </c>
      <c r="CA89" s="14">
        <f t="shared" si="93"/>
        <v>20.158171911782127</v>
      </c>
      <c r="CB89" s="22">
        <f t="shared" si="64"/>
        <v>160.43044107968717</v>
      </c>
      <c r="CC89" s="62">
        <f t="shared" si="65"/>
        <v>453.76377441302049</v>
      </c>
      <c r="CD89" s="62">
        <f ca="1">AVERAGE(OFFSET($CC$3,0,0,'Données projet'!$E$12+1,1))-AVERAGE(OFFSET($H$3,0,0,'Données projet'!$E$12+1,1))</f>
        <v>49.695493809293282</v>
      </c>
      <c r="CE89" s="62">
        <f t="shared" si="94"/>
        <v>59.252884227831601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38.680200000000056</v>
      </c>
      <c r="D90" s="12">
        <f t="shared" si="86"/>
        <v>11.648153626860601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388.49957185646826</v>
      </c>
      <c r="H90" s="70">
        <f t="shared" si="56"/>
        <v>380.98854923344896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3.0816718909993281</v>
      </c>
      <c r="N90" s="14">
        <f>IF('Données projet'!$A$36&gt;35,N89+M90-V89,IF(A90&lt;'Données projet'!$A$36,$K$205^A90,IF(A90='Données projet'!$A$36,'Données projet'!$B$36,N89+M90-V89)))</f>
        <v>137.10483981808108</v>
      </c>
      <c r="O90" s="14">
        <f>N90*VLOOKUP('Données projet'!$B$9,Paramètres!$A$1:$I$89,3,0)*VLOOKUP('Données projet'!$B$9,Paramètres!$A$1:$I$89,5,0)</f>
        <v>149.71848508134454</v>
      </c>
      <c r="P90" s="14">
        <f t="shared" si="87"/>
        <v>38.514603352648166</v>
      </c>
      <c r="Q90" s="22">
        <f t="shared" si="54"/>
        <v>327.83929568920394</v>
      </c>
      <c r="R90" s="62">
        <f t="shared" si="55"/>
        <v>621.17262902253719</v>
      </c>
      <c r="S90" s="62">
        <f ca="1">AVERAGE(OFFSET($R$3,0,0,'Données projet'!$E$9+1,1))-AVERAGE(OFFSET($H$3,0,0,'Données projet'!$E$9+1,1))</f>
        <v>308.00850473946429</v>
      </c>
      <c r="T90" s="62">
        <f t="shared" si="88"/>
        <v>70.709140667951715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</v>
      </c>
      <c r="AI90" s="14">
        <f>IF('Données projet'!$A$62&gt;35,AI89+AH90-AQ89,IF(A90&lt;'Données projet'!$A$62,$AF$205^A90,IF(A90='Données projet'!$A$62,'Données projet'!$B$62,AI89+AH90-AQ89)))</f>
        <v>194</v>
      </c>
      <c r="AJ90" s="14">
        <f>AI90*VLOOKUP('Données projet'!$B$10,Paramètres!$A$1:$I$89,3,0)*VLOOKUP('Données projet'!$B$10,Paramètres!$A$1:$I$89,5,0)</f>
        <v>208.82159999999999</v>
      </c>
      <c r="AK90" s="14">
        <f t="shared" si="89"/>
        <v>51.6779913750944</v>
      </c>
      <c r="AL90" s="22">
        <f t="shared" si="58"/>
        <v>453.70345497828936</v>
      </c>
      <c r="AM90" s="62">
        <f t="shared" si="59"/>
        <v>747.03678831162267</v>
      </c>
      <c r="AN90" s="62">
        <f ca="1">AVERAGE(OFFSET($AM$3,0,0,'Données projet'!$E$10+1,1))-AVERAGE(OFFSET($H$3,0,0,'Données projet'!$E$10+1,1))</f>
        <v>271.76512254565102</v>
      </c>
      <c r="AO90" s="62">
        <f t="shared" si="90"/>
        <v>99.160986083974535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0.83750000000000002</v>
      </c>
      <c r="BD90" s="13">
        <f>IF('Données projet'!$A$88&gt;35,BD89+BC90-BL89,IF(A90&lt;'Données projet'!$A$88,$BA$205^A90,IF(A90='Données projet'!$A$88,'Données projet'!$B$88,BD89+BC90-BL89)))</f>
        <v>56.987500000000004</v>
      </c>
      <c r="BE90" s="14">
        <f>BD90*VLOOKUP('Données projet'!$B$11,Paramètres!$A$1:$I$89,3,0)*VLOOKUP('Données projet'!$B$11,Paramètres!$A$1:$I$89,5,0)</f>
        <v>65.649600000000007</v>
      </c>
      <c r="BF90" s="14">
        <f t="shared" si="91"/>
        <v>18.589098752071614</v>
      </c>
      <c r="BG90" s="22">
        <f t="shared" si="61"/>
        <v>146.71573365985807</v>
      </c>
      <c r="BH90" s="62">
        <f t="shared" si="62"/>
        <v>440.04906699319139</v>
      </c>
      <c r="BI90" s="62">
        <f ca="1">AVERAGE(OFFSET($BH$3,0,0,'Données projet'!$E$11+1,1))-AVERAGE(OFFSET($H$3,0,0,'Données projet'!$E$11+1,1))</f>
        <v>43.16958872930951</v>
      </c>
      <c r="BJ90" s="62">
        <f t="shared" si="92"/>
        <v>69.202870643733547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</v>
      </c>
      <c r="BY90" s="13">
        <f>IF('Données projet'!$A$114&gt;35,BY89+BX90-CG89,IF(A90&lt;'Données projet'!$A$114,$BV$205^A90,IF(A90='Données projet'!$A$114,'Données projet'!$B$114,BY89+BX90-CG89)))</f>
        <v>125.99999999999996</v>
      </c>
      <c r="BZ90" s="14">
        <f>BY90*VLOOKUP('Données projet'!$B$12,Paramètres!$A$1:$I$89,3,0)*VLOOKUP('Données projet'!$B$12,Paramètres!$A$1:$I$89,5,0)</f>
        <v>73.70999999999998</v>
      </c>
      <c r="CA90" s="14">
        <f t="shared" si="93"/>
        <v>20.591993942534767</v>
      </c>
      <c r="CB90" s="22">
        <f t="shared" si="64"/>
        <v>164.24263944991466</v>
      </c>
      <c r="CC90" s="62">
        <f t="shared" si="65"/>
        <v>457.57597278324795</v>
      </c>
      <c r="CD90" s="62">
        <f ca="1">AVERAGE(OFFSET($CC$3,0,0,'Données projet'!$E$12+1,1))-AVERAGE(OFFSET($H$3,0,0,'Données projet'!$E$12+1,1))</f>
        <v>49.695493809293282</v>
      </c>
      <c r="CE90" s="62">
        <f t="shared" si="94"/>
        <v>59.252884227831601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39.124800000000057</v>
      </c>
      <c r="D91" s="12">
        <f t="shared" si="86"/>
        <v>11.766377220171702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392.84417503290479</v>
      </c>
      <c r="H91" s="70">
        <f t="shared" si="56"/>
        <v>381.96880032513246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3.0816718909993281</v>
      </c>
      <c r="N91" s="14">
        <f>IF('Données projet'!$A$36&gt;35,N90+M91-V90,IF(A91&lt;'Données projet'!$A$36,$K$205^A91,IF(A91='Données projet'!$A$36,'Données projet'!$B$36,N90+M91-V90)))</f>
        <v>140.18651170908041</v>
      </c>
      <c r="O91" s="14">
        <f>N91*VLOOKUP('Données projet'!$B$9,Paramètres!$A$1:$I$89,3,0)*VLOOKUP('Données projet'!$B$9,Paramètres!$A$1:$I$89,5,0)</f>
        <v>153.08367078631579</v>
      </c>
      <c r="P91" s="14">
        <f t="shared" si="87"/>
        <v>39.278528765309282</v>
      </c>
      <c r="Q91" s="22">
        <f t="shared" si="54"/>
        <v>335.03083088574698</v>
      </c>
      <c r="R91" s="62">
        <f t="shared" si="55"/>
        <v>628.36416421908029</v>
      </c>
      <c r="S91" s="62">
        <f ca="1">AVERAGE(OFFSET($R$3,0,0,'Données projet'!$E$9+1,1))-AVERAGE(OFFSET($H$3,0,0,'Données projet'!$E$9+1,1))</f>
        <v>308.00850473946429</v>
      </c>
      <c r="T91" s="62">
        <f t="shared" si="88"/>
        <v>70.709140667951715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</v>
      </c>
      <c r="AI91" s="14">
        <f>IF('Données projet'!$A$62&gt;35,AI90+AH91-AQ90,IF(A91&lt;'Données projet'!$A$62,$AF$205^A91,IF(A91='Données projet'!$A$62,'Données projet'!$B$62,AI90+AH91-AQ90)))</f>
        <v>198</v>
      </c>
      <c r="AJ91" s="14">
        <f>AI91*VLOOKUP('Données projet'!$B$10,Paramètres!$A$1:$I$89,3,0)*VLOOKUP('Données projet'!$B$10,Paramètres!$A$1:$I$89,5,0)</f>
        <v>213.12719999999996</v>
      </c>
      <c r="AK91" s="14">
        <f t="shared" si="89"/>
        <v>52.618368568459893</v>
      </c>
      <c r="AL91" s="22">
        <f t="shared" si="58"/>
        <v>462.84019859006759</v>
      </c>
      <c r="AM91" s="62">
        <f t="shared" si="59"/>
        <v>756.1735319234009</v>
      </c>
      <c r="AN91" s="62">
        <f ca="1">AVERAGE(OFFSET($AM$3,0,0,'Données projet'!$E$10+1,1))-AVERAGE(OFFSET($H$3,0,0,'Données projet'!$E$10+1,1))</f>
        <v>271.76512254565102</v>
      </c>
      <c r="AO91" s="62">
        <f t="shared" si="90"/>
        <v>99.160986083974535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0.83750000000000002</v>
      </c>
      <c r="BD91" s="13">
        <f>IF('Données projet'!$A$88&gt;35,BD90+BC91-BL90,IF(A91&lt;'Données projet'!$A$88,$BA$205^A91,IF(A91='Données projet'!$A$88,'Données projet'!$B$88,BD90+BC91-BL90)))</f>
        <v>57.825000000000003</v>
      </c>
      <c r="BE91" s="14">
        <f>BD91*VLOOKUP('Données projet'!$B$11,Paramètres!$A$1:$I$89,3,0)*VLOOKUP('Données projet'!$B$11,Paramètres!$A$1:$I$89,5,0)</f>
        <v>66.614400000000003</v>
      </c>
      <c r="BF91" s="14">
        <f t="shared" si="91"/>
        <v>18.830283394547791</v>
      </c>
      <c r="BG91" s="22">
        <f t="shared" si="61"/>
        <v>148.81615691217073</v>
      </c>
      <c r="BH91" s="62">
        <f t="shared" si="62"/>
        <v>442.14949024550401</v>
      </c>
      <c r="BI91" s="62">
        <f ca="1">AVERAGE(OFFSET($BH$3,0,0,'Données projet'!$E$11+1,1))-AVERAGE(OFFSET($H$3,0,0,'Données projet'!$E$11+1,1))</f>
        <v>43.16958872930951</v>
      </c>
      <c r="BJ91" s="62">
        <f t="shared" si="92"/>
        <v>69.202870643733547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</v>
      </c>
      <c r="BY91" s="13">
        <f>IF('Données projet'!$A$114&gt;35,BY90+BX91-CG90,IF(A91&lt;'Données projet'!$A$114,$BV$205^A91,IF(A91='Données projet'!$A$114,'Données projet'!$B$114,BY90+BX91-CG90)))</f>
        <v>128.99999999999994</v>
      </c>
      <c r="BZ91" s="14">
        <f>BY91*VLOOKUP('Données projet'!$B$12,Paramètres!$A$1:$I$89,3,0)*VLOOKUP('Données projet'!$B$12,Paramètres!$A$1:$I$89,5,0)</f>
        <v>75.464999999999975</v>
      </c>
      <c r="CA91" s="14">
        <f t="shared" si="93"/>
        <v>21.024615211128339</v>
      </c>
      <c r="CB91" s="22">
        <f t="shared" si="64"/>
        <v>168.0527464927151</v>
      </c>
      <c r="CC91" s="62">
        <f t="shared" si="65"/>
        <v>461.38607982604844</v>
      </c>
      <c r="CD91" s="62">
        <f ca="1">AVERAGE(OFFSET($CC$3,0,0,'Données projet'!$E$12+1,1))-AVERAGE(OFFSET($H$3,0,0,'Données projet'!$E$12+1,1))</f>
        <v>49.695493809293282</v>
      </c>
      <c r="CE91" s="62">
        <f t="shared" si="94"/>
        <v>59.252884227831601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39.569400000000059</v>
      </c>
      <c r="D92" s="12">
        <f t="shared" si="86"/>
        <v>11.884444535731582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397.18757185477057</v>
      </c>
      <c r="H92" s="70">
        <f t="shared" si="56"/>
        <v>382.94877923306592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3.0816718909993281</v>
      </c>
      <c r="N92" s="14">
        <f>IF('Données projet'!$A$36&gt;35,N91+M92-V91,IF(A92&lt;'Données projet'!$A$36,$K$205^A92,IF(A92='Données projet'!$A$36,'Données projet'!$B$36,N91+M92-V91)))</f>
        <v>143.26818360007974</v>
      </c>
      <c r="O92" s="14">
        <f>N92*VLOOKUP('Données projet'!$B$9,Paramètres!$A$1:$I$89,3,0)*VLOOKUP('Données projet'!$B$9,Paramètres!$A$1:$I$89,5,0)</f>
        <v>156.44885649128707</v>
      </c>
      <c r="P92" s="14">
        <f t="shared" si="87"/>
        <v>40.040501792513751</v>
      </c>
      <c r="Q92" s="22">
        <f t="shared" si="54"/>
        <v>342.21896567761974</v>
      </c>
      <c r="R92" s="62">
        <f t="shared" si="55"/>
        <v>635.55229901095299</v>
      </c>
      <c r="S92" s="62">
        <f ca="1">AVERAGE(OFFSET($R$3,0,0,'Données projet'!$E$9+1,1))-AVERAGE(OFFSET($H$3,0,0,'Données projet'!$E$9+1,1))</f>
        <v>308.00850473946429</v>
      </c>
      <c r="T92" s="62">
        <f t="shared" si="88"/>
        <v>70.709140667951715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</v>
      </c>
      <c r="AI92" s="14">
        <f>IF('Données projet'!$A$62&gt;35,AI91+AH92-AQ91,IF(A92&lt;'Données projet'!$A$62,$AF$205^A92,IF(A92='Données projet'!$A$62,'Données projet'!$B$62,AI91+AH92-AQ91)))</f>
        <v>202</v>
      </c>
      <c r="AJ92" s="14">
        <f>AI92*VLOOKUP('Données projet'!$B$10,Paramètres!$A$1:$I$89,3,0)*VLOOKUP('Données projet'!$B$10,Paramètres!$A$1:$I$89,5,0)</f>
        <v>217.43280000000001</v>
      </c>
      <c r="AK92" s="14">
        <f t="shared" si="89"/>
        <v>53.556536889714792</v>
      </c>
      <c r="AL92" s="22">
        <f t="shared" si="58"/>
        <v>471.97309508291988</v>
      </c>
      <c r="AM92" s="62">
        <f t="shared" si="59"/>
        <v>765.3064284162532</v>
      </c>
      <c r="AN92" s="62">
        <f ca="1">AVERAGE(OFFSET($AM$3,0,0,'Données projet'!$E$10+1,1))-AVERAGE(OFFSET($H$3,0,0,'Données projet'!$E$10+1,1))</f>
        <v>271.76512254565102</v>
      </c>
      <c r="AO92" s="62">
        <f t="shared" si="90"/>
        <v>99.160986083974535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0.83750000000000002</v>
      </c>
      <c r="BD92" s="13">
        <f>IF('Données projet'!$A$88&gt;35,BD91+BC92-BL91,IF(A92&lt;'Données projet'!$A$88,$BA$205^A92,IF(A92='Données projet'!$A$88,'Données projet'!$B$88,BD91+BC92-BL91)))</f>
        <v>58.662500000000001</v>
      </c>
      <c r="BE92" s="14">
        <f>BD92*VLOOKUP('Données projet'!$B$11,Paramètres!$A$1:$I$89,3,0)*VLOOKUP('Données projet'!$B$11,Paramètres!$A$1:$I$89,5,0)</f>
        <v>67.5792</v>
      </c>
      <c r="BF92" s="14">
        <f t="shared" si="91"/>
        <v>19.07106176040384</v>
      </c>
      <c r="BG92" s="22">
        <f t="shared" si="61"/>
        <v>150.91587256603668</v>
      </c>
      <c r="BH92" s="62">
        <f t="shared" si="62"/>
        <v>444.24920589937</v>
      </c>
      <c r="BI92" s="62">
        <f ca="1">AVERAGE(OFFSET($BH$3,0,0,'Données projet'!$E$11+1,1))-AVERAGE(OFFSET($H$3,0,0,'Données projet'!$E$11+1,1))</f>
        <v>43.16958872930951</v>
      </c>
      <c r="BJ92" s="62">
        <f t="shared" si="92"/>
        <v>69.202870643733547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</v>
      </c>
      <c r="BY92" s="13">
        <f>IF('Données projet'!$A$114&gt;35,BY91+BX92-CG91,IF(A92&lt;'Données projet'!$A$114,$BV$205^A92,IF(A92='Données projet'!$A$114,'Données projet'!$B$114,BY91+BX92-CG91)))</f>
        <v>131.99999999999994</v>
      </c>
      <c r="BZ92" s="14">
        <f>BY92*VLOOKUP('Données projet'!$B$12,Paramètres!$A$1:$I$89,3,0)*VLOOKUP('Données projet'!$B$12,Paramètres!$A$1:$I$89,5,0)</f>
        <v>77.21999999999997</v>
      </c>
      <c r="CA92" s="14">
        <f t="shared" si="93"/>
        <v>21.456066856215866</v>
      </c>
      <c r="CB92" s="22">
        <f t="shared" si="64"/>
        <v>171.8608164412426</v>
      </c>
      <c r="CC92" s="62">
        <f t="shared" si="65"/>
        <v>465.19414977457592</v>
      </c>
      <c r="CD92" s="62">
        <f ca="1">AVERAGE(OFFSET($CC$3,0,0,'Données projet'!$E$12+1,1))-AVERAGE(OFFSET($H$3,0,0,'Données projet'!$E$12+1,1))</f>
        <v>49.695493809293282</v>
      </c>
      <c r="CE92" s="62">
        <f t="shared" si="94"/>
        <v>59.252884227831601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40.01400000000006</v>
      </c>
      <c r="D93" s="12">
        <f t="shared" si="86"/>
        <v>12.002357532661748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401.52977744510872</v>
      </c>
      <c r="H93" s="70">
        <f t="shared" si="56"/>
        <v>383.92848936938594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3.0816718909993281</v>
      </c>
      <c r="N93" s="14">
        <f>IF('Données projet'!$A$36&gt;35,N92+M93-V92,IF(A93&lt;'Données projet'!$A$36,$K$205^A93,IF(A93='Données projet'!$A$36,'Données projet'!$B$36,N92+M93-V92)))</f>
        <v>146.34985549107907</v>
      </c>
      <c r="O93" s="14">
        <f>N93*VLOOKUP('Données projet'!$B$9,Paramètres!$A$1:$I$89,3,0)*VLOOKUP('Données projet'!$B$9,Paramètres!$A$1:$I$89,5,0)</f>
        <v>159.81404219625833</v>
      </c>
      <c r="P93" s="14">
        <f t="shared" si="87"/>
        <v>40.800569266628671</v>
      </c>
      <c r="Q93" s="22">
        <f t="shared" si="54"/>
        <v>349.40378163119493</v>
      </c>
      <c r="R93" s="62">
        <f t="shared" si="55"/>
        <v>642.73711496452825</v>
      </c>
      <c r="S93" s="62">
        <f ca="1">AVERAGE(OFFSET($R$3,0,0,'Données projet'!$E$9+1,1))-AVERAGE(OFFSET($H$3,0,0,'Données projet'!$E$9+1,1))</f>
        <v>308.00850473946429</v>
      </c>
      <c r="T93" s="62">
        <f t="shared" si="88"/>
        <v>70.709140667951715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4</v>
      </c>
      <c r="AI93" s="14">
        <f>IF('Données projet'!$A$62&gt;35,AI92+AH93-AQ92,IF(A93&lt;'Données projet'!$A$62,$AF$205^A93,IF(A93='Données projet'!$A$62,'Données projet'!$B$62,AI92+AH93-AQ92)))</f>
        <v>206</v>
      </c>
      <c r="AJ93" s="14">
        <f>AI93*VLOOKUP('Données projet'!$B$10,Paramètres!$A$1:$I$89,3,0)*VLOOKUP('Données projet'!$B$10,Paramètres!$A$1:$I$89,5,0)</f>
        <v>221.73839999999998</v>
      </c>
      <c r="AK93" s="14">
        <f t="shared" si="89"/>
        <v>54.492545120441747</v>
      </c>
      <c r="AL93" s="22">
        <f t="shared" si="58"/>
        <v>481.1022294181027</v>
      </c>
      <c r="AM93" s="62">
        <f t="shared" si="59"/>
        <v>774.43556275143601</v>
      </c>
      <c r="AN93" s="62">
        <f ca="1">AVERAGE(OFFSET($AM$3,0,0,'Données projet'!$E$10+1,1))-AVERAGE(OFFSET($H$3,0,0,'Données projet'!$E$10+1,1))</f>
        <v>271.76512254565102</v>
      </c>
      <c r="AO93" s="62">
        <f t="shared" si="90"/>
        <v>99.160986083974535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59.500000000000007</v>
      </c>
      <c r="BB93" s="13">
        <f>VLOOKUP(A93,'Données projet'!$A$87:$I$107,9,0)</f>
        <v>0.83750000000000002</v>
      </c>
      <c r="BC93" s="13">
        <f t="array" ref="BC93">INDEX(BB:BB,MIN(IF(ISNUMBER(BB93:BB289),ROW(BB93:BB289),"")))</f>
        <v>0.83750000000000002</v>
      </c>
      <c r="BD93" s="13">
        <f>IF('Données projet'!$A$88&gt;35,BD92+BC93-BL92,IF(A93&lt;'Données projet'!$A$88,$BA$205^A93,IF(A93='Données projet'!$A$88,'Données projet'!$B$88,BD92+BC93-BL92)))</f>
        <v>59.5</v>
      </c>
      <c r="BE93" s="14">
        <f>BD93*VLOOKUP('Données projet'!$B$11,Paramètres!$A$1:$I$89,3,0)*VLOOKUP('Données projet'!$B$11,Paramètres!$A$1:$I$89,5,0)</f>
        <v>68.543999999999997</v>
      </c>
      <c r="BF93" s="14">
        <f t="shared" si="91"/>
        <v>19.311440320094455</v>
      </c>
      <c r="BG93" s="22">
        <f t="shared" si="61"/>
        <v>153.01489189083119</v>
      </c>
      <c r="BH93" s="62">
        <f t="shared" si="62"/>
        <v>446.34822522416448</v>
      </c>
      <c r="BI93" s="62">
        <f ca="1">AVERAGE(OFFSET($BH$3,0,0,'Données projet'!$E$11+1,1))-AVERAGE(OFFSET($H$3,0,0,'Données projet'!$E$11+1,1))</f>
        <v>43.16958872930951</v>
      </c>
      <c r="BJ93" s="62">
        <f t="shared" si="92"/>
        <v>69.202870643733547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6.416666666666667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135</v>
      </c>
      <c r="BW93" s="13">
        <f>VLOOKUP(A93,'Données projet'!$A$113:$I$133,9,0)</f>
        <v>3</v>
      </c>
      <c r="BX93" s="13">
        <f t="array" ref="BX93">INDEX(BW:BW,MIN(IF(ISNUMBER(BW93:BW289),ROW(BW93:BW289),"")))</f>
        <v>3</v>
      </c>
      <c r="BY93" s="13">
        <f>IF('Données projet'!$A$114&gt;35,BY92+BX93-CG92,IF(A93&lt;'Données projet'!$A$114,$BV$205^A93,IF(A93='Données projet'!$A$114,'Données projet'!$B$114,BY92+BX93-CG92)))</f>
        <v>134.99999999999994</v>
      </c>
      <c r="BZ93" s="14">
        <f>BY93*VLOOKUP('Données projet'!$B$12,Paramètres!$A$1:$I$89,3,0)*VLOOKUP('Données projet'!$B$12,Paramètres!$A$1:$I$89,5,0)</f>
        <v>78.97499999999998</v>
      </c>
      <c r="CA93" s="14">
        <f t="shared" si="93"/>
        <v>21.886378520273105</v>
      </c>
      <c r="CB93" s="22">
        <f t="shared" si="64"/>
        <v>175.66690092280896</v>
      </c>
      <c r="CC93" s="62">
        <f t="shared" si="65"/>
        <v>469.00023425614228</v>
      </c>
      <c r="CD93" s="62">
        <f ca="1">AVERAGE(OFFSET($CC$3,0,0,'Données projet'!$E$12+1,1))-AVERAGE(OFFSET($H$3,0,0,'Données projet'!$E$12+1,1))</f>
        <v>49.695493809293282</v>
      </c>
      <c r="CE93" s="62">
        <f t="shared" si="94"/>
        <v>59.252884227831601</v>
      </c>
      <c r="CF93" s="16">
        <f>IF(ISNA(VLOOKUP(A93,'Données projet'!$A$113:$I$133,3,0)),0,VLOOKUP(A93,'Données projet'!$A$113:$I$133,3,0))</f>
        <v>4</v>
      </c>
      <c r="CG93" s="16">
        <f>IF(ISNA(VLOOKUP(A93,'Données projet'!$A$113:$I$133,4,0)),0,VLOOKUP(A93,'Données projet'!$A$113:$I$133,4,0))</f>
        <v>135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40.458600000000061</v>
      </c>
      <c r="D94" s="12">
        <f t="shared" si="86"/>
        <v>12.120118124040868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405.87080657154405</v>
      </c>
      <c r="H94" s="70">
        <f t="shared" si="56"/>
        <v>384.90793406603791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3.0816718909993281</v>
      </c>
      <c r="N94" s="14">
        <f>IF('Données projet'!$A$36&gt;35,N93+M94-V93,IF(A94&lt;'Données projet'!$A$36,$K$205^A94,IF(A94='Données projet'!$A$36,'Données projet'!$B$36,N93+M94-V93)))</f>
        <v>149.4315273820784</v>
      </c>
      <c r="O94" s="14">
        <f>N94*VLOOKUP('Données projet'!$B$9,Paramètres!$A$1:$I$89,3,0)*VLOOKUP('Données projet'!$B$9,Paramètres!$A$1:$I$89,5,0)</f>
        <v>163.17922790122961</v>
      </c>
      <c r="P94" s="14">
        <f t="shared" si="87"/>
        <v>41.558775935039634</v>
      </c>
      <c r="Q94" s="22">
        <f t="shared" si="54"/>
        <v>356.58535668150222</v>
      </c>
      <c r="R94" s="62">
        <f t="shared" si="55"/>
        <v>649.91869001483553</v>
      </c>
      <c r="S94" s="62">
        <f ca="1">AVERAGE(OFFSET($R$3,0,0,'Données projet'!$E$9+1,1))-AVERAGE(OFFSET($H$3,0,0,'Données projet'!$E$9+1,1))</f>
        <v>308.00850473946429</v>
      </c>
      <c r="T94" s="62">
        <f t="shared" si="88"/>
        <v>70.709140667951715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</v>
      </c>
      <c r="AI94" s="14">
        <f>IF('Données projet'!$A$62&gt;35,AI93+AH94-AQ93,IF(A94&lt;'Données projet'!$A$62,$AF$205^A94,IF(A94='Données projet'!$A$62,'Données projet'!$B$62,AI93+AH94-AQ93)))</f>
        <v>210</v>
      </c>
      <c r="AJ94" s="14">
        <f>AI94*VLOOKUP('Données projet'!$B$10,Paramètres!$A$1:$I$89,3,0)*VLOOKUP('Données projet'!$B$10,Paramètres!$A$1:$I$89,5,0)</f>
        <v>226.04399999999998</v>
      </c>
      <c r="AK94" s="14">
        <f t="shared" si="89"/>
        <v>55.426440039423504</v>
      </c>
      <c r="AL94" s="22">
        <f t="shared" si="58"/>
        <v>490.22768306866254</v>
      </c>
      <c r="AM94" s="62">
        <f t="shared" si="59"/>
        <v>783.56101640199586</v>
      </c>
      <c r="AN94" s="62">
        <f ca="1">AVERAGE(OFFSET($AM$3,0,0,'Données projet'!$E$10+1,1))-AVERAGE(OFFSET($H$3,0,0,'Données projet'!$E$10+1,1))</f>
        <v>271.76512254565102</v>
      </c>
      <c r="AO94" s="62">
        <f t="shared" si="90"/>
        <v>99.160986083974535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0.75833333333333219</v>
      </c>
      <c r="BD94" s="13">
        <f>IF('Données projet'!$A$88&gt;35,BD93+BC94-BL93,IF(A94&lt;'Données projet'!$A$88,$BA$205^A94,IF(A94='Données projet'!$A$88,'Données projet'!$B$88,BD93+BC94-BL93)))</f>
        <v>53.841666666666669</v>
      </c>
      <c r="BE94" s="14">
        <f>BD94*VLOOKUP('Données projet'!$B$11,Paramètres!$A$1:$I$89,3,0)*VLOOKUP('Données projet'!$B$11,Paramètres!$A$1:$I$89,5,0)</f>
        <v>62.025599999999997</v>
      </c>
      <c r="BF94" s="14">
        <f t="shared" si="91"/>
        <v>17.679410406677206</v>
      </c>
      <c r="BG94" s="22">
        <f t="shared" si="61"/>
        <v>138.81955979162947</v>
      </c>
      <c r="BH94" s="62">
        <f t="shared" si="62"/>
        <v>432.15289312496282</v>
      </c>
      <c r="BI94" s="62">
        <f ca="1">AVERAGE(OFFSET($BH$3,0,0,'Données projet'!$E$11+1,1))-AVERAGE(OFFSET($H$3,0,0,'Données projet'!$E$11+1,1))</f>
        <v>43.16958872930951</v>
      </c>
      <c r="BJ94" s="62">
        <f t="shared" si="92"/>
        <v>69.202870643733547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-3.3253400033572693E-14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49.695493809293282</v>
      </c>
      <c r="CE94" s="62">
        <f t="shared" si="94"/>
        <v>59.252884227831601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40.903200000000062</v>
      </c>
      <c r="D95" s="12">
        <f t="shared" si="86"/>
        <v>12.237728178480616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410.21067365844738</v>
      </c>
      <c r="H95" s="70">
        <f t="shared" si="56"/>
        <v>385.88711657752049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3.0816718909993281</v>
      </c>
      <c r="N95" s="14">
        <f>IF('Données projet'!$A$36&gt;35,N94+M95-V94,IF(A95&lt;'Données projet'!$A$36,$K$205^A95,IF(A95='Données projet'!$A$36,'Données projet'!$B$36,N94+M95-V94)))</f>
        <v>152.51319927307773</v>
      </c>
      <c r="O95" s="14">
        <f>N95*VLOOKUP('Données projet'!$B$9,Paramètres!$A$1:$I$89,3,0)*VLOOKUP('Données projet'!$B$9,Paramètres!$A$1:$I$89,5,0)</f>
        <v>166.54441360620086</v>
      </c>
      <c r="P95" s="14">
        <f t="shared" si="87"/>
        <v>42.315164594026434</v>
      </c>
      <c r="Q95" s="22">
        <f t="shared" si="54"/>
        <v>363.76376536539584</v>
      </c>
      <c r="R95" s="62">
        <f t="shared" si="55"/>
        <v>657.09709869872916</v>
      </c>
      <c r="S95" s="62">
        <f ca="1">AVERAGE(OFFSET($R$3,0,0,'Données projet'!$E$9+1,1))-AVERAGE(OFFSET($H$3,0,0,'Données projet'!$E$9+1,1))</f>
        <v>308.00850473946429</v>
      </c>
      <c r="T95" s="62">
        <f t="shared" si="88"/>
        <v>70.709140667951715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</v>
      </c>
      <c r="AI95" s="14">
        <f>IF('Données projet'!$A$62&gt;35,AI94+AH95-AQ94,IF(A95&lt;'Données projet'!$A$62,$AF$205^A95,IF(A95='Données projet'!$A$62,'Données projet'!$B$62,AI94+AH95-AQ94)))</f>
        <v>214</v>
      </c>
      <c r="AJ95" s="14">
        <f>AI95*VLOOKUP('Données projet'!$B$10,Paramètres!$A$1:$I$89,3,0)*VLOOKUP('Données projet'!$B$10,Paramètres!$A$1:$I$89,5,0)</f>
        <v>230.34960000000001</v>
      </c>
      <c r="AK95" s="14">
        <f t="shared" si="89"/>
        <v>56.35826654142631</v>
      </c>
      <c r="AL95" s="22">
        <f t="shared" si="58"/>
        <v>499.34953422631753</v>
      </c>
      <c r="AM95" s="62">
        <f t="shared" si="59"/>
        <v>792.68286755965084</v>
      </c>
      <c r="AN95" s="62">
        <f ca="1">AVERAGE(OFFSET($AM$3,0,0,'Données projet'!$E$10+1,1))-AVERAGE(OFFSET($H$3,0,0,'Données projet'!$E$10+1,1))</f>
        <v>271.76512254565102</v>
      </c>
      <c r="AO95" s="62">
        <f t="shared" si="90"/>
        <v>99.160986083974535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0.75833333333333219</v>
      </c>
      <c r="BD95" s="13">
        <f>IF('Données projet'!$A$88&gt;35,BD94+BC95-BL94,IF(A95&lt;'Données projet'!$A$88,$BA$205^A95,IF(A95='Données projet'!$A$88,'Données projet'!$B$88,BD94+BC95-BL94)))</f>
        <v>54.6</v>
      </c>
      <c r="BE95" s="14">
        <f>BD95*VLOOKUP('Données projet'!$B$11,Paramètres!$A$1:$I$89,3,0)*VLOOKUP('Données projet'!$B$11,Paramètres!$A$1:$I$89,5,0)</f>
        <v>62.899199999999993</v>
      </c>
      <c r="BF95" s="14">
        <f t="shared" si="91"/>
        <v>17.899252496876414</v>
      </c>
      <c r="BG95" s="22">
        <f t="shared" si="61"/>
        <v>140.72397143205973</v>
      </c>
      <c r="BH95" s="62">
        <f t="shared" si="62"/>
        <v>434.05730476539304</v>
      </c>
      <c r="BI95" s="62">
        <f ca="1">AVERAGE(OFFSET($BH$3,0,0,'Données projet'!$E$11+1,1))-AVERAGE(OFFSET($H$3,0,0,'Données projet'!$E$11+1,1))</f>
        <v>43.16958872930951</v>
      </c>
      <c r="BJ95" s="62">
        <f t="shared" si="92"/>
        <v>69.202870643733547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-3.3253400033572693E-14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49.695493809293282</v>
      </c>
      <c r="CE95" s="62">
        <f t="shared" si="94"/>
        <v>59.252884227831601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41.347800000000063</v>
      </c>
      <c r="D96" s="12">
        <f t="shared" si="86"/>
        <v>12.355189521631164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414.54939279855688</v>
      </c>
      <c r="H96" s="70">
        <f t="shared" si="56"/>
        <v>386.8660400835077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3.0816718909993281</v>
      </c>
      <c r="N96" s="14">
        <f>IF('Données projet'!$A$36&gt;35,N95+M96-V95,IF(A96&lt;'Données projet'!$A$36,$K$205^A96,IF(A96='Données projet'!$A$36,'Données projet'!$B$36,N95+M96-V95)))</f>
        <v>155.59487116407706</v>
      </c>
      <c r="O96" s="14">
        <f>N96*VLOOKUP('Données projet'!$B$9,Paramètres!$A$1:$I$89,3,0)*VLOOKUP('Données projet'!$B$9,Paramètres!$A$1:$I$89,5,0)</f>
        <v>169.90959931117214</v>
      </c>
      <c r="P96" s="14">
        <f t="shared" si="87"/>
        <v>43.069776211512675</v>
      </c>
      <c r="Q96" s="22">
        <f t="shared" si="54"/>
        <v>370.93907903534273</v>
      </c>
      <c r="R96" s="62">
        <f t="shared" si="55"/>
        <v>664.27241236867599</v>
      </c>
      <c r="S96" s="62">
        <f ca="1">AVERAGE(OFFSET($R$3,0,0,'Données projet'!$E$9+1,1))-AVERAGE(OFFSET($H$3,0,0,'Données projet'!$E$9+1,1))</f>
        <v>308.00850473946429</v>
      </c>
      <c r="T96" s="62">
        <f t="shared" si="88"/>
        <v>70.709140667951715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</v>
      </c>
      <c r="AI96" s="14">
        <f>IF('Données projet'!$A$62&gt;35,AI95+AH96-AQ95,IF(A96&lt;'Données projet'!$A$62,$AF$205^A96,IF(A96='Données projet'!$A$62,'Données projet'!$B$62,AI95+AH96-AQ95)))</f>
        <v>218</v>
      </c>
      <c r="AJ96" s="14">
        <f>AI96*VLOOKUP('Données projet'!$B$10,Paramètres!$A$1:$I$89,3,0)*VLOOKUP('Données projet'!$B$10,Paramètres!$A$1:$I$89,5,0)</f>
        <v>234.65519999999998</v>
      </c>
      <c r="AK96" s="14">
        <f t="shared" si="89"/>
        <v>57.288067746850999</v>
      </c>
      <c r="AL96" s="22">
        <f t="shared" si="58"/>
        <v>508.46785799243213</v>
      </c>
      <c r="AM96" s="62">
        <f t="shared" si="59"/>
        <v>801.80119132576544</v>
      </c>
      <c r="AN96" s="62">
        <f ca="1">AVERAGE(OFFSET($AM$3,0,0,'Données projet'!$E$10+1,1))-AVERAGE(OFFSET($H$3,0,0,'Données projet'!$E$10+1,1))</f>
        <v>271.76512254565102</v>
      </c>
      <c r="AO96" s="62">
        <f t="shared" si="90"/>
        <v>99.160986083974535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0.75833333333333219</v>
      </c>
      <c r="BD96" s="13">
        <f>IF('Données projet'!$A$88&gt;35,BD95+BC96-BL95,IF(A96&lt;'Données projet'!$A$88,$BA$205^A96,IF(A96='Données projet'!$A$88,'Données projet'!$B$88,BD95+BC96-BL95)))</f>
        <v>55.358333333333334</v>
      </c>
      <c r="BE96" s="14">
        <f>BD96*VLOOKUP('Données projet'!$B$11,Paramètres!$A$1:$I$89,3,0)*VLOOKUP('Données projet'!$B$11,Paramètres!$A$1:$I$89,5,0)</f>
        <v>63.772799999999997</v>
      </c>
      <c r="BF96" s="14">
        <f t="shared" si="91"/>
        <v>18.118739450759566</v>
      </c>
      <c r="BG96" s="22">
        <f t="shared" si="61"/>
        <v>142.62776454340624</v>
      </c>
      <c r="BH96" s="62">
        <f t="shared" si="62"/>
        <v>435.96109787673959</v>
      </c>
      <c r="BI96" s="62">
        <f ca="1">AVERAGE(OFFSET($BH$3,0,0,'Données projet'!$E$11+1,1))-AVERAGE(OFFSET($H$3,0,0,'Données projet'!$E$11+1,1))</f>
        <v>43.16958872930951</v>
      </c>
      <c r="BJ96" s="62">
        <f t="shared" si="92"/>
        <v>69.202870643733547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-3.3253400033572693E-14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49.695493809293282</v>
      </c>
      <c r="CE96" s="62">
        <f t="shared" si="94"/>
        <v>59.252884227831601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41.792400000000065</v>
      </c>
      <c r="D97" s="12">
        <f t="shared" si="86"/>
        <v>12.472503937619983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418.88697776408458</v>
      </c>
      <c r="H97" s="70">
        <f t="shared" si="56"/>
        <v>387.84470769135487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3.0816718909993281</v>
      </c>
      <c r="N97" s="14">
        <f>IF('Données projet'!$A$36&gt;35,N96+M97-V96,IF(A97&lt;'Données projet'!$A$36,$K$205^A97,IF(A97='Données projet'!$A$36,'Données projet'!$B$36,N96+M97-V96)))</f>
        <v>158.67654305507639</v>
      </c>
      <c r="O97" s="14">
        <f>N97*VLOOKUP('Données projet'!$B$9,Paramètres!$A$1:$I$89,3,0)*VLOOKUP('Données projet'!$B$9,Paramètres!$A$1:$I$89,5,0)</f>
        <v>173.27478501614343</v>
      </c>
      <c r="P97" s="14">
        <f t="shared" si="87"/>
        <v>43.822650039816338</v>
      </c>
      <c r="Q97" s="22">
        <f t="shared" si="54"/>
        <v>378.11136605579651</v>
      </c>
      <c r="R97" s="62">
        <f t="shared" si="55"/>
        <v>671.44469938912982</v>
      </c>
      <c r="S97" s="62">
        <f ca="1">AVERAGE(OFFSET($R$3,0,0,'Données projet'!$E$9+1,1))-AVERAGE(OFFSET($H$3,0,0,'Données projet'!$E$9+1,1))</f>
        <v>308.00850473946429</v>
      </c>
      <c r="T97" s="62">
        <f t="shared" si="88"/>
        <v>70.709140667951715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</v>
      </c>
      <c r="AI97" s="14">
        <f>IF('Données projet'!$A$62&gt;35,AI96+AH97-AQ96,IF(A97&lt;'Données projet'!$A$62,$AF$205^A97,IF(A97='Données projet'!$A$62,'Données projet'!$B$62,AI96+AH97-AQ96)))</f>
        <v>222</v>
      </c>
      <c r="AJ97" s="14">
        <f>AI97*VLOOKUP('Données projet'!$B$10,Paramètres!$A$1:$I$89,3,0)*VLOOKUP('Données projet'!$B$10,Paramètres!$A$1:$I$89,5,0)</f>
        <v>238.96079999999998</v>
      </c>
      <c r="AK97" s="14">
        <f t="shared" si="89"/>
        <v>58.215885103108349</v>
      </c>
      <c r="AL97" s="22">
        <f t="shared" si="58"/>
        <v>517.58272655458029</v>
      </c>
      <c r="AM97" s="62">
        <f t="shared" si="59"/>
        <v>810.91605988791366</v>
      </c>
      <c r="AN97" s="62">
        <f ca="1">AVERAGE(OFFSET($AM$3,0,0,'Données projet'!$E$10+1,1))-AVERAGE(OFFSET($H$3,0,0,'Données projet'!$E$10+1,1))</f>
        <v>271.76512254565102</v>
      </c>
      <c r="AO97" s="62">
        <f t="shared" si="90"/>
        <v>99.160986083974535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0.75833333333333219</v>
      </c>
      <c r="BD97" s="13">
        <f>IF('Données projet'!$A$88&gt;35,BD96+BC97-BL96,IF(A97&lt;'Données projet'!$A$88,$BA$205^A97,IF(A97='Données projet'!$A$88,'Données projet'!$B$88,BD96+BC97-BL96)))</f>
        <v>56.116666666666667</v>
      </c>
      <c r="BE97" s="14">
        <f>BD97*VLOOKUP('Données projet'!$B$11,Paramètres!$A$1:$I$89,3,0)*VLOOKUP('Données projet'!$B$11,Paramètres!$A$1:$I$89,5,0)</f>
        <v>64.6464</v>
      </c>
      <c r="BF97" s="14">
        <f t="shared" si="91"/>
        <v>18.337876695493666</v>
      </c>
      <c r="BG97" s="22">
        <f t="shared" si="61"/>
        <v>144.53094857798479</v>
      </c>
      <c r="BH97" s="62">
        <f t="shared" si="62"/>
        <v>437.86428191131813</v>
      </c>
      <c r="BI97" s="62">
        <f ca="1">AVERAGE(OFFSET($BH$3,0,0,'Données projet'!$E$11+1,1))-AVERAGE(OFFSET($H$3,0,0,'Données projet'!$E$11+1,1))</f>
        <v>43.16958872930951</v>
      </c>
      <c r="BJ97" s="62">
        <f t="shared" si="92"/>
        <v>69.202870643733547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-3.3253400033572693E-14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49.695493809293282</v>
      </c>
      <c r="CE97" s="62">
        <f t="shared" si="94"/>
        <v>59.252884227831601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42.237000000000066</v>
      </c>
      <c r="D98" s="12">
        <f t="shared" si="86"/>
        <v>12.589673170427714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423.22344201733728</v>
      </c>
      <c r="H98" s="70">
        <f t="shared" si="56"/>
        <v>388.82312243849503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3.0816718909993281</v>
      </c>
      <c r="N98" s="14">
        <f>IF('Données projet'!$A$36&gt;35,N97+M98-V97,IF(A98&lt;'Données projet'!$A$36,$K$205^A98,IF(A98='Données projet'!$A$36,'Données projet'!$B$36,N97+M98-V97)))</f>
        <v>161.75821494607573</v>
      </c>
      <c r="O98" s="14">
        <f>N98*VLOOKUP('Données projet'!$B$9,Paramètres!$A$1:$I$89,3,0)*VLOOKUP('Données projet'!$B$9,Paramètres!$A$1:$I$89,5,0)</f>
        <v>176.63997072111468</v>
      </c>
      <c r="P98" s="14">
        <f t="shared" si="87"/>
        <v>44.573823719393708</v>
      </c>
      <c r="Q98" s="22">
        <f t="shared" si="54"/>
        <v>385.28069198388545</v>
      </c>
      <c r="R98" s="62">
        <f t="shared" si="55"/>
        <v>678.61402531721876</v>
      </c>
      <c r="S98" s="62">
        <f ca="1">AVERAGE(OFFSET($R$3,0,0,'Données projet'!$E$9+1,1))-AVERAGE(OFFSET($H$3,0,0,'Données projet'!$E$9+1,1))</f>
        <v>308.00850473946429</v>
      </c>
      <c r="T98" s="62">
        <f t="shared" si="88"/>
        <v>70.709140667951715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226</v>
      </c>
      <c r="AG98" s="13">
        <f>VLOOKUP(A98,'Données projet'!$A$61:$I$81,9,0)</f>
        <v>4</v>
      </c>
      <c r="AH98" s="13">
        <f t="array" ref="AH98">INDEX(AG:AG,MIN(IF(ISNUMBER(AG98:AG294),ROW(AG98:AG294),"")))</f>
        <v>4</v>
      </c>
      <c r="AI98" s="14">
        <f>IF('Données projet'!$A$62&gt;35,AI97+AH98-AQ97,IF(A98&lt;'Données projet'!$A$62,$AF$205^A98,IF(A98='Données projet'!$A$62,'Données projet'!$B$62,AI97+AH98-AQ97)))</f>
        <v>226</v>
      </c>
      <c r="AJ98" s="14">
        <f>AI98*VLOOKUP('Données projet'!$B$10,Paramètres!$A$1:$I$89,3,0)*VLOOKUP('Données projet'!$B$10,Paramètres!$A$1:$I$89,5,0)</f>
        <v>243.2664</v>
      </c>
      <c r="AK98" s="14">
        <f t="shared" si="89"/>
        <v>59.141758478481812</v>
      </c>
      <c r="AL98" s="22">
        <f t="shared" si="58"/>
        <v>526.69420935002245</v>
      </c>
      <c r="AM98" s="62">
        <f t="shared" si="59"/>
        <v>820.0275426833557</v>
      </c>
      <c r="AN98" s="62">
        <f ca="1">AVERAGE(OFFSET($AM$3,0,0,'Données projet'!$E$10+1,1))-AVERAGE(OFFSET($H$3,0,0,'Données projet'!$E$10+1,1))</f>
        <v>271.76512254565102</v>
      </c>
      <c r="AO98" s="62">
        <f t="shared" si="90"/>
        <v>99.160986083974535</v>
      </c>
      <c r="AP98" s="16">
        <f>IF(ISNA(VLOOKUP(A98,'Données projet'!$A$61:$I$81,3,0)),0,VLOOKUP(A98,'Données projet'!$A$61:$I$81,3,0))</f>
        <v>7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0.75833333333333219</v>
      </c>
      <c r="BD98" s="13">
        <f>IF('Données projet'!$A$88&gt;35,BD97+BC98-BL97,IF(A98&lt;'Données projet'!$A$88,$BA$205^A98,IF(A98='Données projet'!$A$88,'Données projet'!$B$88,BD97+BC98-BL97)))</f>
        <v>56.875</v>
      </c>
      <c r="BE98" s="14">
        <f>BD98*VLOOKUP('Données projet'!$B$11,Paramètres!$A$1:$I$89,3,0)*VLOOKUP('Données projet'!$B$11,Paramètres!$A$1:$I$89,5,0)</f>
        <v>65.52</v>
      </c>
      <c r="BF98" s="14">
        <f t="shared" si="91"/>
        <v>18.556669503136725</v>
      </c>
      <c r="BG98" s="22">
        <f t="shared" si="61"/>
        <v>146.43353271796309</v>
      </c>
      <c r="BH98" s="62">
        <f t="shared" si="62"/>
        <v>439.7668660512964</v>
      </c>
      <c r="BI98" s="62">
        <f ca="1">AVERAGE(OFFSET($BH$3,0,0,'Données projet'!$E$11+1,1))-AVERAGE(OFFSET($H$3,0,0,'Données projet'!$E$11+1,1))</f>
        <v>43.16958872930951</v>
      </c>
      <c r="BJ98" s="62">
        <f t="shared" si="92"/>
        <v>69.202870643733547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-3.3253400033572693E-14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49.695493809293282</v>
      </c>
      <c r="CE98" s="62">
        <f t="shared" si="94"/>
        <v>59.252884227831601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42.681600000000067</v>
      </c>
      <c r="D99" s="12">
        <f t="shared" si="86"/>
        <v>12.706698925204453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427.55879872087706</v>
      </c>
      <c r="H99" s="70">
        <f t="shared" si="56"/>
        <v>389.8012872947312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3.0816718909993281</v>
      </c>
      <c r="N99" s="14">
        <f>IF('Données projet'!$A$36&gt;35,N98+M99-V98,IF(A99&lt;'Données projet'!$A$36,$K$205^A99,IF(A99='Données projet'!$A$36,'Données projet'!$B$36,N98+M99-V98)))</f>
        <v>164.83988683707506</v>
      </c>
      <c r="O99" s="14">
        <f>N99*VLOOKUP('Données projet'!$B$9,Paramètres!$A$1:$I$89,3,0)*VLOOKUP('Données projet'!$B$9,Paramètres!$A$1:$I$89,5,0)</f>
        <v>180.00515642608596</v>
      </c>
      <c r="P99" s="14">
        <f t="shared" si="87"/>
        <v>45.323333374453966</v>
      </c>
      <c r="Q99" s="22">
        <f t="shared" ref="Q99:Q130" si="107">(O99+P99)*0.475*44/12</f>
        <v>392.4471197359403</v>
      </c>
      <c r="R99" s="62">
        <f t="shared" si="55"/>
        <v>685.78045306927356</v>
      </c>
      <c r="S99" s="62">
        <f ca="1">AVERAGE(OFFSET($R$3,0,0,'Données projet'!$E$9+1,1))-AVERAGE(OFFSET($H$3,0,0,'Données projet'!$E$9+1,1))</f>
        <v>308.00850473946429</v>
      </c>
      <c r="T99" s="62">
        <f t="shared" si="88"/>
        <v>70.709140667951715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3.4</v>
      </c>
      <c r="AI99" s="14">
        <f>IF('Données projet'!$A$62&gt;35,AI98+AH99-AQ98,IF(A99&lt;'Données projet'!$A$62,$AF$205^A99,IF(A99='Données projet'!$A$62,'Données projet'!$B$62,AI98+AH99-AQ98)))</f>
        <v>201.4</v>
      </c>
      <c r="AJ99" s="14">
        <f>AI99*VLOOKUP('Données projet'!$B$10,Paramètres!$A$1:$I$89,3,0)*VLOOKUP('Données projet'!$B$10,Paramètres!$A$1:$I$89,5,0)</f>
        <v>216.78695999999997</v>
      </c>
      <c r="AK99" s="14">
        <f t="shared" si="89"/>
        <v>53.415950516159356</v>
      </c>
      <c r="AL99" s="22">
        <f t="shared" si="58"/>
        <v>470.60340248231086</v>
      </c>
      <c r="AM99" s="62">
        <f t="shared" si="59"/>
        <v>763.93673581564417</v>
      </c>
      <c r="AN99" s="62">
        <f ca="1">AVERAGE(OFFSET($AM$3,0,0,'Données projet'!$E$10+1,1))-AVERAGE(OFFSET($H$3,0,0,'Données projet'!$E$10+1,1))</f>
        <v>271.76512254565102</v>
      </c>
      <c r="AO99" s="62">
        <f t="shared" si="90"/>
        <v>99.160986083974535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0.75833333333333219</v>
      </c>
      <c r="BD99" s="13">
        <f>IF('Données projet'!$A$88&gt;35,BD98+BC99-BL98,IF(A99&lt;'Données projet'!$A$88,$BA$205^A99,IF(A99='Données projet'!$A$88,'Données projet'!$B$88,BD98+BC99-BL98)))</f>
        <v>57.633333333333333</v>
      </c>
      <c r="BE99" s="14">
        <f>BD99*VLOOKUP('Données projet'!$B$11,Paramètres!$A$1:$I$89,3,0)*VLOOKUP('Données projet'!$B$11,Paramètres!$A$1:$I$89,5,0)</f>
        <v>66.393599999999992</v>
      </c>
      <c r="BF99" s="14">
        <f t="shared" si="91"/>
        <v>18.775122997078526</v>
      </c>
      <c r="BG99" s="22">
        <f t="shared" si="61"/>
        <v>148.33552588657841</v>
      </c>
      <c r="BH99" s="62">
        <f t="shared" si="62"/>
        <v>441.66885921991172</v>
      </c>
      <c r="BI99" s="62">
        <f ca="1">AVERAGE(OFFSET($BH$3,0,0,'Données projet'!$E$11+1,1))-AVERAGE(OFFSET($H$3,0,0,'Données projet'!$E$11+1,1))</f>
        <v>43.16958872930951</v>
      </c>
      <c r="BJ99" s="62">
        <f t="shared" si="92"/>
        <v>69.202870643733547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-3.3253400033572693E-14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49.695493809293282</v>
      </c>
      <c r="CE99" s="62">
        <f t="shared" si="94"/>
        <v>59.252884227831601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43.126200000000068</v>
      </c>
      <c r="D100" s="12">
        <f t="shared" si="86"/>
        <v>12.823582869529575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431.89306074724641</v>
      </c>
      <c r="H100" s="70">
        <f t="shared" si="56"/>
        <v>390.77920516443078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3.0816718909993281</v>
      </c>
      <c r="N100" s="14">
        <f>IF('Données projet'!$A$36&gt;35,N99+M100-V99,IF(A100&lt;'Données projet'!$A$36,$K$205^A100,IF(A100='Données projet'!$A$36,'Données projet'!$B$36,N99+M100-V99)))</f>
        <v>167.92155872807439</v>
      </c>
      <c r="O100" s="14">
        <f>N100*VLOOKUP('Données projet'!$B$9,Paramètres!$A$1:$I$89,3,0)*VLOOKUP('Données projet'!$B$9,Paramètres!$A$1:$I$89,5,0)</f>
        <v>183.37034213105721</v>
      </c>
      <c r="P100" s="14">
        <f t="shared" si="87"/>
        <v>46.07121370122173</v>
      </c>
      <c r="Q100" s="22">
        <f t="shared" si="107"/>
        <v>399.61070974121913</v>
      </c>
      <c r="R100" s="62">
        <f t="shared" si="55"/>
        <v>692.94404307455238</v>
      </c>
      <c r="S100" s="62">
        <f ca="1">AVERAGE(OFFSET($R$3,0,0,'Données projet'!$E$9+1,1))-AVERAGE(OFFSET($H$3,0,0,'Données projet'!$E$9+1,1))</f>
        <v>308.00850473946429</v>
      </c>
      <c r="T100" s="62">
        <f t="shared" si="88"/>
        <v>70.709140667951715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3.4</v>
      </c>
      <c r="AI100" s="14">
        <f>IF('Données projet'!$A$62&gt;35,AI99+AH100-AQ99,IF(A100&lt;'Données projet'!$A$62,$AF$205^A100,IF(A100='Données projet'!$A$62,'Données projet'!$B$62,AI99+AH100-AQ99)))</f>
        <v>204.8</v>
      </c>
      <c r="AJ100" s="14">
        <f>AI100*VLOOKUP('Données projet'!$B$10,Paramètres!$A$1:$I$89,3,0)*VLOOKUP('Données projet'!$B$10,Paramètres!$A$1:$I$89,5,0)</f>
        <v>220.44671999999997</v>
      </c>
      <c r="AK100" s="14">
        <f t="shared" si="89"/>
        <v>54.211966639941046</v>
      </c>
      <c r="AL100" s="22">
        <f t="shared" si="58"/>
        <v>478.36387923123061</v>
      </c>
      <c r="AM100" s="62">
        <f t="shared" si="59"/>
        <v>771.69721256456387</v>
      </c>
      <c r="AN100" s="62">
        <f ca="1">AVERAGE(OFFSET($AM$3,0,0,'Données projet'!$E$10+1,1))-AVERAGE(OFFSET($H$3,0,0,'Données projet'!$E$10+1,1))</f>
        <v>271.76512254565102</v>
      </c>
      <c r="AO100" s="62">
        <f t="shared" si="90"/>
        <v>99.160986083974535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0.75833333333333219</v>
      </c>
      <c r="BD100" s="13">
        <f>IF('Données projet'!$A$88&gt;35,BD99+BC100-BL99,IF(A100&lt;'Données projet'!$A$88,$BA$205^A100,IF(A100='Données projet'!$A$88,'Données projet'!$B$88,BD99+BC100-BL99)))</f>
        <v>58.391666666666666</v>
      </c>
      <c r="BE100" s="14">
        <f>BD100*VLOOKUP('Données projet'!$B$11,Paramètres!$A$1:$I$89,3,0)*VLOOKUP('Données projet'!$B$11,Paramètres!$A$1:$I$89,5,0)</f>
        <v>67.267199999999988</v>
      </c>
      <c r="BF100" s="14">
        <f t="shared" si="91"/>
        <v>18.993242158132926</v>
      </c>
      <c r="BG100" s="22">
        <f t="shared" si="61"/>
        <v>150.23693675874816</v>
      </c>
      <c r="BH100" s="62">
        <f t="shared" si="62"/>
        <v>443.5702700920815</v>
      </c>
      <c r="BI100" s="62">
        <f ca="1">AVERAGE(OFFSET($BH$3,0,0,'Données projet'!$E$11+1,1))-AVERAGE(OFFSET($H$3,0,0,'Données projet'!$E$11+1,1))</f>
        <v>43.16958872930951</v>
      </c>
      <c r="BJ100" s="62">
        <f t="shared" si="92"/>
        <v>69.202870643733547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-3.3253400033572693E-14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49.695493809293282</v>
      </c>
      <c r="CE100" s="62">
        <f t="shared" si="94"/>
        <v>59.252884227831601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43.570800000000069</v>
      </c>
      <c r="D101" s="12">
        <f t="shared" si="86"/>
        <v>12.940326634618225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436.22624068828151</v>
      </c>
      <c r="H101" s="70">
        <f t="shared" si="56"/>
        <v>391.75687888862683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3.0816718909993281</v>
      </c>
      <c r="N101" s="14">
        <f>IF('Données projet'!$A$36&gt;35,N100+M101-V100,IF(A101&lt;'Données projet'!$A$36,$K$205^A101,IF(A101='Données projet'!$A$36,'Données projet'!$B$36,N100+M101-V100)))</f>
        <v>171.00323061907372</v>
      </c>
      <c r="O101" s="14">
        <f>N101*VLOOKUP('Données projet'!$B$9,Paramètres!$A$1:$I$89,3,0)*VLOOKUP('Données projet'!$B$9,Paramètres!$A$1:$I$89,5,0)</f>
        <v>186.7355278360285</v>
      </c>
      <c r="P101" s="14">
        <f t="shared" si="87"/>
        <v>46.817498049536965</v>
      </c>
      <c r="Q101" s="22">
        <f t="shared" si="107"/>
        <v>406.77152008402646</v>
      </c>
      <c r="R101" s="62">
        <f t="shared" si="55"/>
        <v>700.10485341735978</v>
      </c>
      <c r="S101" s="62">
        <f ca="1">AVERAGE(OFFSET($R$3,0,0,'Données projet'!$E$9+1,1))-AVERAGE(OFFSET($H$3,0,0,'Données projet'!$E$9+1,1))</f>
        <v>308.00850473946429</v>
      </c>
      <c r="T101" s="62">
        <f t="shared" si="88"/>
        <v>70.709140667951715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3.4</v>
      </c>
      <c r="AI101" s="14">
        <f>IF('Données projet'!$A$62&gt;35,AI100+AH101-AQ100,IF(A101&lt;'Données projet'!$A$62,$AF$205^A101,IF(A101='Données projet'!$A$62,'Données projet'!$B$62,AI100+AH101-AQ100)))</f>
        <v>208.20000000000002</v>
      </c>
      <c r="AJ101" s="14">
        <f>AI101*VLOOKUP('Données projet'!$B$10,Paramètres!$A$1:$I$89,3,0)*VLOOKUP('Données projet'!$B$10,Paramètres!$A$1:$I$89,5,0)</f>
        <v>224.10647999999998</v>
      </c>
      <c r="AK101" s="14">
        <f t="shared" si="89"/>
        <v>55.006445935422541</v>
      </c>
      <c r="AL101" s="22">
        <f t="shared" si="58"/>
        <v>486.12167933752761</v>
      </c>
      <c r="AM101" s="62">
        <f t="shared" si="59"/>
        <v>779.45501267086092</v>
      </c>
      <c r="AN101" s="62">
        <f ca="1">AVERAGE(OFFSET($AM$3,0,0,'Données projet'!$E$10+1,1))-AVERAGE(OFFSET($H$3,0,0,'Données projet'!$E$10+1,1))</f>
        <v>271.76512254565102</v>
      </c>
      <c r="AO101" s="62">
        <f t="shared" si="90"/>
        <v>99.160986083974535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0.75833333333333219</v>
      </c>
      <c r="BD101" s="13">
        <f>IF('Données projet'!$A$88&gt;35,BD100+BC101-BL100,IF(A101&lt;'Données projet'!$A$88,$BA$205^A101,IF(A101='Données projet'!$A$88,'Données projet'!$B$88,BD100+BC101-BL100)))</f>
        <v>59.15</v>
      </c>
      <c r="BE101" s="14">
        <f>BD101*VLOOKUP('Données projet'!$B$11,Paramètres!$A$1:$I$89,3,0)*VLOOKUP('Données projet'!$B$11,Paramètres!$A$1:$I$89,5,0)</f>
        <v>68.140799999999999</v>
      </c>
      <c r="BF101" s="14">
        <f t="shared" si="91"/>
        <v>19.21103183030446</v>
      </c>
      <c r="BG101" s="22">
        <f t="shared" si="61"/>
        <v>152.13777377111361</v>
      </c>
      <c r="BH101" s="62">
        <f t="shared" si="62"/>
        <v>445.4711071044469</v>
      </c>
      <c r="BI101" s="62">
        <f ca="1">AVERAGE(OFFSET($BH$3,0,0,'Données projet'!$E$11+1,1))-AVERAGE(OFFSET($H$3,0,0,'Données projet'!$E$11+1,1))</f>
        <v>43.16958872930951</v>
      </c>
      <c r="BJ101" s="62">
        <f t="shared" si="92"/>
        <v>69.202870643733547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-3.3253400033572693E-14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49.695493809293282</v>
      </c>
      <c r="CE101" s="62">
        <f t="shared" si="94"/>
        <v>59.252884227831601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44.015400000000071</v>
      </c>
      <c r="D102" s="12">
        <f t="shared" si="86"/>
        <v>13.056931816477027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440.55835086403368</v>
      </c>
      <c r="H102" s="70">
        <f t="shared" si="56"/>
        <v>392.73431124703092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3.0816718909993281</v>
      </c>
      <c r="N102" s="14">
        <f>IF('Données projet'!$A$36&gt;35,N101+M102-V101,IF(A102&lt;'Données projet'!$A$36,$K$205^A102,IF(A102='Données projet'!$A$36,'Données projet'!$B$36,N101+M102-V101)))</f>
        <v>174.08490251007305</v>
      </c>
      <c r="O102" s="14">
        <f>N102*VLOOKUP('Données projet'!$B$9,Paramètres!$A$1:$I$89,3,0)*VLOOKUP('Données projet'!$B$9,Paramètres!$A$1:$I$89,5,0)</f>
        <v>190.10071354099978</v>
      </c>
      <c r="P102" s="14">
        <f t="shared" si="87"/>
        <v>47.562218498406459</v>
      </c>
      <c r="Q102" s="22">
        <f t="shared" si="107"/>
        <v>413.92960663529919</v>
      </c>
      <c r="R102" s="62">
        <f t="shared" si="55"/>
        <v>707.26293996863251</v>
      </c>
      <c r="S102" s="62">
        <f ca="1">AVERAGE(OFFSET($R$3,0,0,'Données projet'!$E$9+1,1))-AVERAGE(OFFSET($H$3,0,0,'Données projet'!$E$9+1,1))</f>
        <v>308.00850473946429</v>
      </c>
      <c r="T102" s="62">
        <f t="shared" si="88"/>
        <v>70.709140667951715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3.4</v>
      </c>
      <c r="AI102" s="14">
        <f>IF('Données projet'!$A$62&gt;35,AI101+AH102-AQ101,IF(A102&lt;'Données projet'!$A$62,$AF$205^A102,IF(A102='Données projet'!$A$62,'Données projet'!$B$62,AI101+AH102-AQ101)))</f>
        <v>211.60000000000002</v>
      </c>
      <c r="AJ102" s="14">
        <f>AI102*VLOOKUP('Données projet'!$B$10,Paramètres!$A$1:$I$89,3,0)*VLOOKUP('Données projet'!$B$10,Paramètres!$A$1:$I$89,5,0)</f>
        <v>227.76623999999998</v>
      </c>
      <c r="AK102" s="14">
        <f t="shared" si="89"/>
        <v>55.799416396900632</v>
      </c>
      <c r="AL102" s="22">
        <f t="shared" si="58"/>
        <v>493.87685155793525</v>
      </c>
      <c r="AM102" s="62">
        <f t="shared" si="59"/>
        <v>787.21018489126857</v>
      </c>
      <c r="AN102" s="62">
        <f ca="1">AVERAGE(OFFSET($AM$3,0,0,'Données projet'!$E$10+1,1))-AVERAGE(OFFSET($H$3,0,0,'Données projet'!$E$10+1,1))</f>
        <v>271.76512254565102</v>
      </c>
      <c r="AO102" s="62">
        <f t="shared" si="90"/>
        <v>99.160986083974535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0.75833333333333219</v>
      </c>
      <c r="BD102" s="13">
        <f>IF('Données projet'!$A$88&gt;35,BD101+BC102-BL101,IF(A102&lt;'Données projet'!$A$88,$BA$205^A102,IF(A102='Données projet'!$A$88,'Données projet'!$B$88,BD101+BC102-BL101)))</f>
        <v>59.908333333333331</v>
      </c>
      <c r="BE102" s="14">
        <f>BD102*VLOOKUP('Données projet'!$B$11,Paramètres!$A$1:$I$89,3,0)*VLOOKUP('Données projet'!$B$11,Paramètres!$A$1:$I$89,5,0)</f>
        <v>69.014399999999995</v>
      </c>
      <c r="BF102" s="14">
        <f t="shared" si="91"/>
        <v>19.428496726251037</v>
      </c>
      <c r="BG102" s="22">
        <f t="shared" si="61"/>
        <v>154.03804513155387</v>
      </c>
      <c r="BH102" s="62">
        <f t="shared" si="62"/>
        <v>447.37137846488719</v>
      </c>
      <c r="BI102" s="62">
        <f ca="1">AVERAGE(OFFSET($BH$3,0,0,'Données projet'!$E$11+1,1))-AVERAGE(OFFSET($H$3,0,0,'Données projet'!$E$11+1,1))</f>
        <v>43.16958872930951</v>
      </c>
      <c r="BJ102" s="62">
        <f t="shared" si="92"/>
        <v>69.202870643733547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-3.3253400033572693E-14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49.695493809293282</v>
      </c>
      <c r="CE102" s="62">
        <f t="shared" si="94"/>
        <v>59.252884227831601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44.460000000000072</v>
      </c>
      <c r="D103" s="12">
        <f t="shared" si="86"/>
        <v>13.17339997701187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444.88940333132024</v>
      </c>
      <c r="H103" s="70">
        <f t="shared" si="56"/>
        <v>393.71150495996244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3.0816718909993281</v>
      </c>
      <c r="N103" s="14">
        <f>IF('Données projet'!$A$36&gt;35,N102+M103-V102,IF(A103&lt;'Données projet'!$A$36,$K$205^A103,IF(A103='Données projet'!$A$36,'Données projet'!$B$36,N102+M103-V102)))</f>
        <v>177.16657440107238</v>
      </c>
      <c r="O103" s="14">
        <f>N103*VLOOKUP('Données projet'!$B$9,Paramètres!$A$1:$I$89,3,0)*VLOOKUP('Données projet'!$B$9,Paramètres!$A$1:$I$89,5,0)</f>
        <v>193.46589924597103</v>
      </c>
      <c r="P103" s="14">
        <f t="shared" si="87"/>
        <v>48.3054059260541</v>
      </c>
      <c r="Q103" s="22">
        <f t="shared" si="107"/>
        <v>421.0850231746104</v>
      </c>
      <c r="R103" s="62">
        <f t="shared" si="55"/>
        <v>714.41835650794371</v>
      </c>
      <c r="S103" s="62">
        <f ca="1">AVERAGE(OFFSET($R$3,0,0,'Données projet'!$E$9+1,1))-AVERAGE(OFFSET($H$3,0,0,'Données projet'!$E$9+1,1))</f>
        <v>308.00850473946429</v>
      </c>
      <c r="T103" s="62">
        <f t="shared" si="88"/>
        <v>70.709140667951715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3.4</v>
      </c>
      <c r="AI103" s="14">
        <f>IF('Données projet'!$A$62&gt;35,AI102+AH103-AQ102,IF(A103&lt;'Données projet'!$A$62,$AF$205^A103,IF(A103='Données projet'!$A$62,'Données projet'!$B$62,AI102+AH103-AQ102)))</f>
        <v>215.00000000000003</v>
      </c>
      <c r="AJ103" s="14">
        <f>AI103*VLOOKUP('Données projet'!$B$10,Paramètres!$A$1:$I$89,3,0)*VLOOKUP('Données projet'!$B$10,Paramètres!$A$1:$I$89,5,0)</f>
        <v>231.42599999999999</v>
      </c>
      <c r="AK103" s="14">
        <f t="shared" si="89"/>
        <v>56.590905067453221</v>
      </c>
      <c r="AL103" s="22">
        <f t="shared" si="58"/>
        <v>501.62944299248096</v>
      </c>
      <c r="AM103" s="62">
        <f t="shared" si="59"/>
        <v>794.96277632581427</v>
      </c>
      <c r="AN103" s="62">
        <f ca="1">AVERAGE(OFFSET($AM$3,0,0,'Données projet'!$E$10+1,1))-AVERAGE(OFFSET($H$3,0,0,'Données projet'!$E$10+1,1))</f>
        <v>271.76512254565102</v>
      </c>
      <c r="AO103" s="62">
        <f t="shared" si="90"/>
        <v>99.160986083974535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60.666666666666664</v>
      </c>
      <c r="BB103" s="13">
        <f>VLOOKUP(A103,'Données projet'!$A$87:$I$107,9,0)</f>
        <v>0.75833333333333219</v>
      </c>
      <c r="BC103" s="13">
        <f t="array" ref="BC103">INDEX(BB:BB,MIN(IF(ISNUMBER(BB103:BB299),ROW(BB103:BB299),"")))</f>
        <v>0.75833333333333219</v>
      </c>
      <c r="BD103" s="13">
        <f>IF('Données projet'!$A$88&gt;35,BD102+BC103-BL102,IF(A103&lt;'Données projet'!$A$88,$BA$205^A103,IF(A103='Données projet'!$A$88,'Données projet'!$B$88,BD102+BC103-BL102)))</f>
        <v>60.666666666666664</v>
      </c>
      <c r="BE103" s="14">
        <f>BD103*VLOOKUP('Données projet'!$B$11,Paramètres!$A$1:$I$89,3,0)*VLOOKUP('Données projet'!$B$11,Paramètres!$A$1:$I$89,5,0)</f>
        <v>69.887999999999991</v>
      </c>
      <c r="BF103" s="14">
        <f t="shared" si="91"/>
        <v>19.645641432461961</v>
      </c>
      <c r="BG103" s="22">
        <f t="shared" si="61"/>
        <v>155.93775882820455</v>
      </c>
      <c r="BH103" s="62">
        <f t="shared" si="62"/>
        <v>449.27109216153787</v>
      </c>
      <c r="BI103" s="62">
        <f ca="1">AVERAGE(OFFSET($BH$3,0,0,'Données projet'!$E$11+1,1))-AVERAGE(OFFSET($H$3,0,0,'Données projet'!$E$11+1,1))</f>
        <v>43.16958872930951</v>
      </c>
      <c r="BJ103" s="62">
        <f t="shared" si="92"/>
        <v>69.202870643733547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6.083333333333333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-3.3253400033572693E-14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49.695493809293282</v>
      </c>
      <c r="CE103" s="62">
        <f t="shared" si="94"/>
        <v>59.252884227831601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44.904600000000073</v>
      </c>
      <c r="D104" s="12">
        <f t="shared" si="86"/>
        <v>13.289732645090075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449.21940989192399</v>
      </c>
      <c r="H104" s="70">
        <f t="shared" si="56"/>
        <v>394.68846269019866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3.0816718909993281</v>
      </c>
      <c r="N104" s="14">
        <f>IF('Données projet'!$A$36&gt;35,N103+M104-V103,IF(A104&lt;'Données projet'!$A$36,$K$205^A104,IF(A104='Données projet'!$A$36,'Données projet'!$B$36,N103+M104-V103)))</f>
        <v>180.24824629207171</v>
      </c>
      <c r="O104" s="14">
        <f>N104*VLOOKUP('Données projet'!$B$9,Paramètres!$A$1:$I$89,3,0)*VLOOKUP('Données projet'!$B$9,Paramètres!$A$1:$I$89,5,0)</f>
        <v>196.83108495094231</v>
      </c>
      <c r="P104" s="14">
        <f t="shared" si="87"/>
        <v>49.047090074959485</v>
      </c>
      <c r="Q104" s="22">
        <f t="shared" si="107"/>
        <v>428.23782150344556</v>
      </c>
      <c r="R104" s="62">
        <f t="shared" si="55"/>
        <v>721.57115483677887</v>
      </c>
      <c r="S104" s="62">
        <f ca="1">AVERAGE(OFFSET($R$3,0,0,'Données projet'!$E$9+1,1))-AVERAGE(OFFSET($H$3,0,0,'Données projet'!$E$9+1,1))</f>
        <v>308.00850473946429</v>
      </c>
      <c r="T104" s="62">
        <f t="shared" si="88"/>
        <v>70.709140667951715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218.40000000000003</v>
      </c>
      <c r="AJ104" s="14">
        <f>AI104*VLOOKUP('Données projet'!$B$10,Paramètres!$A$1:$I$89,3,0)*VLOOKUP('Données projet'!$B$10,Paramètres!$A$1:$I$89,5,0)</f>
        <v>235.08575999999999</v>
      </c>
      <c r="AK104" s="14">
        <f t="shared" si="89"/>
        <v>57.380938085783008</v>
      </c>
      <c r="AL104" s="22">
        <f t="shared" si="58"/>
        <v>509.37949916607204</v>
      </c>
      <c r="AM104" s="62">
        <f t="shared" si="59"/>
        <v>802.71283249940529</v>
      </c>
      <c r="AN104" s="62">
        <f ca="1">AVERAGE(OFFSET($AM$3,0,0,'Données projet'!$E$10+1,1))-AVERAGE(OFFSET($H$3,0,0,'Données projet'!$E$10+1,1))</f>
        <v>271.76512254565102</v>
      </c>
      <c r="AO104" s="62">
        <f t="shared" si="90"/>
        <v>99.160986083974535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0.68750000000000067</v>
      </c>
      <c r="BD104" s="13">
        <f>IF('Données projet'!$A$88&gt;35,BD103+BC104-BL103,IF(A104&lt;'Données projet'!$A$88,$BA$205^A104,IF(A104='Données projet'!$A$88,'Données projet'!$B$88,BD103+BC104-BL103)))</f>
        <v>55.270833333333329</v>
      </c>
      <c r="BE104" s="14">
        <f>BD104*VLOOKUP('Données projet'!$B$11,Paramètres!$A$1:$I$89,3,0)*VLOOKUP('Données projet'!$B$11,Paramètres!$A$1:$I$89,5,0)</f>
        <v>63.67199999999999</v>
      </c>
      <c r="BF104" s="14">
        <f t="shared" si="91"/>
        <v>18.093431982153447</v>
      </c>
      <c r="BG104" s="22">
        <f t="shared" si="61"/>
        <v>142.40812736891726</v>
      </c>
      <c r="BH104" s="62">
        <f t="shared" si="62"/>
        <v>435.74146070225061</v>
      </c>
      <c r="BI104" s="62">
        <f ca="1">AVERAGE(OFFSET($BH$3,0,0,'Données projet'!$E$11+1,1))-AVERAGE(OFFSET($H$3,0,0,'Données projet'!$E$11+1,1))</f>
        <v>43.16958872930951</v>
      </c>
      <c r="BJ104" s="62">
        <f t="shared" si="92"/>
        <v>69.202870643733547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-3.3253400033572693E-14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49.695493809293282</v>
      </c>
      <c r="CE104" s="62">
        <f t="shared" si="94"/>
        <v>59.252884227831601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45.349200000000074</v>
      </c>
      <c r="D105" s="12">
        <f t="shared" si="86"/>
        <v>13.405931317559252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453.54838210045796</v>
      </c>
      <c r="H105" s="70">
        <f t="shared" si="56"/>
        <v>395.66518704474913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3.0816718909993281</v>
      </c>
      <c r="N105" s="14">
        <f>IF('Données projet'!$A$36&gt;35,N104+M105-V104,IF(A105&lt;'Données projet'!$A$36,$K$205^A105,IF(A105='Données projet'!$A$36,'Données projet'!$B$36,N104+M105-V104)))</f>
        <v>183.32991818307104</v>
      </c>
      <c r="O105" s="14">
        <f>N105*VLOOKUP('Données projet'!$B$9,Paramètres!$A$1:$I$89,3,0)*VLOOKUP('Données projet'!$B$9,Paramètres!$A$1:$I$89,5,0)</f>
        <v>200.19627065591357</v>
      </c>
      <c r="P105" s="14">
        <f t="shared" si="87"/>
        <v>49.787299612322336</v>
      </c>
      <c r="Q105" s="22">
        <f t="shared" si="107"/>
        <v>435.38805155051085</v>
      </c>
      <c r="R105" s="62">
        <f t="shared" si="55"/>
        <v>728.72138488384417</v>
      </c>
      <c r="S105" s="62">
        <f ca="1">AVERAGE(OFFSET($R$3,0,0,'Données projet'!$E$9+1,1))-AVERAGE(OFFSET($H$3,0,0,'Données projet'!$E$9+1,1))</f>
        <v>308.00850473946429</v>
      </c>
      <c r="T105" s="62">
        <f t="shared" si="88"/>
        <v>70.709140667951715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221.80000000000004</v>
      </c>
      <c r="AJ105" s="14">
        <f>AI105*VLOOKUP('Données projet'!$B$10,Paramètres!$A$1:$I$89,3,0)*VLOOKUP('Données projet'!$B$10,Paramètres!$A$1:$I$89,5,0)</f>
        <v>238.74552</v>
      </c>
      <c r="AK105" s="14">
        <f t="shared" si="89"/>
        <v>58.169540730060781</v>
      </c>
      <c r="AL105" s="22">
        <f t="shared" si="58"/>
        <v>517.12706410485578</v>
      </c>
      <c r="AM105" s="62">
        <f t="shared" si="59"/>
        <v>810.46039743818915</v>
      </c>
      <c r="AN105" s="62">
        <f ca="1">AVERAGE(OFFSET($AM$3,0,0,'Données projet'!$E$10+1,1))-AVERAGE(OFFSET($H$3,0,0,'Données projet'!$E$10+1,1))</f>
        <v>271.76512254565102</v>
      </c>
      <c r="AO105" s="62">
        <f t="shared" si="90"/>
        <v>99.160986083974535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0.68750000000000067</v>
      </c>
      <c r="BD105" s="13">
        <f>IF('Données projet'!$A$88&gt;35,BD104+BC105-BL104,IF(A105&lt;'Données projet'!$A$88,$BA$205^A105,IF(A105='Données projet'!$A$88,'Données projet'!$B$88,BD104+BC105-BL104)))</f>
        <v>55.958333333333329</v>
      </c>
      <c r="BE105" s="14">
        <f>BD105*VLOOKUP('Données projet'!$B$11,Paramètres!$A$1:$I$89,3,0)*VLOOKUP('Données projet'!$B$11,Paramètres!$A$1:$I$89,5,0)</f>
        <v>64.463999999999984</v>
      </c>
      <c r="BF105" s="14">
        <f t="shared" si="91"/>
        <v>18.292151388542489</v>
      </c>
      <c r="BG105" s="22">
        <f t="shared" si="61"/>
        <v>144.13363033504481</v>
      </c>
      <c r="BH105" s="62">
        <f t="shared" si="62"/>
        <v>437.46696366837813</v>
      </c>
      <c r="BI105" s="62">
        <f ca="1">AVERAGE(OFFSET($BH$3,0,0,'Données projet'!$E$11+1,1))-AVERAGE(OFFSET($H$3,0,0,'Données projet'!$E$11+1,1))</f>
        <v>43.16958872930951</v>
      </c>
      <c r="BJ105" s="62">
        <f t="shared" si="92"/>
        <v>69.202870643733547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-3.3253400033572693E-14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49.695493809293282</v>
      </c>
      <c r="CE105" s="62">
        <f t="shared" si="94"/>
        <v>59.252884227831601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45.793800000000076</v>
      </c>
      <c r="D106" s="12">
        <f t="shared" si="86"/>
        <v>13.521997460225155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457.87633127191401</v>
      </c>
      <c r="H106" s="70">
        <f t="shared" si="56"/>
        <v>396.64168057655894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3.0816718909993281</v>
      </c>
      <c r="N106" s="14">
        <f>IF('Données projet'!$A$36&gt;35,N105+M106-V105,IF(A106&lt;'Données projet'!$A$36,$K$205^A106,IF(A106='Données projet'!$A$36,'Données projet'!$B$36,N105+M106-V105)))</f>
        <v>186.41159007407038</v>
      </c>
      <c r="O106" s="14">
        <f>N106*VLOOKUP('Données projet'!$B$9,Paramètres!$A$1:$I$89,3,0)*VLOOKUP('Données projet'!$B$9,Paramètres!$A$1:$I$89,5,0)</f>
        <v>203.56145636088488</v>
      </c>
      <c r="P106" s="14">
        <f t="shared" si="87"/>
        <v>50.526062186346387</v>
      </c>
      <c r="Q106" s="22">
        <f t="shared" si="107"/>
        <v>442.5357614697611</v>
      </c>
      <c r="R106" s="62">
        <f t="shared" si="55"/>
        <v>735.86909480309441</v>
      </c>
      <c r="S106" s="62">
        <f ca="1">AVERAGE(OFFSET($R$3,0,0,'Données projet'!$E$9+1,1))-AVERAGE(OFFSET($H$3,0,0,'Données projet'!$E$9+1,1))</f>
        <v>308.00850473946429</v>
      </c>
      <c r="T106" s="62">
        <f t="shared" si="88"/>
        <v>70.709140667951715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225.20000000000005</v>
      </c>
      <c r="AJ106" s="14">
        <f>AI106*VLOOKUP('Données projet'!$B$10,Paramètres!$A$1:$I$89,3,0)*VLOOKUP('Données projet'!$B$10,Paramètres!$A$1:$I$89,5,0)</f>
        <v>242.40528</v>
      </c>
      <c r="AK106" s="14">
        <f t="shared" si="89"/>
        <v>58.956737459003826</v>
      </c>
      <c r="AL106" s="22">
        <f t="shared" si="58"/>
        <v>524.87218040776497</v>
      </c>
      <c r="AM106" s="62">
        <f t="shared" si="59"/>
        <v>818.20551374109823</v>
      </c>
      <c r="AN106" s="62">
        <f ca="1">AVERAGE(OFFSET($AM$3,0,0,'Données projet'!$E$10+1,1))-AVERAGE(OFFSET($H$3,0,0,'Données projet'!$E$10+1,1))</f>
        <v>271.76512254565102</v>
      </c>
      <c r="AO106" s="62">
        <f t="shared" si="90"/>
        <v>99.160986083974535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0.68750000000000067</v>
      </c>
      <c r="BD106" s="13">
        <f>IF('Données projet'!$A$88&gt;35,BD105+BC106-BL105,IF(A106&lt;'Données projet'!$A$88,$BA$205^A106,IF(A106='Données projet'!$A$88,'Données projet'!$B$88,BD105+BC106-BL105)))</f>
        <v>56.645833333333329</v>
      </c>
      <c r="BE106" s="14">
        <f>BD106*VLOOKUP('Données projet'!$B$11,Paramètres!$A$1:$I$89,3,0)*VLOOKUP('Données projet'!$B$11,Paramètres!$A$1:$I$89,5,0)</f>
        <v>65.255999999999986</v>
      </c>
      <c r="BF106" s="14">
        <f t="shared" si="91"/>
        <v>18.49058680545604</v>
      </c>
      <c r="BG106" s="22">
        <f t="shared" si="61"/>
        <v>145.8586386861692</v>
      </c>
      <c r="BH106" s="62">
        <f t="shared" si="62"/>
        <v>439.19197201950249</v>
      </c>
      <c r="BI106" s="62">
        <f ca="1">AVERAGE(OFFSET($BH$3,0,0,'Données projet'!$E$11+1,1))-AVERAGE(OFFSET($H$3,0,0,'Données projet'!$E$11+1,1))</f>
        <v>43.16958872930951</v>
      </c>
      <c r="BJ106" s="62">
        <f t="shared" si="92"/>
        <v>69.202870643733547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-3.3253400033572693E-14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49.695493809293282</v>
      </c>
      <c r="CE106" s="62">
        <f t="shared" si="94"/>
        <v>59.252884227831601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46.238400000000077</v>
      </c>
      <c r="D107" s="12">
        <f t="shared" si="86"/>
        <v>13.637932508790378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462.2032684889088</v>
      </c>
      <c r="H107" s="70">
        <f t="shared" si="56"/>
        <v>397.61794578614337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3.0816718909993281</v>
      </c>
      <c r="N107" s="14">
        <f>IF('Données projet'!$A$36&gt;35,N106+M107-V106,IF(A107&lt;'Données projet'!$A$36,$K$205^A107,IF(A107='Données projet'!$A$36,'Données projet'!$B$36,N106+M107-V106)))</f>
        <v>189.49326196506971</v>
      </c>
      <c r="O107" s="14">
        <f>N107*VLOOKUP('Données projet'!$B$9,Paramètres!$A$1:$I$89,3,0)*VLOOKUP('Données projet'!$B$9,Paramètres!$A$1:$I$89,5,0)</f>
        <v>206.9266420658561</v>
      </c>
      <c r="P107" s="14">
        <f t="shared" si="87"/>
        <v>51.263404478696167</v>
      </c>
      <c r="Q107" s="22">
        <f t="shared" si="107"/>
        <v>449.68099773176186</v>
      </c>
      <c r="R107" s="62">
        <f t="shared" si="55"/>
        <v>743.01433106509512</v>
      </c>
      <c r="S107" s="62">
        <f ca="1">AVERAGE(OFFSET($R$3,0,0,'Données projet'!$E$9+1,1))-AVERAGE(OFFSET($H$3,0,0,'Données projet'!$E$9+1,1))</f>
        <v>308.00850473946429</v>
      </c>
      <c r="T107" s="62">
        <f t="shared" si="88"/>
        <v>70.709140667951715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228.60000000000005</v>
      </c>
      <c r="AJ107" s="14">
        <f>AI107*VLOOKUP('Données projet'!$B$10,Paramètres!$A$1:$I$89,3,0)*VLOOKUP('Données projet'!$B$10,Paramètres!$A$1:$I$89,5,0)</f>
        <v>246.06504000000007</v>
      </c>
      <c r="AK107" s="14">
        <f t="shared" si="89"/>
        <v>59.742551950404049</v>
      </c>
      <c r="AL107" s="22">
        <f t="shared" si="58"/>
        <v>532.61488931362055</v>
      </c>
      <c r="AM107" s="62">
        <f t="shared" si="59"/>
        <v>825.94822264695381</v>
      </c>
      <c r="AN107" s="62">
        <f ca="1">AVERAGE(OFFSET($AM$3,0,0,'Données projet'!$E$10+1,1))-AVERAGE(OFFSET($H$3,0,0,'Données projet'!$E$10+1,1))</f>
        <v>271.76512254565102</v>
      </c>
      <c r="AO107" s="62">
        <f t="shared" si="90"/>
        <v>99.160986083974535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0.68750000000000067</v>
      </c>
      <c r="BD107" s="13">
        <f>IF('Données projet'!$A$88&gt;35,BD106+BC107-BL106,IF(A107&lt;'Données projet'!$A$88,$BA$205^A107,IF(A107='Données projet'!$A$88,'Données projet'!$B$88,BD106+BC107-BL106)))</f>
        <v>57.333333333333329</v>
      </c>
      <c r="BE107" s="14">
        <f>BD107*VLOOKUP('Données projet'!$B$11,Paramètres!$A$1:$I$89,3,0)*VLOOKUP('Données projet'!$B$11,Paramètres!$A$1:$I$89,5,0)</f>
        <v>66.047999999999988</v>
      </c>
      <c r="BF107" s="14">
        <f t="shared" si="91"/>
        <v>18.688742078294052</v>
      </c>
      <c r="BG107" s="22">
        <f t="shared" si="61"/>
        <v>147.58315911969544</v>
      </c>
      <c r="BH107" s="62">
        <f t="shared" si="62"/>
        <v>440.91649245302875</v>
      </c>
      <c r="BI107" s="62">
        <f ca="1">AVERAGE(OFFSET($BH$3,0,0,'Données projet'!$E$11+1,1))-AVERAGE(OFFSET($H$3,0,0,'Données projet'!$E$11+1,1))</f>
        <v>43.16958872930951</v>
      </c>
      <c r="BJ107" s="62">
        <f t="shared" si="92"/>
        <v>69.202870643733547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-3.3253400033572693E-14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49.695493809293282</v>
      </c>
      <c r="CE107" s="62">
        <f t="shared" si="94"/>
        <v>59.252884227831601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46.683000000000078</v>
      </c>
      <c r="D108" s="12">
        <f t="shared" si="86"/>
        <v>13.75373786975598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466.52920460864328</v>
      </c>
      <c r="H108" s="70">
        <f t="shared" si="56"/>
        <v>398.59398512315846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3.0816718909993281</v>
      </c>
      <c r="N108" s="14">
        <f>IF('Données projet'!$A$36&gt;35,N107+M108-V107,IF(A108&lt;'Données projet'!$A$36,$K$205^A108,IF(A108='Données projet'!$A$36,'Données projet'!$B$36,N107+M108-V107)))</f>
        <v>192.57493385606904</v>
      </c>
      <c r="O108" s="14">
        <f>N108*VLOOKUP('Données projet'!$B$9,Paramètres!$A$1:$I$89,3,0)*VLOOKUP('Données projet'!$B$9,Paramètres!$A$1:$I$89,5,0)</f>
        <v>210.29182777082735</v>
      </c>
      <c r="P108" s="14">
        <f t="shared" si="87"/>
        <v>51.999352253444506</v>
      </c>
      <c r="Q108" s="22">
        <f t="shared" si="107"/>
        <v>456.8238052089402</v>
      </c>
      <c r="R108" s="62">
        <f t="shared" si="55"/>
        <v>750.15713854227351</v>
      </c>
      <c r="S108" s="62">
        <f ca="1">AVERAGE(OFFSET($R$3,0,0,'Données projet'!$E$9+1,1))-AVERAGE(OFFSET($H$3,0,0,'Données projet'!$E$9+1,1))</f>
        <v>308.00850473946429</v>
      </c>
      <c r="T108" s="62">
        <f t="shared" si="88"/>
        <v>70.709140667951715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232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232.00000000000006</v>
      </c>
      <c r="AJ108" s="14">
        <f>AI108*VLOOKUP('Données projet'!$B$10,Paramètres!$A$1:$I$89,3,0)*VLOOKUP('Données projet'!$B$10,Paramètres!$A$1:$I$89,5,0)</f>
        <v>249.72480000000007</v>
      </c>
      <c r="AK108" s="14">
        <f t="shared" si="89"/>
        <v>60.527007137298142</v>
      </c>
      <c r="AL108" s="22">
        <f t="shared" si="58"/>
        <v>540.35523076412767</v>
      </c>
      <c r="AM108" s="62">
        <f t="shared" si="59"/>
        <v>833.68856409746104</v>
      </c>
      <c r="AN108" s="62">
        <f ca="1">AVERAGE(OFFSET($AM$3,0,0,'Données projet'!$E$10+1,1))-AVERAGE(OFFSET($H$3,0,0,'Données projet'!$E$10+1,1))</f>
        <v>271.76512254565102</v>
      </c>
      <c r="AO108" s="62">
        <f t="shared" si="90"/>
        <v>99.160986083974535</v>
      </c>
      <c r="AP108" s="16">
        <f>IF(ISNA(VLOOKUP(A108,'Données projet'!$A$61:$I$81,3,0)),0,VLOOKUP(A108,'Données projet'!$A$61:$I$81,3,0))</f>
        <v>8</v>
      </c>
      <c r="AQ108" s="16">
        <f>IF(ISNA(VLOOKUP(A108,'Données projet'!$A$61:$I$81,4,0)),0,VLOOKUP(A108,'Données projet'!$A$61:$I$81,4,0))</f>
        <v>28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0.68750000000000067</v>
      </c>
      <c r="BD108" s="13">
        <f>IF('Données projet'!$A$88&gt;35,BD107+BC108-BL107,IF(A108&lt;'Données projet'!$A$88,$BA$205^A108,IF(A108='Données projet'!$A$88,'Données projet'!$B$88,BD107+BC108-BL107)))</f>
        <v>58.020833333333329</v>
      </c>
      <c r="BE108" s="14">
        <f>BD108*VLOOKUP('Données projet'!$B$11,Paramètres!$A$1:$I$89,3,0)*VLOOKUP('Données projet'!$B$11,Paramètres!$A$1:$I$89,5,0)</f>
        <v>66.839999999999989</v>
      </c>
      <c r="BF108" s="14">
        <f t="shared" si="91"/>
        <v>18.886620954927665</v>
      </c>
      <c r="BG108" s="22">
        <f t="shared" si="61"/>
        <v>149.30719816316565</v>
      </c>
      <c r="BH108" s="62">
        <f t="shared" si="62"/>
        <v>442.64053149649897</v>
      </c>
      <c r="BI108" s="62">
        <f ca="1">AVERAGE(OFFSET($BH$3,0,0,'Données projet'!$E$11+1,1))-AVERAGE(OFFSET($H$3,0,0,'Données projet'!$E$11+1,1))</f>
        <v>43.16958872930951</v>
      </c>
      <c r="BJ108" s="62">
        <f t="shared" si="92"/>
        <v>69.202870643733547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-3.3253400033572693E-14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49.695493809293282</v>
      </c>
      <c r="CE108" s="62">
        <f t="shared" si="94"/>
        <v>59.252884227831601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47.127600000000079</v>
      </c>
      <c r="D109" s="12">
        <f t="shared" si="86"/>
        <v>13.869414921287767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470.85415026959043</v>
      </c>
      <c r="H109" s="70">
        <f t="shared" si="56"/>
        <v>399.56980098790962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3.0816718909993281</v>
      </c>
      <c r="N109" s="14">
        <f>IF('Données projet'!$A$36&gt;35,N108+M109-V108,IF(A109&lt;'Données projet'!$A$36,$K$205^A109,IF(A109='Données projet'!$A$36,'Données projet'!$B$36,N108+M109-V108)))</f>
        <v>195.65660574706837</v>
      </c>
      <c r="O109" s="14">
        <f>N109*VLOOKUP('Données projet'!$B$9,Paramètres!$A$1:$I$89,3,0)*VLOOKUP('Données projet'!$B$9,Paramètres!$A$1:$I$89,5,0)</f>
        <v>213.65701347579866</v>
      </c>
      <c r="P109" s="14">
        <f t="shared" si="87"/>
        <v>52.733930402797888</v>
      </c>
      <c r="Q109" s="22">
        <f t="shared" si="107"/>
        <v>463.96422725522228</v>
      </c>
      <c r="R109" s="62">
        <f t="shared" si="55"/>
        <v>757.2975605885556</v>
      </c>
      <c r="S109" s="62">
        <f ca="1">AVERAGE(OFFSET($R$3,0,0,'Données projet'!$E$9+1,1))-AVERAGE(OFFSET($H$3,0,0,'Données projet'!$E$9+1,1))</f>
        <v>308.00850473946429</v>
      </c>
      <c r="T109" s="62">
        <f t="shared" si="88"/>
        <v>70.709140667951715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207.00000000000006</v>
      </c>
      <c r="AJ109" s="14">
        <f>AI109*VLOOKUP('Données projet'!$B$10,Paramètres!$A$1:$I$89,3,0)*VLOOKUP('Données projet'!$B$10,Paramètres!$A$1:$I$89,5,0)</f>
        <v>222.81480000000008</v>
      </c>
      <c r="AK109" s="14">
        <f t="shared" si="89"/>
        <v>54.726215188137907</v>
      </c>
      <c r="AL109" s="22">
        <f t="shared" si="58"/>
        <v>483.38393478600693</v>
      </c>
      <c r="AM109" s="62">
        <f t="shared" si="59"/>
        <v>776.71726811934025</v>
      </c>
      <c r="AN109" s="62">
        <f ca="1">AVERAGE(OFFSET($AM$3,0,0,'Données projet'!$E$10+1,1))-AVERAGE(OFFSET($H$3,0,0,'Données projet'!$E$10+1,1))</f>
        <v>271.76512254565102</v>
      </c>
      <c r="AO109" s="62">
        <f t="shared" si="90"/>
        <v>99.160986083974535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0.68750000000000067</v>
      </c>
      <c r="BD109" s="13">
        <f>IF('Données projet'!$A$88&gt;35,BD108+BC109-BL108,IF(A109&lt;'Données projet'!$A$88,$BA$205^A109,IF(A109='Données projet'!$A$88,'Données projet'!$B$88,BD108+BC109-BL108)))</f>
        <v>58.708333333333329</v>
      </c>
      <c r="BE109" s="14">
        <f>BD109*VLOOKUP('Données projet'!$B$11,Paramètres!$A$1:$I$89,3,0)*VLOOKUP('Données projet'!$B$11,Paramètres!$A$1:$I$89,5,0)</f>
        <v>67.631999999999991</v>
      </c>
      <c r="BF109" s="14">
        <f t="shared" si="91"/>
        <v>19.084227089298597</v>
      </c>
      <c r="BG109" s="22">
        <f t="shared" si="61"/>
        <v>151.03076218052834</v>
      </c>
      <c r="BH109" s="62">
        <f t="shared" si="62"/>
        <v>444.36409551386168</v>
      </c>
      <c r="BI109" s="62">
        <f ca="1">AVERAGE(OFFSET($BH$3,0,0,'Données projet'!$E$11+1,1))-AVERAGE(OFFSET($H$3,0,0,'Données projet'!$E$11+1,1))</f>
        <v>43.16958872930951</v>
      </c>
      <c r="BJ109" s="62">
        <f t="shared" si="92"/>
        <v>69.202870643733547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-3.3253400033572693E-14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49.695493809293282</v>
      </c>
      <c r="CE109" s="62">
        <f t="shared" si="94"/>
        <v>59.252884227831601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47.57220000000008</v>
      </c>
      <c r="D110" s="12">
        <f t="shared" si="86"/>
        <v>13.9849650140489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475.178115897922</v>
      </c>
      <c r="H110" s="70">
        <f t="shared" si="56"/>
        <v>400.54539573280192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3.0816718909993281</v>
      </c>
      <c r="N110" s="14">
        <f>IF('Données projet'!$A$36&gt;35,N109+M110-V109,IF(A110&lt;'Données projet'!$A$36,$K$205^A110,IF(A110='Données projet'!$A$36,'Données projet'!$B$36,N109+M110-V109)))</f>
        <v>198.7382776380677</v>
      </c>
      <c r="O110" s="14">
        <f>N110*VLOOKUP('Données projet'!$B$9,Paramètres!$A$1:$I$89,3,0)*VLOOKUP('Données projet'!$B$9,Paramètres!$A$1:$I$89,5,0)</f>
        <v>217.02219918076989</v>
      </c>
      <c r="P110" s="14">
        <f t="shared" si="87"/>
        <v>53.467162989859474</v>
      </c>
      <c r="Q110" s="22">
        <f t="shared" si="107"/>
        <v>471.10230578051278</v>
      </c>
      <c r="R110" s="62">
        <f t="shared" si="55"/>
        <v>764.43563911384604</v>
      </c>
      <c r="S110" s="62">
        <f ca="1">AVERAGE(OFFSET($R$3,0,0,'Données projet'!$E$9+1,1))-AVERAGE(OFFSET($H$3,0,0,'Données projet'!$E$9+1,1))</f>
        <v>308.00850473946429</v>
      </c>
      <c r="T110" s="62">
        <f t="shared" si="88"/>
        <v>70.709140667951715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210.00000000000006</v>
      </c>
      <c r="AJ110" s="14">
        <f>AI110*VLOOKUP('Données projet'!$B$10,Paramètres!$A$1:$I$89,3,0)*VLOOKUP('Données projet'!$B$10,Paramètres!$A$1:$I$89,5,0)</f>
        <v>226.04400000000007</v>
      </c>
      <c r="AK110" s="14">
        <f t="shared" si="89"/>
        <v>55.426440039423504</v>
      </c>
      <c r="AL110" s="22">
        <f t="shared" si="58"/>
        <v>490.22768306866277</v>
      </c>
      <c r="AM110" s="62">
        <f t="shared" si="59"/>
        <v>783.56101640199608</v>
      </c>
      <c r="AN110" s="62">
        <f ca="1">AVERAGE(OFFSET($AM$3,0,0,'Données projet'!$E$10+1,1))-AVERAGE(OFFSET($H$3,0,0,'Données projet'!$E$10+1,1))</f>
        <v>271.76512254565102</v>
      </c>
      <c r="AO110" s="62">
        <f t="shared" si="90"/>
        <v>99.160986083974535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0.68750000000000067</v>
      </c>
      <c r="BD110" s="13">
        <f>IF('Données projet'!$A$88&gt;35,BD109+BC110-BL109,IF(A110&lt;'Données projet'!$A$88,$BA$205^A110,IF(A110='Données projet'!$A$88,'Données projet'!$B$88,BD109+BC110-BL109)))</f>
        <v>59.395833333333329</v>
      </c>
      <c r="BE110" s="14">
        <f>BD110*VLOOKUP('Données projet'!$B$11,Paramètres!$A$1:$I$89,3,0)*VLOOKUP('Données projet'!$B$11,Paramètres!$A$1:$I$89,5,0)</f>
        <v>68.423999999999992</v>
      </c>
      <c r="BF110" s="14">
        <f t="shared" si="91"/>
        <v>19.281564044844902</v>
      </c>
      <c r="BG110" s="22">
        <f t="shared" si="61"/>
        <v>152.75385737810484</v>
      </c>
      <c r="BH110" s="62">
        <f t="shared" si="62"/>
        <v>446.08719071143815</v>
      </c>
      <c r="BI110" s="62">
        <f ca="1">AVERAGE(OFFSET($BH$3,0,0,'Données projet'!$E$11+1,1))-AVERAGE(OFFSET($H$3,0,0,'Données projet'!$E$11+1,1))</f>
        <v>43.16958872930951</v>
      </c>
      <c r="BJ110" s="62">
        <f t="shared" si="92"/>
        <v>69.202870643733547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-3.3253400033572693E-14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49.695493809293282</v>
      </c>
      <c r="CE110" s="62">
        <f t="shared" si="94"/>
        <v>59.252884227831601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48.016800000000082</v>
      </c>
      <c r="D111" s="12">
        <f t="shared" si="86"/>
        <v>14.10038947200057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479.50111171368934</v>
      </c>
      <c r="H111" s="70">
        <f t="shared" si="56"/>
        <v>401.52077166373442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>
        <f>VLOOKUP(A111,'Données projet'!$A$35:$I$55,2,0)</f>
        <v>201.81994952906686</v>
      </c>
      <c r="L111" s="13">
        <f>VLOOKUP(A111,'Données projet'!$A$35:$I$55,9,0)</f>
        <v>3.0816718909993281</v>
      </c>
      <c r="M111" s="13">
        <f t="array" ref="M111">INDEX(L:L,MIN(IF(ISNUMBER(L111:L307),ROW(L111:L307),"")))</f>
        <v>3.0816718909993281</v>
      </c>
      <c r="N111" s="14">
        <f>IF('Données projet'!$A$36&gt;35,N110+M111-V110,IF(A111&lt;'Données projet'!$A$36,$K$205^A111,IF(A111='Données projet'!$A$36,'Données projet'!$B$36,N110+M111-V110)))</f>
        <v>201.81994952906703</v>
      </c>
      <c r="O111" s="14">
        <f>N111*VLOOKUP('Données projet'!$B$9,Paramètres!$A$1:$I$89,3,0)*VLOOKUP('Données projet'!$B$9,Paramètres!$A$1:$I$89,5,0)</f>
        <v>220.3873848857412</v>
      </c>
      <c r="P111" s="14">
        <f t="shared" si="87"/>
        <v>54.199073288664749</v>
      </c>
      <c r="Q111" s="22">
        <f t="shared" si="107"/>
        <v>478.23808132042376</v>
      </c>
      <c r="R111" s="62">
        <f t="shared" si="55"/>
        <v>771.57141465375707</v>
      </c>
      <c r="S111" s="62">
        <f ca="1">AVERAGE(OFFSET($R$3,0,0,'Données projet'!$E$9+1,1))-AVERAGE(OFFSET($H$3,0,0,'Données projet'!$E$9+1,1))</f>
        <v>308.00850473946429</v>
      </c>
      <c r="T111" s="62">
        <f t="shared" si="88"/>
        <v>70.709140667951715</v>
      </c>
      <c r="U111" s="16">
        <f>IF(ISNA(VLOOKUP(A111,'Données projet'!$A$35:$I$55,3,0)),0,VLOOKUP(A111,'Données projet'!$A$35:$I$55,3,0))</f>
        <v>5</v>
      </c>
      <c r="V111" s="16">
        <f>IF(ISNA(VLOOKUP(A111,'Données projet'!$A$35:$I$55,4,0)),0,VLOOKUP(A111,'Données projet'!$A$35:$I$55,4,0))</f>
        <v>22.424438836562977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213.00000000000006</v>
      </c>
      <c r="AJ111" s="14">
        <f>AI111*VLOOKUP('Données projet'!$B$10,Paramètres!$A$1:$I$89,3,0)*VLOOKUP('Données projet'!$B$10,Paramètres!$A$1:$I$89,5,0)</f>
        <v>229.27320000000006</v>
      </c>
      <c r="AK111" s="14">
        <f t="shared" si="89"/>
        <v>56.125501442527366</v>
      </c>
      <c r="AL111" s="22">
        <f t="shared" si="58"/>
        <v>497.069405012402</v>
      </c>
      <c r="AM111" s="62">
        <f t="shared" si="59"/>
        <v>790.40273834573532</v>
      </c>
      <c r="AN111" s="62">
        <f ca="1">AVERAGE(OFFSET($AM$3,0,0,'Données projet'!$E$10+1,1))-AVERAGE(OFFSET($H$3,0,0,'Données projet'!$E$10+1,1))</f>
        <v>271.76512254565102</v>
      </c>
      <c r="AO111" s="62">
        <f t="shared" si="90"/>
        <v>99.160986083974535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0.68750000000000067</v>
      </c>
      <c r="BD111" s="13">
        <f>IF('Données projet'!$A$88&gt;35,BD110+BC111-BL110,IF(A111&lt;'Données projet'!$A$88,$BA$205^A111,IF(A111='Données projet'!$A$88,'Données projet'!$B$88,BD110+BC111-BL110)))</f>
        <v>60.083333333333329</v>
      </c>
      <c r="BE111" s="14">
        <f>BD111*VLOOKUP('Données projet'!$B$11,Paramètres!$A$1:$I$89,3,0)*VLOOKUP('Données projet'!$B$11,Paramètres!$A$1:$I$89,5,0)</f>
        <v>69.215999999999994</v>
      </c>
      <c r="BF111" s="14">
        <f t="shared" si="91"/>
        <v>19.478635297763802</v>
      </c>
      <c r="BG111" s="22">
        <f t="shared" si="61"/>
        <v>154.47648981027194</v>
      </c>
      <c r="BH111" s="62">
        <f t="shared" si="62"/>
        <v>447.80982314360529</v>
      </c>
      <c r="BI111" s="62">
        <f ca="1">AVERAGE(OFFSET($BH$3,0,0,'Données projet'!$E$11+1,1))-AVERAGE(OFFSET($H$3,0,0,'Données projet'!$E$11+1,1))</f>
        <v>43.16958872930951</v>
      </c>
      <c r="BJ111" s="62">
        <f t="shared" si="92"/>
        <v>69.202870643733547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-3.3253400033572693E-14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49.695493809293282</v>
      </c>
      <c r="CE111" s="62">
        <f t="shared" si="94"/>
        <v>59.252884227831601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48.461400000000083</v>
      </c>
      <c r="D112" s="12">
        <f t="shared" si="86"/>
        <v>14.21568959317211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483.82314773676779</v>
      </c>
      <c r="H112" s="70">
        <f t="shared" si="56"/>
        <v>402.49593104144157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3.1058565452854698</v>
      </c>
      <c r="N112" s="14">
        <f>IF('Données projet'!$A$36&gt;35,N111+M112-V111,IF(A112&lt;'Données projet'!$A$36,$K$205^A112,IF(A112='Données projet'!$A$36,'Données projet'!$B$36,N111+M112-V111)))</f>
        <v>182.50136723778951</v>
      </c>
      <c r="O112" s="14">
        <f>N112*VLOOKUP('Données projet'!$B$9,Paramètres!$A$1:$I$89,3,0)*VLOOKUP('Données projet'!$B$9,Paramètres!$A$1:$I$89,5,0)</f>
        <v>199.29149302366613</v>
      </c>
      <c r="P112" s="14">
        <f t="shared" si="87"/>
        <v>49.58842719069731</v>
      </c>
      <c r="Q112" s="22">
        <f t="shared" si="107"/>
        <v>433.46586104001631</v>
      </c>
      <c r="R112" s="62">
        <f t="shared" si="55"/>
        <v>726.79919437334956</v>
      </c>
      <c r="S112" s="62">
        <f ca="1">AVERAGE(OFFSET($R$3,0,0,'Données projet'!$E$9+1,1))-AVERAGE(OFFSET($H$3,0,0,'Données projet'!$E$9+1,1))</f>
        <v>308.00850473946429</v>
      </c>
      <c r="T112" s="62">
        <f t="shared" si="88"/>
        <v>70.709140667951715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216.00000000000006</v>
      </c>
      <c r="AJ112" s="14">
        <f>AI112*VLOOKUP('Données projet'!$B$10,Paramètres!$A$1:$I$89,3,0)*VLOOKUP('Données projet'!$B$10,Paramètres!$A$1:$I$89,5,0)</f>
        <v>232.50240000000005</v>
      </c>
      <c r="AK112" s="14">
        <f t="shared" si="89"/>
        <v>56.823417677671891</v>
      </c>
      <c r="AL112" s="22">
        <f t="shared" si="58"/>
        <v>503.90913245527855</v>
      </c>
      <c r="AM112" s="62">
        <f t="shared" si="59"/>
        <v>797.24246578861187</v>
      </c>
      <c r="AN112" s="62">
        <f ca="1">AVERAGE(OFFSET($AM$3,0,0,'Données projet'!$E$10+1,1))-AVERAGE(OFFSET($H$3,0,0,'Données projet'!$E$10+1,1))</f>
        <v>271.76512254565102</v>
      </c>
      <c r="AO112" s="62">
        <f t="shared" si="90"/>
        <v>99.160986083974535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0.68750000000000067</v>
      </c>
      <c r="BD112" s="13">
        <f>IF('Données projet'!$A$88&gt;35,BD111+BC112-BL111,IF(A112&lt;'Données projet'!$A$88,$BA$205^A112,IF(A112='Données projet'!$A$88,'Données projet'!$B$88,BD111+BC112-BL111)))</f>
        <v>60.770833333333329</v>
      </c>
      <c r="BE112" s="14">
        <f>BD112*VLOOKUP('Données projet'!$B$11,Paramètres!$A$1:$I$89,3,0)*VLOOKUP('Données projet'!$B$11,Paramètres!$A$1:$I$89,5,0)</f>
        <v>70.007999999999996</v>
      </c>
      <c r="BF112" s="14">
        <f t="shared" si="91"/>
        <v>19.675444240120761</v>
      </c>
      <c r="BG112" s="22">
        <f t="shared" si="61"/>
        <v>156.19866538487699</v>
      </c>
      <c r="BH112" s="62">
        <f t="shared" si="62"/>
        <v>449.53199871821028</v>
      </c>
      <c r="BI112" s="62">
        <f ca="1">AVERAGE(OFFSET($BH$3,0,0,'Données projet'!$E$11+1,1))-AVERAGE(OFFSET($H$3,0,0,'Données projet'!$E$11+1,1))</f>
        <v>43.16958872930951</v>
      </c>
      <c r="BJ112" s="62">
        <f t="shared" si="92"/>
        <v>69.202870643733547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-3.3253400033572693E-14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49.695493809293282</v>
      </c>
      <c r="CE112" s="62">
        <f t="shared" si="94"/>
        <v>59.252884227831601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48.906000000000084</v>
      </c>
      <c r="D113" s="12">
        <f t="shared" si="86"/>
        <v>14.330866650402045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488.14423379257778</v>
      </c>
      <c r="H113" s="70">
        <f t="shared" si="56"/>
        <v>403.47087608278366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3.1058565452854698</v>
      </c>
      <c r="N113" s="14">
        <f>IF('Données projet'!$A$36&gt;35,N112+M113-V112,IF(A113&lt;'Données projet'!$A$36,$K$205^A113,IF(A113='Données projet'!$A$36,'Données projet'!$B$36,N112+M113-V112)))</f>
        <v>185.60722378307497</v>
      </c>
      <c r="O113" s="14">
        <f>N113*VLOOKUP('Données projet'!$B$9,Paramètres!$A$1:$I$89,3,0)*VLOOKUP('Données projet'!$B$9,Paramètres!$A$1:$I$89,5,0)</f>
        <v>202.68308837111786</v>
      </c>
      <c r="P113" s="14">
        <f t="shared" si="87"/>
        <v>50.33337122737629</v>
      </c>
      <c r="Q113" s="22">
        <f t="shared" si="107"/>
        <v>440.67033380071058</v>
      </c>
      <c r="R113" s="62">
        <f t="shared" si="55"/>
        <v>734.00366713404389</v>
      </c>
      <c r="S113" s="62">
        <f ca="1">AVERAGE(OFFSET($R$3,0,0,'Données projet'!$E$9+1,1))-AVERAGE(OFFSET($H$3,0,0,'Données projet'!$E$9+1,1))</f>
        <v>308.00850473946429</v>
      </c>
      <c r="T113" s="62">
        <f t="shared" si="88"/>
        <v>70.709140667951715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219.00000000000006</v>
      </c>
      <c r="AJ113" s="14">
        <f>AI113*VLOOKUP('Données projet'!$B$10,Paramètres!$A$1:$I$89,3,0)*VLOOKUP('Données projet'!$B$10,Paramètres!$A$1:$I$89,5,0)</f>
        <v>235.73160000000004</v>
      </c>
      <c r="AK113" s="14">
        <f t="shared" si="89"/>
        <v>57.520206488125268</v>
      </c>
      <c r="AL113" s="22">
        <f t="shared" si="58"/>
        <v>510.7468963001516</v>
      </c>
      <c r="AM113" s="62">
        <f t="shared" si="59"/>
        <v>804.08022963348492</v>
      </c>
      <c r="AN113" s="62">
        <f ca="1">AVERAGE(OFFSET($AM$3,0,0,'Données projet'!$E$10+1,1))-AVERAGE(OFFSET($H$3,0,0,'Données projet'!$E$10+1,1))</f>
        <v>271.76512254565102</v>
      </c>
      <c r="AO113" s="62">
        <f t="shared" si="90"/>
        <v>99.160986083974535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61.458333333333336</v>
      </c>
      <c r="BB113" s="13">
        <f>VLOOKUP(A113,'Données projet'!$A$87:$I$107,9,0)</f>
        <v>0.68750000000000067</v>
      </c>
      <c r="BC113" s="13">
        <f t="array" ref="BC113">INDEX(BB:BB,MIN(IF(ISNUMBER(BB113:BB309),ROW(BB113:BB309),"")))</f>
        <v>0.68750000000000067</v>
      </c>
      <c r="BD113" s="13">
        <f>IF('Données projet'!$A$88&gt;35,BD112+BC113-BL112,IF(A113&lt;'Données projet'!$A$88,$BA$205^A113,IF(A113='Données projet'!$A$88,'Données projet'!$B$88,BD112+BC113-BL112)))</f>
        <v>61.458333333333329</v>
      </c>
      <c r="BE113" s="14">
        <f>BD113*VLOOKUP('Données projet'!$B$11,Paramètres!$A$1:$I$89,3,0)*VLOOKUP('Données projet'!$B$11,Paramètres!$A$1:$I$89,5,0)</f>
        <v>70.799999999999983</v>
      </c>
      <c r="BF113" s="14">
        <f t="shared" si="91"/>
        <v>19.871994182813928</v>
      </c>
      <c r="BG113" s="22">
        <f t="shared" si="61"/>
        <v>157.92038986840086</v>
      </c>
      <c r="BH113" s="62">
        <f t="shared" si="62"/>
        <v>451.25372320173415</v>
      </c>
      <c r="BI113" s="62">
        <f ca="1">AVERAGE(OFFSET($BH$3,0,0,'Données projet'!$E$11+1,1))-AVERAGE(OFFSET($H$3,0,0,'Données projet'!$E$11+1,1))</f>
        <v>43.16958872930951</v>
      </c>
      <c r="BJ113" s="62">
        <f t="shared" si="92"/>
        <v>69.202870643733547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5.791666666666667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-3.3253400033572693E-14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49.695493809293282</v>
      </c>
      <c r="CE113" s="62">
        <f t="shared" si="94"/>
        <v>59.252884227831601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49.350600000000085</v>
      </c>
      <c r="D114" s="12">
        <f t="shared" si="86"/>
        <v>14.445921892051443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492.46437951759077</v>
      </c>
      <c r="H114" s="70">
        <f t="shared" si="56"/>
        <v>404.44560896198971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3.1058565452854698</v>
      </c>
      <c r="N114" s="14">
        <f>IF('Données projet'!$A$36&gt;35,N113+M114-V113,IF(A114&lt;'Données projet'!$A$36,$K$205^A114,IF(A114='Données projet'!$A$36,'Données projet'!$B$36,N113+M114-V113)))</f>
        <v>188.71308032836043</v>
      </c>
      <c r="O114" s="14">
        <f>N114*VLOOKUP('Données projet'!$B$9,Paramètres!$A$1:$I$89,3,0)*VLOOKUP('Données projet'!$B$9,Paramètres!$A$1:$I$89,5,0)</f>
        <v>206.07468371856959</v>
      </c>
      <c r="P114" s="14">
        <f t="shared" si="87"/>
        <v>51.076865618967155</v>
      </c>
      <c r="Q114" s="22">
        <f t="shared" si="107"/>
        <v>447.87228176287641</v>
      </c>
      <c r="R114" s="62">
        <f t="shared" si="55"/>
        <v>741.20561509620973</v>
      </c>
      <c r="S114" s="62">
        <f ca="1">AVERAGE(OFFSET($R$3,0,0,'Données projet'!$E$9+1,1))-AVERAGE(OFFSET($H$3,0,0,'Données projet'!$E$9+1,1))</f>
        <v>308.00850473946429</v>
      </c>
      <c r="T114" s="62">
        <f t="shared" si="88"/>
        <v>70.709140667951715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</v>
      </c>
      <c r="AI114" s="14">
        <f>IF('Données projet'!$A$62&gt;35,AI113+AH114-AQ113,IF(A114&lt;'Données projet'!$A$62,$AF$205^A114,IF(A114='Données projet'!$A$62,'Données projet'!$B$62,AI113+AH114-AQ113)))</f>
        <v>222.00000000000006</v>
      </c>
      <c r="AJ114" s="14">
        <f>AI114*VLOOKUP('Données projet'!$B$10,Paramètres!$A$1:$I$89,3,0)*VLOOKUP('Données projet'!$B$10,Paramètres!$A$1:$I$89,5,0)</f>
        <v>238.96080000000006</v>
      </c>
      <c r="AK114" s="14">
        <f t="shared" si="89"/>
        <v>58.215885103108349</v>
      </c>
      <c r="AL114" s="22">
        <f t="shared" si="58"/>
        <v>517.5827265545804</v>
      </c>
      <c r="AM114" s="62">
        <f t="shared" si="59"/>
        <v>810.91605988791366</v>
      </c>
      <c r="AN114" s="62">
        <f ca="1">AVERAGE(OFFSET($AM$3,0,0,'Données projet'!$E$10+1,1))-AVERAGE(OFFSET($H$3,0,0,'Données projet'!$E$10+1,1))</f>
        <v>271.76512254565102</v>
      </c>
      <c r="AO114" s="62">
        <f t="shared" si="90"/>
        <v>99.160986083974535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0.63333333333333353</v>
      </c>
      <c r="BD114" s="13">
        <f>IF('Données projet'!$A$88&gt;35,BD113+BC114-BL113,IF(A114&lt;'Données projet'!$A$88,$BA$205^A114,IF(A114='Données projet'!$A$88,'Données projet'!$B$88,BD113+BC114-BL113)))</f>
        <v>56.3</v>
      </c>
      <c r="BE114" s="14">
        <f>BD114*VLOOKUP('Données projet'!$B$11,Paramètres!$A$1:$I$89,3,0)*VLOOKUP('Données projet'!$B$11,Paramètres!$A$1:$I$89,5,0)</f>
        <v>64.857599999999991</v>
      </c>
      <c r="BF114" s="14">
        <f t="shared" si="91"/>
        <v>18.390803032762243</v>
      </c>
      <c r="BG114" s="22">
        <f t="shared" si="61"/>
        <v>144.99096861539422</v>
      </c>
      <c r="BH114" s="62">
        <f t="shared" si="62"/>
        <v>438.32430194872757</v>
      </c>
      <c r="BI114" s="62">
        <f ca="1">AVERAGE(OFFSET($BH$3,0,0,'Données projet'!$E$11+1,1))-AVERAGE(OFFSET($H$3,0,0,'Données projet'!$E$11+1,1))</f>
        <v>43.16958872930951</v>
      </c>
      <c r="BJ114" s="62">
        <f t="shared" si="92"/>
        <v>69.202870643733547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-3.3253400033572693E-14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49.695493809293282</v>
      </c>
      <c r="CE114" s="62">
        <f t="shared" si="94"/>
        <v>59.252884227831601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49.795200000000087</v>
      </c>
      <c r="D115" s="12">
        <f t="shared" si="86"/>
        <v>14.560856542690805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496.78359436463143</v>
      </c>
      <c r="H115" s="70">
        <f t="shared" si="56"/>
        <v>405.42013181185325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3.1058565452854698</v>
      </c>
      <c r="N115" s="14">
        <f>IF('Données projet'!$A$36&gt;35,N114+M115-V114,IF(A115&lt;'Données projet'!$A$36,$K$205^A115,IF(A115='Données projet'!$A$36,'Données projet'!$B$36,N114+M115-V114)))</f>
        <v>191.8189368736459</v>
      </c>
      <c r="O115" s="14">
        <f>N115*VLOOKUP('Données projet'!$B$9,Paramètres!$A$1:$I$89,3,0)*VLOOKUP('Données projet'!$B$9,Paramètres!$A$1:$I$89,5,0)</f>
        <v>209.46627906602134</v>
      </c>
      <c r="P115" s="14">
        <f t="shared" si="87"/>
        <v>51.818936977896996</v>
      </c>
      <c r="Q115" s="22">
        <f t="shared" si="107"/>
        <v>455.07175127649111</v>
      </c>
      <c r="R115" s="62">
        <f t="shared" si="55"/>
        <v>748.40508460982437</v>
      </c>
      <c r="S115" s="62">
        <f ca="1">AVERAGE(OFFSET($R$3,0,0,'Données projet'!$E$9+1,1))-AVERAGE(OFFSET($H$3,0,0,'Données projet'!$E$9+1,1))</f>
        <v>308.00850473946429</v>
      </c>
      <c r="T115" s="62">
        <f t="shared" si="88"/>
        <v>70.709140667951715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</v>
      </c>
      <c r="AI115" s="14">
        <f>IF('Données projet'!$A$62&gt;35,AI114+AH115-AQ114,IF(A115&lt;'Données projet'!$A$62,$AF$205^A115,IF(A115='Données projet'!$A$62,'Données projet'!$B$62,AI114+AH115-AQ114)))</f>
        <v>225.00000000000006</v>
      </c>
      <c r="AJ115" s="14">
        <f>AI115*VLOOKUP('Données projet'!$B$10,Paramètres!$A$1:$I$89,3,0)*VLOOKUP('Données projet'!$B$10,Paramètres!$A$1:$I$89,5,0)</f>
        <v>242.19000000000005</v>
      </c>
      <c r="AK115" s="14">
        <f t="shared" si="89"/>
        <v>58.910470259429353</v>
      </c>
      <c r="AL115" s="22">
        <f t="shared" si="58"/>
        <v>524.41665236850611</v>
      </c>
      <c r="AM115" s="62">
        <f t="shared" si="59"/>
        <v>817.74998570183948</v>
      </c>
      <c r="AN115" s="62">
        <f ca="1">AVERAGE(OFFSET($AM$3,0,0,'Données projet'!$E$10+1,1))-AVERAGE(OFFSET($H$3,0,0,'Données projet'!$E$10+1,1))</f>
        <v>271.76512254565102</v>
      </c>
      <c r="AO115" s="62">
        <f t="shared" si="90"/>
        <v>99.160986083974535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0.63333333333333353</v>
      </c>
      <c r="BD115" s="13">
        <f>IF('Données projet'!$A$88&gt;35,BD114+BC115-BL114,IF(A115&lt;'Données projet'!$A$88,$BA$205^A115,IF(A115='Données projet'!$A$88,'Données projet'!$B$88,BD114+BC115-BL114)))</f>
        <v>56.93333333333333</v>
      </c>
      <c r="BE115" s="14">
        <f>BD115*VLOOKUP('Données projet'!$B$11,Paramètres!$A$1:$I$89,3,0)*VLOOKUP('Données projet'!$B$11,Paramètres!$A$1:$I$89,5,0)</f>
        <v>65.587199999999982</v>
      </c>
      <c r="BF115" s="14">
        <f t="shared" si="91"/>
        <v>18.573485600358328</v>
      </c>
      <c r="BG115" s="22">
        <f t="shared" si="61"/>
        <v>146.57986075395738</v>
      </c>
      <c r="BH115" s="62">
        <f t="shared" si="62"/>
        <v>439.91319408729066</v>
      </c>
      <c r="BI115" s="62">
        <f ca="1">AVERAGE(OFFSET($BH$3,0,0,'Données projet'!$E$11+1,1))-AVERAGE(OFFSET($H$3,0,0,'Données projet'!$E$11+1,1))</f>
        <v>43.16958872930951</v>
      </c>
      <c r="BJ115" s="62">
        <f t="shared" si="92"/>
        <v>69.202870643733547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-3.3253400033572693E-14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49.695493809293282</v>
      </c>
      <c r="CE115" s="62">
        <f t="shared" si="94"/>
        <v>59.252884227831601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50.239800000000088</v>
      </c>
      <c r="D116" s="12">
        <f t="shared" si="86"/>
        <v>14.675671803761725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501.10188760798593</v>
      </c>
      <c r="H116" s="70">
        <f t="shared" si="56"/>
        <v>406.39444672488514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3.1058565452854698</v>
      </c>
      <c r="N116" s="14">
        <f>IF('Données projet'!$A$36&gt;35,N115+M116-V115,IF(A116&lt;'Données projet'!$A$36,$K$205^A116,IF(A116='Données projet'!$A$36,'Données projet'!$B$36,N115+M116-V115)))</f>
        <v>194.92479341893136</v>
      </c>
      <c r="O116" s="14">
        <f>N116*VLOOKUP('Données projet'!$B$9,Paramètres!$A$1:$I$89,3,0)*VLOOKUP('Données projet'!$B$9,Paramètres!$A$1:$I$89,5,0)</f>
        <v>212.85787441347304</v>
      </c>
      <c r="P116" s="14">
        <f t="shared" si="87"/>
        <v>52.559611005380376</v>
      </c>
      <c r="Q116" s="22">
        <f t="shared" si="107"/>
        <v>462.26878710450302</v>
      </c>
      <c r="R116" s="62">
        <f t="shared" si="55"/>
        <v>755.60212043783633</v>
      </c>
      <c r="S116" s="62">
        <f ca="1">AVERAGE(OFFSET($R$3,0,0,'Données projet'!$E$9+1,1))-AVERAGE(OFFSET($H$3,0,0,'Données projet'!$E$9+1,1))</f>
        <v>308.00850473946429</v>
      </c>
      <c r="T116" s="62">
        <f t="shared" si="88"/>
        <v>70.709140667951715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</v>
      </c>
      <c r="AI116" s="14">
        <f>IF('Données projet'!$A$62&gt;35,AI115+AH116-AQ115,IF(A116&lt;'Données projet'!$A$62,$AF$205^A116,IF(A116='Données projet'!$A$62,'Données projet'!$B$62,AI115+AH116-AQ115)))</f>
        <v>228.00000000000006</v>
      </c>
      <c r="AJ116" s="14">
        <f>AI116*VLOOKUP('Données projet'!$B$10,Paramètres!$A$1:$I$89,3,0)*VLOOKUP('Données projet'!$B$10,Paramètres!$A$1:$I$89,5,0)</f>
        <v>245.41920000000005</v>
      </c>
      <c r="AK116" s="14">
        <f t="shared" si="89"/>
        <v>59.603978221930504</v>
      </c>
      <c r="AL116" s="22">
        <f t="shared" si="58"/>
        <v>531.24870206986236</v>
      </c>
      <c r="AM116" s="62">
        <f t="shared" si="59"/>
        <v>824.58203540319573</v>
      </c>
      <c r="AN116" s="62">
        <f ca="1">AVERAGE(OFFSET($AM$3,0,0,'Données projet'!$E$10+1,1))-AVERAGE(OFFSET($H$3,0,0,'Données projet'!$E$10+1,1))</f>
        <v>271.76512254565102</v>
      </c>
      <c r="AO116" s="62">
        <f t="shared" si="90"/>
        <v>99.160986083974535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0.63333333333333353</v>
      </c>
      <c r="BD116" s="13">
        <f>IF('Données projet'!$A$88&gt;35,BD115+BC116-BL115,IF(A116&lt;'Données projet'!$A$88,$BA$205^A116,IF(A116='Données projet'!$A$88,'Données projet'!$B$88,BD115+BC116-BL115)))</f>
        <v>57.566666666666663</v>
      </c>
      <c r="BE116" s="14">
        <f>BD116*VLOOKUP('Données projet'!$B$11,Paramètres!$A$1:$I$89,3,0)*VLOOKUP('Données projet'!$B$11,Paramètres!$A$1:$I$89,5,0)</f>
        <v>66.316799999999986</v>
      </c>
      <c r="BF116" s="14">
        <f t="shared" si="91"/>
        <v>18.755931769761606</v>
      </c>
      <c r="BG116" s="22">
        <f t="shared" si="61"/>
        <v>148.1683411656681</v>
      </c>
      <c r="BH116" s="62">
        <f t="shared" si="62"/>
        <v>441.50167449900141</v>
      </c>
      <c r="BI116" s="62">
        <f ca="1">AVERAGE(OFFSET($BH$3,0,0,'Données projet'!$E$11+1,1))-AVERAGE(OFFSET($H$3,0,0,'Données projet'!$E$11+1,1))</f>
        <v>43.16958872930951</v>
      </c>
      <c r="BJ116" s="62">
        <f t="shared" si="92"/>
        <v>69.202870643733547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-3.3253400033572693E-14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49.695493809293282</v>
      </c>
      <c r="CE116" s="62">
        <f t="shared" si="94"/>
        <v>59.252884227831601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50.684400000000089</v>
      </c>
      <c r="D117" s="12">
        <f t="shared" si="86"/>
        <v>14.790368854214488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505.4192683483231</v>
      </c>
      <c r="H117" s="70">
        <f t="shared" si="56"/>
        <v>407.36855575442371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3.1058565452854698</v>
      </c>
      <c r="N117" s="14">
        <f>IF('Données projet'!$A$36&gt;35,N116+M117-V116,IF(A117&lt;'Données projet'!$A$36,$K$205^A117,IF(A117='Données projet'!$A$36,'Données projet'!$B$36,N116+M117-V116)))</f>
        <v>198.03064996421682</v>
      </c>
      <c r="O117" s="14">
        <f>N117*VLOOKUP('Données projet'!$B$9,Paramètres!$A$1:$I$89,3,0)*VLOOKUP('Données projet'!$B$9,Paramètres!$A$1:$I$89,5,0)</f>
        <v>216.24946976092477</v>
      </c>
      <c r="P117" s="14">
        <f t="shared" si="87"/>
        <v>53.298912536631804</v>
      </c>
      <c r="Q117" s="22">
        <f t="shared" si="107"/>
        <v>469.46343250157776</v>
      </c>
      <c r="R117" s="62">
        <f t="shared" si="55"/>
        <v>762.79676583491107</v>
      </c>
      <c r="S117" s="62">
        <f ca="1">AVERAGE(OFFSET($R$3,0,0,'Données projet'!$E$9+1,1))-AVERAGE(OFFSET($H$3,0,0,'Données projet'!$E$9+1,1))</f>
        <v>308.00850473946429</v>
      </c>
      <c r="T117" s="62">
        <f t="shared" si="88"/>
        <v>70.709140667951715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</v>
      </c>
      <c r="AI117" s="14">
        <f>IF('Données projet'!$A$62&gt;35,AI116+AH117-AQ116,IF(A117&lt;'Données projet'!$A$62,$AF$205^A117,IF(A117='Données projet'!$A$62,'Données projet'!$B$62,AI116+AH117-AQ116)))</f>
        <v>231.00000000000006</v>
      </c>
      <c r="AJ117" s="14">
        <f>AI117*VLOOKUP('Données projet'!$B$10,Paramètres!$A$1:$I$89,3,0)*VLOOKUP('Données projet'!$B$10,Paramètres!$A$1:$I$89,5,0)</f>
        <v>248.64840000000004</v>
      </c>
      <c r="AK117" s="14">
        <f t="shared" si="89"/>
        <v>60.296424802828774</v>
      </c>
      <c r="AL117" s="22">
        <f t="shared" si="58"/>
        <v>538.07890319826015</v>
      </c>
      <c r="AM117" s="62">
        <f t="shared" si="59"/>
        <v>831.41223653159341</v>
      </c>
      <c r="AN117" s="62">
        <f ca="1">AVERAGE(OFFSET($AM$3,0,0,'Données projet'!$E$10+1,1))-AVERAGE(OFFSET($H$3,0,0,'Données projet'!$E$10+1,1))</f>
        <v>271.76512254565102</v>
      </c>
      <c r="AO117" s="62">
        <f t="shared" si="90"/>
        <v>99.160986083974535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0.63333333333333353</v>
      </c>
      <c r="BD117" s="13">
        <f>IF('Données projet'!$A$88&gt;35,BD116+BC117-BL116,IF(A117&lt;'Données projet'!$A$88,$BA$205^A117,IF(A117='Données projet'!$A$88,'Données projet'!$B$88,BD116+BC117-BL116)))</f>
        <v>58.199999999999996</v>
      </c>
      <c r="BE117" s="14">
        <f>BD117*VLOOKUP('Données projet'!$B$11,Paramètres!$A$1:$I$89,3,0)*VLOOKUP('Données projet'!$B$11,Paramètres!$A$1:$I$89,5,0)</f>
        <v>67.046399999999991</v>
      </c>
      <c r="BF117" s="14">
        <f t="shared" si="91"/>
        <v>18.938144442754187</v>
      </c>
      <c r="BG117" s="22">
        <f t="shared" si="61"/>
        <v>149.75641490446353</v>
      </c>
      <c r="BH117" s="62">
        <f t="shared" si="62"/>
        <v>443.08974823779681</v>
      </c>
      <c r="BI117" s="62">
        <f ca="1">AVERAGE(OFFSET($BH$3,0,0,'Données projet'!$E$11+1,1))-AVERAGE(OFFSET($H$3,0,0,'Données projet'!$E$11+1,1))</f>
        <v>43.16958872930951</v>
      </c>
      <c r="BJ117" s="62">
        <f t="shared" si="92"/>
        <v>69.202870643733547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-3.3253400033572693E-14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49.695493809293282</v>
      </c>
      <c r="CE117" s="62">
        <f t="shared" si="94"/>
        <v>59.252884227831601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51.12900000000009</v>
      </c>
      <c r="D118" s="12">
        <f t="shared" si="86"/>
        <v>14.904948851122599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509.73574551743832</v>
      </c>
      <c r="H118" s="70">
        <f t="shared" si="56"/>
        <v>408.34246091570532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3.1058565452854698</v>
      </c>
      <c r="N118" s="14">
        <f>IF('Données projet'!$A$36&gt;35,N117+M118-V117,IF(A118&lt;'Données projet'!$A$36,$K$205^A118,IF(A118='Données projet'!$A$36,'Données projet'!$B$36,N117+M118-V117)))</f>
        <v>201.13650650950228</v>
      </c>
      <c r="O118" s="14">
        <f>N118*VLOOKUP('Données projet'!$B$9,Paramètres!$A$1:$I$89,3,0)*VLOOKUP('Données projet'!$B$9,Paramètres!$A$1:$I$89,5,0)</f>
        <v>219.64106510837647</v>
      </c>
      <c r="P118" s="14">
        <f t="shared" si="87"/>
        <v>54.036865583161152</v>
      </c>
      <c r="Q118" s="22">
        <f t="shared" si="107"/>
        <v>476.65572928776129</v>
      </c>
      <c r="R118" s="62">
        <f t="shared" si="55"/>
        <v>769.9890626210946</v>
      </c>
      <c r="S118" s="62">
        <f ca="1">AVERAGE(OFFSET($R$3,0,0,'Données projet'!$E$9+1,1))-AVERAGE(OFFSET($H$3,0,0,'Données projet'!$E$9+1,1))</f>
        <v>308.00850473946429</v>
      </c>
      <c r="T118" s="62">
        <f t="shared" si="88"/>
        <v>70.709140667951715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234</v>
      </c>
      <c r="AG118" s="13">
        <f>VLOOKUP(A118,'Données projet'!$A$61:$I$81,9,0)</f>
        <v>3</v>
      </c>
      <c r="AH118" s="13">
        <f t="array" ref="AH118">INDEX(AG:AG,MIN(IF(ISNUMBER(AG118:AG314),ROW(AG118:AG314),"")))</f>
        <v>3</v>
      </c>
      <c r="AI118" s="14">
        <f>IF('Données projet'!$A$62&gt;35,AI117+AH118-AQ117,IF(A118&lt;'Données projet'!$A$62,$AF$205^A118,IF(A118='Données projet'!$A$62,'Données projet'!$B$62,AI117+AH118-AQ117)))</f>
        <v>234.00000000000006</v>
      </c>
      <c r="AJ118" s="14">
        <f>AI118*VLOOKUP('Données projet'!$B$10,Paramètres!$A$1:$I$89,3,0)*VLOOKUP('Données projet'!$B$10,Paramètres!$A$1:$I$89,5,0)</f>
        <v>251.87760000000006</v>
      </c>
      <c r="AK118" s="14">
        <f t="shared" si="89"/>
        <v>60.987825380023075</v>
      </c>
      <c r="AL118" s="22">
        <f t="shared" si="58"/>
        <v>544.90728253687359</v>
      </c>
      <c r="AM118" s="62">
        <f t="shared" si="59"/>
        <v>838.24061587020697</v>
      </c>
      <c r="AN118" s="62">
        <f ca="1">AVERAGE(OFFSET($AM$3,0,0,'Données projet'!$E$10+1,1))-AVERAGE(OFFSET($H$3,0,0,'Données projet'!$E$10+1,1))</f>
        <v>271.76512254565102</v>
      </c>
      <c r="AO118" s="62">
        <f t="shared" si="90"/>
        <v>99.160986083974535</v>
      </c>
      <c r="AP118" s="16">
        <f>IF(ISNA(VLOOKUP(A118,'Données projet'!$A$61:$I$81,3,0)),0,VLOOKUP(A118,'Données projet'!$A$61:$I$81,3,0))</f>
        <v>9</v>
      </c>
      <c r="AQ118" s="16">
        <f>IF(ISNA(VLOOKUP(A118,'Données projet'!$A$61:$I$81,4,0)),0,VLOOKUP(A118,'Données projet'!$A$61:$I$81,4,0))</f>
        <v>26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0.63333333333333353</v>
      </c>
      <c r="BD118" s="13">
        <f>IF('Données projet'!$A$88&gt;35,BD117+BC118-BL117,IF(A118&lt;'Données projet'!$A$88,$BA$205^A118,IF(A118='Données projet'!$A$88,'Données projet'!$B$88,BD117+BC118-BL117)))</f>
        <v>58.833333333333329</v>
      </c>
      <c r="BE118" s="14">
        <f>BD118*VLOOKUP('Données projet'!$B$11,Paramètres!$A$1:$I$89,3,0)*VLOOKUP('Données projet'!$B$11,Paramètres!$A$1:$I$89,5,0)</f>
        <v>67.775999999999996</v>
      </c>
      <c r="BF118" s="14">
        <f t="shared" si="91"/>
        <v>19.120126454326552</v>
      </c>
      <c r="BG118" s="22">
        <f t="shared" si="61"/>
        <v>151.34408690795206</v>
      </c>
      <c r="BH118" s="62">
        <f t="shared" si="62"/>
        <v>444.6774202412854</v>
      </c>
      <c r="BI118" s="62">
        <f ca="1">AVERAGE(OFFSET($BH$3,0,0,'Données projet'!$E$11+1,1))-AVERAGE(OFFSET($H$3,0,0,'Données projet'!$E$11+1,1))</f>
        <v>43.16958872930951</v>
      </c>
      <c r="BJ118" s="62">
        <f t="shared" si="92"/>
        <v>69.202870643733547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-3.3253400033572693E-14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49.695493809293282</v>
      </c>
      <c r="CE118" s="62">
        <f t="shared" si="94"/>
        <v>59.252884227831601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51.573600000000091</v>
      </c>
      <c r="D119" s="12">
        <f t="shared" si="86"/>
        <v>15.019412930275342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514.05132788282799</v>
      </c>
      <c r="H119" s="70">
        <f t="shared" si="56"/>
        <v>409.31616418689634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3.1058565452854698</v>
      </c>
      <c r="N119" s="14">
        <f>IF('Données projet'!$A$36&gt;35,N118+M119-V118,IF(A119&lt;'Données projet'!$A$36,$K$205^A119,IF(A119='Données projet'!$A$36,'Données projet'!$B$36,N118+M119-V118)))</f>
        <v>204.24236305478775</v>
      </c>
      <c r="O119" s="14">
        <f>N119*VLOOKUP('Données projet'!$B$9,Paramètres!$A$1:$I$89,3,0)*VLOOKUP('Données projet'!$B$9,Paramètres!$A$1:$I$89,5,0)</f>
        <v>223.03266045582822</v>
      </c>
      <c r="P119" s="14">
        <f t="shared" si="87"/>
        <v>54.773493372382909</v>
      </c>
      <c r="Q119" s="22">
        <f t="shared" si="107"/>
        <v>483.84571791746771</v>
      </c>
      <c r="R119" s="62">
        <f t="shared" si="55"/>
        <v>777.17905125080097</v>
      </c>
      <c r="S119" s="62">
        <f ca="1">AVERAGE(OFFSET($R$3,0,0,'Données projet'!$E$9+1,1))-AVERAGE(OFFSET($H$3,0,0,'Données projet'!$E$9+1,1))</f>
        <v>308.00850473946429</v>
      </c>
      <c r="T119" s="62">
        <f t="shared" si="88"/>
        <v>70.709140667951715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210.40000000000006</v>
      </c>
      <c r="AJ119" s="14">
        <f>AI119*VLOOKUP('Données projet'!$B$10,Paramètres!$A$1:$I$89,3,0)*VLOOKUP('Données projet'!$B$10,Paramètres!$A$1:$I$89,5,0)</f>
        <v>226.47456000000008</v>
      </c>
      <c r="AK119" s="14">
        <f t="shared" si="89"/>
        <v>55.519715043340945</v>
      </c>
      <c r="AL119" s="22">
        <f t="shared" si="58"/>
        <v>491.14002903381885</v>
      </c>
      <c r="AM119" s="62">
        <f t="shared" si="59"/>
        <v>784.47336236715216</v>
      </c>
      <c r="AN119" s="62">
        <f ca="1">AVERAGE(OFFSET($AM$3,0,0,'Données projet'!$E$10+1,1))-AVERAGE(OFFSET($H$3,0,0,'Données projet'!$E$10+1,1))</f>
        <v>271.76512254565102</v>
      </c>
      <c r="AO119" s="62">
        <f t="shared" si="90"/>
        <v>99.160986083974535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0.63333333333333353</v>
      </c>
      <c r="BD119" s="13">
        <f>IF('Données projet'!$A$88&gt;35,BD118+BC119-BL118,IF(A119&lt;'Données projet'!$A$88,$BA$205^A119,IF(A119='Données projet'!$A$88,'Données projet'!$B$88,BD118+BC119-BL118)))</f>
        <v>59.466666666666661</v>
      </c>
      <c r="BE119" s="14">
        <f>BD119*VLOOKUP('Données projet'!$B$11,Paramètres!$A$1:$I$89,3,0)*VLOOKUP('Données projet'!$B$11,Paramètres!$A$1:$I$89,5,0)</f>
        <v>68.505599999999987</v>
      </c>
      <c r="BF119" s="14">
        <f t="shared" si="91"/>
        <v>19.301880574916925</v>
      </c>
      <c r="BG119" s="22">
        <f t="shared" si="61"/>
        <v>152.9313620013136</v>
      </c>
      <c r="BH119" s="62">
        <f t="shared" si="62"/>
        <v>446.26469533464694</v>
      </c>
      <c r="BI119" s="62">
        <f ca="1">AVERAGE(OFFSET($BH$3,0,0,'Données projet'!$E$11+1,1))-AVERAGE(OFFSET($H$3,0,0,'Données projet'!$E$11+1,1))</f>
        <v>43.16958872930951</v>
      </c>
      <c r="BJ119" s="62">
        <f t="shared" si="92"/>
        <v>69.202870643733547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-3.3253400033572693E-14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49.695493809293282</v>
      </c>
      <c r="CE119" s="62">
        <f t="shared" si="94"/>
        <v>59.252884227831601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52.018200000000093</v>
      </c>
      <c r="D120" s="12">
        <f t="shared" si="86"/>
        <v>15.133762206749392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518.36602405210135</v>
      </c>
      <c r="H120" s="70">
        <f t="shared" si="56"/>
        <v>410.28966751008869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3.1058565452854698</v>
      </c>
      <c r="N120" s="14">
        <f>IF('Données projet'!$A$36&gt;35,N119+M120-V119,IF(A120&lt;'Données projet'!$A$36,$K$205^A120,IF(A120='Données projet'!$A$36,'Données projet'!$B$36,N119+M120-V119)))</f>
        <v>207.34821960007321</v>
      </c>
      <c r="O120" s="14">
        <f>N120*VLOOKUP('Données projet'!$B$9,Paramètres!$A$1:$I$89,3,0)*VLOOKUP('Données projet'!$B$9,Paramètres!$A$1:$I$89,5,0)</f>
        <v>226.42425580327992</v>
      </c>
      <c r="P120" s="14">
        <f t="shared" si="87"/>
        <v>55.508818384747052</v>
      </c>
      <c r="Q120" s="22">
        <f t="shared" si="107"/>
        <v>491.03343754414692</v>
      </c>
      <c r="R120" s="62">
        <f t="shared" si="55"/>
        <v>784.36677087748023</v>
      </c>
      <c r="S120" s="62">
        <f ca="1">AVERAGE(OFFSET($R$3,0,0,'Données projet'!$E$9+1,1))-AVERAGE(OFFSET($H$3,0,0,'Données projet'!$E$9+1,1))</f>
        <v>308.00850473946429</v>
      </c>
      <c r="T120" s="62">
        <f t="shared" si="88"/>
        <v>70.709140667951715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212.80000000000007</v>
      </c>
      <c r="AJ120" s="14">
        <f>AI120*VLOOKUP('Données projet'!$B$10,Paramètres!$A$1:$I$89,3,0)*VLOOKUP('Données projet'!$B$10,Paramètres!$A$1:$I$89,5,0)</f>
        <v>229.05792000000005</v>
      </c>
      <c r="AK120" s="14">
        <f t="shared" si="89"/>
        <v>56.078933175722646</v>
      </c>
      <c r="AL120" s="22">
        <f t="shared" si="58"/>
        <v>496.61335261438376</v>
      </c>
      <c r="AM120" s="62">
        <f t="shared" si="59"/>
        <v>789.94668594771701</v>
      </c>
      <c r="AN120" s="62">
        <f ca="1">AVERAGE(OFFSET($AM$3,0,0,'Données projet'!$E$10+1,1))-AVERAGE(OFFSET($H$3,0,0,'Données projet'!$E$10+1,1))</f>
        <v>271.76512254565102</v>
      </c>
      <c r="AO120" s="62">
        <f t="shared" si="90"/>
        <v>99.160986083974535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0.63333333333333353</v>
      </c>
      <c r="BD120" s="13">
        <f>IF('Données projet'!$A$88&gt;35,BD119+BC120-BL119,IF(A120&lt;'Données projet'!$A$88,$BA$205^A120,IF(A120='Données projet'!$A$88,'Données projet'!$B$88,BD119+BC120-BL119)))</f>
        <v>60.099999999999994</v>
      </c>
      <c r="BE120" s="14">
        <f>BD120*VLOOKUP('Données projet'!$B$11,Paramètres!$A$1:$I$89,3,0)*VLOOKUP('Données projet'!$B$11,Paramètres!$A$1:$I$89,5,0)</f>
        <v>69.235199999999992</v>
      </c>
      <c r="BF120" s="14">
        <f t="shared" si="91"/>
        <v>19.483409512552694</v>
      </c>
      <c r="BG120" s="22">
        <f t="shared" si="61"/>
        <v>154.51824490102925</v>
      </c>
      <c r="BH120" s="62">
        <f t="shared" si="62"/>
        <v>447.85157823436259</v>
      </c>
      <c r="BI120" s="62">
        <f ca="1">AVERAGE(OFFSET($BH$3,0,0,'Données projet'!$E$11+1,1))-AVERAGE(OFFSET($H$3,0,0,'Données projet'!$E$11+1,1))</f>
        <v>43.16958872930951</v>
      </c>
      <c r="BJ120" s="62">
        <f t="shared" si="92"/>
        <v>69.202870643733547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-3.3253400033572693E-14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49.695493809293282</v>
      </c>
      <c r="CE120" s="62">
        <f t="shared" si="94"/>
        <v>59.252884227831601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52.462800000000094</v>
      </c>
      <c r="D121" s="12">
        <f t="shared" si="86"/>
        <v>15.247997775460195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522.67984247723734</v>
      </c>
      <c r="H121" s="70">
        <f t="shared" si="56"/>
        <v>411.26297279225997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3.1058565452854698</v>
      </c>
      <c r="N121" s="14">
        <f>IF('Données projet'!$A$36&gt;35,N120+M121-V120,IF(A121&lt;'Données projet'!$A$36,$K$205^A121,IF(A121='Données projet'!$A$36,'Données projet'!$B$36,N120+M121-V120)))</f>
        <v>210.45407614535867</v>
      </c>
      <c r="O121" s="14">
        <f>N121*VLOOKUP('Données projet'!$B$9,Paramètres!$A$1:$I$89,3,0)*VLOOKUP('Données projet'!$B$9,Paramètres!$A$1:$I$89,5,0)</f>
        <v>229.81585115073165</v>
      </c>
      <c r="P121" s="14">
        <f t="shared" si="87"/>
        <v>56.242862388582729</v>
      </c>
      <c r="Q121" s="22">
        <f t="shared" si="107"/>
        <v>498.21892608097255</v>
      </c>
      <c r="R121" s="62">
        <f t="shared" si="55"/>
        <v>791.55225941430581</v>
      </c>
      <c r="S121" s="62">
        <f ca="1">AVERAGE(OFFSET($R$3,0,0,'Données projet'!$E$9+1,1))-AVERAGE(OFFSET($H$3,0,0,'Données projet'!$E$9+1,1))</f>
        <v>308.00850473946429</v>
      </c>
      <c r="T121" s="62">
        <f t="shared" si="88"/>
        <v>70.709140667951715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215.20000000000007</v>
      </c>
      <c r="AJ121" s="14">
        <f>AI121*VLOOKUP('Données projet'!$B$10,Paramètres!$A$1:$I$89,3,0)*VLOOKUP('Données projet'!$B$10,Paramètres!$A$1:$I$89,5,0)</f>
        <v>231.64128000000005</v>
      </c>
      <c r="AK121" s="14">
        <f t="shared" si="89"/>
        <v>56.637417641849474</v>
      </c>
      <c r="AL121" s="22">
        <f t="shared" si="58"/>
        <v>502.08539839288795</v>
      </c>
      <c r="AM121" s="62">
        <f t="shared" si="59"/>
        <v>795.41873172622127</v>
      </c>
      <c r="AN121" s="62">
        <f ca="1">AVERAGE(OFFSET($AM$3,0,0,'Données projet'!$E$10+1,1))-AVERAGE(OFFSET($H$3,0,0,'Données projet'!$E$10+1,1))</f>
        <v>271.76512254565102</v>
      </c>
      <c r="AO121" s="62">
        <f t="shared" si="90"/>
        <v>99.160986083974535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0.63333333333333353</v>
      </c>
      <c r="BD121" s="13">
        <f>IF('Données projet'!$A$88&gt;35,BD120+BC121-BL120,IF(A121&lt;'Données projet'!$A$88,$BA$205^A121,IF(A121='Données projet'!$A$88,'Données projet'!$B$88,BD120+BC121-BL120)))</f>
        <v>60.733333333333327</v>
      </c>
      <c r="BE121" s="14">
        <f>BD121*VLOOKUP('Données projet'!$B$11,Paramètres!$A$1:$I$89,3,0)*VLOOKUP('Données projet'!$B$11,Paramètres!$A$1:$I$89,5,0)</f>
        <v>69.964799999999997</v>
      </c>
      <c r="BF121" s="14">
        <f t="shared" si="91"/>
        <v>19.664715914898895</v>
      </c>
      <c r="BG121" s="22">
        <f t="shared" si="61"/>
        <v>156.10474021844891</v>
      </c>
      <c r="BH121" s="62">
        <f t="shared" si="62"/>
        <v>449.43807355178222</v>
      </c>
      <c r="BI121" s="62">
        <f ca="1">AVERAGE(OFFSET($BH$3,0,0,'Données projet'!$E$11+1,1))-AVERAGE(OFFSET($H$3,0,0,'Données projet'!$E$11+1,1))</f>
        <v>43.16958872930951</v>
      </c>
      <c r="BJ121" s="62">
        <f t="shared" si="92"/>
        <v>69.202870643733547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-3.3253400033572693E-14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49.695493809293282</v>
      </c>
      <c r="CE121" s="62">
        <f t="shared" si="94"/>
        <v>59.252884227831601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52.907400000000095</v>
      </c>
      <c r="D122" s="12">
        <f t="shared" si="86"/>
        <v>15.362120711694237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526.99279145869309</v>
      </c>
      <c r="H122" s="70">
        <f t="shared" si="56"/>
        <v>412.23608190620092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3.1058565452854698</v>
      </c>
      <c r="N122" s="14">
        <f>IF('Données projet'!$A$36&gt;35,N121+M122-V121,IF(A122&lt;'Données projet'!$A$36,$K$205^A122,IF(A122='Données projet'!$A$36,'Données projet'!$B$36,N121+M122-V121)))</f>
        <v>213.55993269064413</v>
      </c>
      <c r="O122" s="14">
        <f>N122*VLOOKUP('Données projet'!$B$9,Paramètres!$A$1:$I$89,3,0)*VLOOKUP('Données projet'!$B$9,Paramètres!$A$1:$I$89,5,0)</f>
        <v>233.2074464981834</v>
      </c>
      <c r="P122" s="14">
        <f t="shared" si="87"/>
        <v>56.975646472826192</v>
      </c>
      <c r="Q122" s="22">
        <f t="shared" si="107"/>
        <v>505.40222025784169</v>
      </c>
      <c r="R122" s="62">
        <f t="shared" si="55"/>
        <v>798.73555359117495</v>
      </c>
      <c r="S122" s="62">
        <f ca="1">AVERAGE(OFFSET($R$3,0,0,'Données projet'!$E$9+1,1))-AVERAGE(OFFSET($H$3,0,0,'Données projet'!$E$9+1,1))</f>
        <v>308.00850473946429</v>
      </c>
      <c r="T122" s="62">
        <f t="shared" si="88"/>
        <v>70.709140667951715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217.60000000000008</v>
      </c>
      <c r="AJ122" s="14">
        <f>AI122*VLOOKUP('Données projet'!$B$10,Paramètres!$A$1:$I$89,3,0)*VLOOKUP('Données projet'!$B$10,Paramètres!$A$1:$I$89,5,0)</f>
        <v>234.22464000000005</v>
      </c>
      <c r="AK122" s="14">
        <f t="shared" si="89"/>
        <v>57.195177570729278</v>
      </c>
      <c r="AL122" s="22">
        <f t="shared" si="58"/>
        <v>507.55618226902021</v>
      </c>
      <c r="AM122" s="62">
        <f t="shared" si="59"/>
        <v>800.88951560235353</v>
      </c>
      <c r="AN122" s="62">
        <f ca="1">AVERAGE(OFFSET($AM$3,0,0,'Données projet'!$E$10+1,1))-AVERAGE(OFFSET($H$3,0,0,'Données projet'!$E$10+1,1))</f>
        <v>271.76512254565102</v>
      </c>
      <c r="AO122" s="62">
        <f t="shared" si="90"/>
        <v>99.160986083974535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0.63333333333333353</v>
      </c>
      <c r="BD122" s="13">
        <f>IF('Données projet'!$A$88&gt;35,BD121+BC122-BL121,IF(A122&lt;'Données projet'!$A$88,$BA$205^A122,IF(A122='Données projet'!$A$88,'Données projet'!$B$88,BD121+BC122-BL121)))</f>
        <v>61.36666666666666</v>
      </c>
      <c r="BE122" s="14">
        <f>BD122*VLOOKUP('Données projet'!$B$11,Paramètres!$A$1:$I$89,3,0)*VLOOKUP('Données projet'!$B$11,Paramètres!$A$1:$I$89,5,0)</f>
        <v>70.694399999999987</v>
      </c>
      <c r="BF122" s="14">
        <f t="shared" si="91"/>
        <v>19.845802371218756</v>
      </c>
      <c r="BG122" s="22">
        <f t="shared" si="61"/>
        <v>157.69085246320597</v>
      </c>
      <c r="BH122" s="62">
        <f t="shared" si="62"/>
        <v>451.02418579653931</v>
      </c>
      <c r="BI122" s="62">
        <f ca="1">AVERAGE(OFFSET($BH$3,0,0,'Données projet'!$E$11+1,1))-AVERAGE(OFFSET($H$3,0,0,'Données projet'!$E$11+1,1))</f>
        <v>43.16958872930951</v>
      </c>
      <c r="BJ122" s="62">
        <f t="shared" si="92"/>
        <v>69.202870643733547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-3.3253400033572693E-14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49.695493809293282</v>
      </c>
      <c r="CE122" s="62">
        <f t="shared" si="94"/>
        <v>59.252884227831601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53.352000000000096</v>
      </c>
      <c r="D123" s="12">
        <f t="shared" si="86"/>
        <v>15.476132071622862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531.30487914937032</v>
      </c>
      <c r="H123" s="70">
        <f t="shared" si="56"/>
        <v>413.20899669140994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3.1058565452854698</v>
      </c>
      <c r="N123" s="14">
        <f>IF('Données projet'!$A$36&gt;35,N122+M123-V122,IF(A123&lt;'Données projet'!$A$36,$K$205^A123,IF(A123='Données projet'!$A$36,'Données projet'!$B$36,N122+M123-V122)))</f>
        <v>216.66578923592959</v>
      </c>
      <c r="O123" s="14">
        <f>N123*VLOOKUP('Données projet'!$B$9,Paramètres!$A$1:$I$89,3,0)*VLOOKUP('Données projet'!$B$9,Paramètres!$A$1:$I$89,5,0)</f>
        <v>236.5990418456351</v>
      </c>
      <c r="P123" s="14">
        <f t="shared" si="87"/>
        <v>57.707191077790945</v>
      </c>
      <c r="Q123" s="22">
        <f t="shared" si="107"/>
        <v>512.58335567496704</v>
      </c>
      <c r="R123" s="62">
        <f t="shared" si="55"/>
        <v>805.91668900830041</v>
      </c>
      <c r="S123" s="62">
        <f ca="1">AVERAGE(OFFSET($R$3,0,0,'Données projet'!$E$9+1,1))-AVERAGE(OFFSET($H$3,0,0,'Données projet'!$E$9+1,1))</f>
        <v>308.00850473946429</v>
      </c>
      <c r="T123" s="62">
        <f t="shared" si="88"/>
        <v>70.709140667951715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220.00000000000009</v>
      </c>
      <c r="AJ123" s="14">
        <f>AI123*VLOOKUP('Données projet'!$B$10,Paramètres!$A$1:$I$89,3,0)*VLOOKUP('Données projet'!$B$10,Paramètres!$A$1:$I$89,5,0)</f>
        <v>236.80800000000008</v>
      </c>
      <c r="AK123" s="14">
        <f t="shared" si="89"/>
        <v>57.752221878398714</v>
      </c>
      <c r="AL123" s="22">
        <f t="shared" si="58"/>
        <v>513.02571977154446</v>
      </c>
      <c r="AM123" s="62">
        <f t="shared" si="59"/>
        <v>806.35905310487783</v>
      </c>
      <c r="AN123" s="62">
        <f ca="1">AVERAGE(OFFSET($AM$3,0,0,'Données projet'!$E$10+1,1))-AVERAGE(OFFSET($H$3,0,0,'Données projet'!$E$10+1,1))</f>
        <v>271.76512254565102</v>
      </c>
      <c r="AO123" s="62">
        <f t="shared" si="90"/>
        <v>99.160986083974535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62.000000000000007</v>
      </c>
      <c r="BB123" s="13">
        <f>VLOOKUP(A123,'Données projet'!$A$87:$I$107,9,0)</f>
        <v>0.63333333333333353</v>
      </c>
      <c r="BC123" s="13">
        <f t="array" ref="BC123">INDEX(BB:BB,MIN(IF(ISNUMBER(BB123:BB319),ROW(BB123:BB319),"")))</f>
        <v>0.63333333333333353</v>
      </c>
      <c r="BD123" s="13">
        <f>IF('Données projet'!$A$88&gt;35,BD122+BC123-BL122,IF(A123&lt;'Données projet'!$A$88,$BA$205^A123,IF(A123='Données projet'!$A$88,'Données projet'!$B$88,BD122+BC123-BL122)))</f>
        <v>61.999999999999993</v>
      </c>
      <c r="BE123" s="14">
        <f>BD123*VLOOKUP('Données projet'!$B$11,Paramètres!$A$1:$I$89,3,0)*VLOOKUP('Données projet'!$B$11,Paramètres!$A$1:$I$89,5,0)</f>
        <v>71.423999999999978</v>
      </c>
      <c r="BF123" s="14">
        <f t="shared" si="91"/>
        <v>20.026671414251194</v>
      </c>
      <c r="BG123" s="22">
        <f t="shared" si="61"/>
        <v>159.27658604648744</v>
      </c>
      <c r="BH123" s="62">
        <f t="shared" si="62"/>
        <v>452.60991937982078</v>
      </c>
      <c r="BI123" s="62">
        <f ca="1">AVERAGE(OFFSET($BH$3,0,0,'Données projet'!$E$11+1,1))-AVERAGE(OFFSET($H$3,0,0,'Données projet'!$E$11+1,1))</f>
        <v>43.16958872930951</v>
      </c>
      <c r="BJ123" s="62">
        <f t="shared" si="92"/>
        <v>69.202870643733547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5.5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-3.3253400033572693E-14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49.695493809293282</v>
      </c>
      <c r="CE123" s="62">
        <f t="shared" si="94"/>
        <v>59.252884227831601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53.796600000000097</v>
      </c>
      <c r="D124" s="12">
        <f t="shared" si="86"/>
        <v>15.590032892798453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535.61611355844491</v>
      </c>
      <c r="H124" s="70">
        <f t="shared" si="56"/>
        <v>414.18171895495743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3.1058565452854698</v>
      </c>
      <c r="N124" s="14">
        <f>IF('Données projet'!$A$36&gt;35,N123+M124-V123,IF(A124&lt;'Données projet'!$A$36,$K$205^A124,IF(A124='Données projet'!$A$36,'Données projet'!$B$36,N123+M124-V123)))</f>
        <v>219.77164578121506</v>
      </c>
      <c r="O124" s="14">
        <f>N124*VLOOKUP('Données projet'!$B$9,Paramètres!$A$1:$I$89,3,0)*VLOOKUP('Données projet'!$B$9,Paramètres!$A$1:$I$89,5,0)</f>
        <v>239.99063719308685</v>
      </c>
      <c r="P124" s="14">
        <f t="shared" si="87"/>
        <v>58.437516024123404</v>
      </c>
      <c r="Q124" s="22">
        <f t="shared" si="107"/>
        <v>519.76236685330775</v>
      </c>
      <c r="R124" s="62">
        <f t="shared" si="55"/>
        <v>813.09570018664112</v>
      </c>
      <c r="S124" s="62">
        <f ca="1">AVERAGE(OFFSET($R$3,0,0,'Données projet'!$E$9+1,1))-AVERAGE(OFFSET($H$3,0,0,'Données projet'!$E$9+1,1))</f>
        <v>308.00850473946429</v>
      </c>
      <c r="T124" s="62">
        <f t="shared" si="88"/>
        <v>70.709140667951715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2.4</v>
      </c>
      <c r="AI124" s="14">
        <f>IF('Données projet'!$A$62&gt;35,AI123+AH124-AQ123,IF(A124&lt;'Données projet'!$A$62,$AF$205^A124,IF(A124='Données projet'!$A$62,'Données projet'!$B$62,AI123+AH124-AQ123)))</f>
        <v>222.40000000000009</v>
      </c>
      <c r="AJ124" s="14">
        <f>AI124*VLOOKUP('Données projet'!$B$10,Paramètres!$A$1:$I$89,3,0)*VLOOKUP('Données projet'!$B$10,Paramètres!$A$1:$I$89,5,0)</f>
        <v>239.39136000000008</v>
      </c>
      <c r="AK124" s="14">
        <f t="shared" si="89"/>
        <v>58.30855927515961</v>
      </c>
      <c r="AL124" s="22">
        <f t="shared" si="58"/>
        <v>518.49402607090303</v>
      </c>
      <c r="AM124" s="62">
        <f t="shared" si="59"/>
        <v>811.8273594042364</v>
      </c>
      <c r="AN124" s="62">
        <f ca="1">AVERAGE(OFFSET($AM$3,0,0,'Données projet'!$E$10+1,1))-AVERAGE(OFFSET($H$3,0,0,'Données projet'!$E$10+1,1))</f>
        <v>271.76512254565102</v>
      </c>
      <c r="AO124" s="62">
        <f t="shared" si="90"/>
        <v>99.160986083974535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0.57916666666666639</v>
      </c>
      <c r="BD124" s="13">
        <f>IF('Données projet'!$A$88&gt;35,BD123+BC124-BL123,IF(A124&lt;'Données projet'!$A$88,$BA$205^A124,IF(A124='Données projet'!$A$88,'Données projet'!$B$88,BD123+BC124-BL123)))</f>
        <v>57.079166666666659</v>
      </c>
      <c r="BE124" s="14">
        <f>BD124*VLOOKUP('Données projet'!$B$11,Paramètres!$A$1:$I$89,3,0)*VLOOKUP('Données projet'!$B$11,Paramètres!$A$1:$I$89,5,0)</f>
        <v>65.755199999999988</v>
      </c>
      <c r="BF124" s="14">
        <f t="shared" si="91"/>
        <v>18.615517074767265</v>
      </c>
      <c r="BG124" s="22">
        <f t="shared" si="61"/>
        <v>146.94566557188628</v>
      </c>
      <c r="BH124" s="62">
        <f t="shared" si="62"/>
        <v>440.27899890521962</v>
      </c>
      <c r="BI124" s="62">
        <f ca="1">AVERAGE(OFFSET($BH$3,0,0,'Données projet'!$E$11+1,1))-AVERAGE(OFFSET($H$3,0,0,'Données projet'!$E$11+1,1))</f>
        <v>43.16958872930951</v>
      </c>
      <c r="BJ124" s="62">
        <f t="shared" si="92"/>
        <v>69.202870643733547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-3.3253400033572693E-14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49.695493809293282</v>
      </c>
      <c r="CE124" s="62">
        <f t="shared" si="94"/>
        <v>59.252884227831601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54.241200000000099</v>
      </c>
      <c r="D125" s="12">
        <f t="shared" si="86"/>
        <v>15.703824194633777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539.92650255506851</v>
      </c>
      <c r="H125" s="70">
        <f t="shared" si="56"/>
        <v>415.15425047232065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3.1058565452854698</v>
      </c>
      <c r="N125" s="14">
        <f>IF('Données projet'!$A$36&gt;35,N124+M125-V124,IF(A125&lt;'Données projet'!$A$36,$K$205^A125,IF(A125='Données projet'!$A$36,'Données projet'!$B$36,N124+M125-V124)))</f>
        <v>222.87750232650052</v>
      </c>
      <c r="O125" s="14">
        <f>N125*VLOOKUP('Données projet'!$B$9,Paramètres!$A$1:$I$89,3,0)*VLOOKUP('Données projet'!$B$9,Paramètres!$A$1:$I$89,5,0)</f>
        <v>243.38223254053855</v>
      </c>
      <c r="P125" s="14">
        <f t="shared" si="87"/>
        <v>59.1666405400752</v>
      </c>
      <c r="Q125" s="22">
        <f t="shared" si="107"/>
        <v>526.9392872820689</v>
      </c>
      <c r="R125" s="62">
        <f t="shared" si="55"/>
        <v>820.27262061540227</v>
      </c>
      <c r="S125" s="62">
        <f ca="1">AVERAGE(OFFSET($R$3,0,0,'Données projet'!$E$9+1,1))-AVERAGE(OFFSET($H$3,0,0,'Données projet'!$E$9+1,1))</f>
        <v>308.00850473946429</v>
      </c>
      <c r="T125" s="62">
        <f t="shared" si="88"/>
        <v>70.709140667951715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2.4</v>
      </c>
      <c r="AI125" s="14">
        <f>IF('Données projet'!$A$62&gt;35,AI124+AH125-AQ124,IF(A125&lt;'Données projet'!$A$62,$AF$205^A125,IF(A125='Données projet'!$A$62,'Données projet'!$B$62,AI124+AH125-AQ124)))</f>
        <v>224.8000000000001</v>
      </c>
      <c r="AJ125" s="14">
        <f>AI125*VLOOKUP('Données projet'!$B$10,Paramètres!$A$1:$I$89,3,0)*VLOOKUP('Données projet'!$B$10,Paramètres!$A$1:$I$89,5,0)</f>
        <v>241.97472000000008</v>
      </c>
      <c r="AK125" s="14">
        <f t="shared" si="89"/>
        <v>58.86419827249361</v>
      </c>
      <c r="AL125" s="22">
        <f t="shared" si="58"/>
        <v>523.96111599125982</v>
      </c>
      <c r="AM125" s="62">
        <f t="shared" si="59"/>
        <v>817.29444932459319</v>
      </c>
      <c r="AN125" s="62">
        <f ca="1">AVERAGE(OFFSET($AM$3,0,0,'Données projet'!$E$10+1,1))-AVERAGE(OFFSET($H$3,0,0,'Données projet'!$E$10+1,1))</f>
        <v>271.76512254565102</v>
      </c>
      <c r="AO125" s="62">
        <f t="shared" si="90"/>
        <v>99.160986083974535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0.57916666666666639</v>
      </c>
      <c r="BD125" s="13">
        <f>IF('Données projet'!$A$88&gt;35,BD124+BC125-BL124,IF(A125&lt;'Données projet'!$A$88,$BA$205^A125,IF(A125='Données projet'!$A$88,'Données projet'!$B$88,BD124+BC125-BL124)))</f>
        <v>57.658333333333324</v>
      </c>
      <c r="BE125" s="14">
        <f>BD125*VLOOKUP('Données projet'!$B$11,Paramètres!$A$1:$I$89,3,0)*VLOOKUP('Données projet'!$B$11,Paramètres!$A$1:$I$89,5,0)</f>
        <v>66.422399999999982</v>
      </c>
      <c r="BF125" s="14">
        <f t="shared" si="91"/>
        <v>18.78231904100311</v>
      </c>
      <c r="BG125" s="22">
        <f t="shared" si="61"/>
        <v>148.3982189964137</v>
      </c>
      <c r="BH125" s="62">
        <f t="shared" si="62"/>
        <v>441.73155232974705</v>
      </c>
      <c r="BI125" s="62">
        <f ca="1">AVERAGE(OFFSET($BH$3,0,0,'Données projet'!$E$11+1,1))-AVERAGE(OFFSET($H$3,0,0,'Données projet'!$E$11+1,1))</f>
        <v>43.16958872930951</v>
      </c>
      <c r="BJ125" s="62">
        <f t="shared" si="92"/>
        <v>69.202870643733547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-3.3253400033572693E-14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49.695493809293282</v>
      </c>
      <c r="CE125" s="62">
        <f t="shared" si="94"/>
        <v>59.252884227831601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54.6858000000001</v>
      </c>
      <c r="D126" s="12">
        <f t="shared" si="86"/>
        <v>15.817506978865135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544.23605387194232</v>
      </c>
      <c r="H126" s="70">
        <f t="shared" si="56"/>
        <v>416.12659298819028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3.1058565452854698</v>
      </c>
      <c r="N126" s="14">
        <f>IF('Données projet'!$A$36&gt;35,N125+M126-V125,IF(A126&lt;'Données projet'!$A$36,$K$205^A126,IF(A126='Données projet'!$A$36,'Données projet'!$B$36,N125+M126-V125)))</f>
        <v>225.98335887178598</v>
      </c>
      <c r="O126" s="14">
        <f>N126*VLOOKUP('Données projet'!$B$9,Paramètres!$A$1:$I$89,3,0)*VLOOKUP('Données projet'!$B$9,Paramètres!$A$1:$I$89,5,0)</f>
        <v>246.77382788799028</v>
      </c>
      <c r="P126" s="14">
        <f t="shared" si="87"/>
        <v>59.89458328721188</v>
      </c>
      <c r="Q126" s="22">
        <f t="shared" si="107"/>
        <v>534.11414946347702</v>
      </c>
      <c r="R126" s="62">
        <f t="shared" si="55"/>
        <v>827.44748279681039</v>
      </c>
      <c r="S126" s="62">
        <f ca="1">AVERAGE(OFFSET($R$3,0,0,'Données projet'!$E$9+1,1))-AVERAGE(OFFSET($H$3,0,0,'Données projet'!$E$9+1,1))</f>
        <v>308.00850473946429</v>
      </c>
      <c r="T126" s="62">
        <f t="shared" si="88"/>
        <v>70.709140667951715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2.4</v>
      </c>
      <c r="AI126" s="14">
        <f>IF('Données projet'!$A$62&gt;35,AI125+AH126-AQ125,IF(A126&lt;'Données projet'!$A$62,$AF$205^A126,IF(A126='Données projet'!$A$62,'Données projet'!$B$62,AI125+AH126-AQ125)))</f>
        <v>227.2000000000001</v>
      </c>
      <c r="AJ126" s="14">
        <f>AI126*VLOOKUP('Données projet'!$B$10,Paramètres!$A$1:$I$89,3,0)*VLOOKUP('Données projet'!$B$10,Paramètres!$A$1:$I$89,5,0)</f>
        <v>244.5580800000001</v>
      </c>
      <c r="AK126" s="14">
        <f t="shared" si="89"/>
        <v>59.419147189674213</v>
      </c>
      <c r="AL126" s="22">
        <f t="shared" si="58"/>
        <v>529.42700402201604</v>
      </c>
      <c r="AM126" s="62">
        <f t="shared" si="59"/>
        <v>822.76033735534929</v>
      </c>
      <c r="AN126" s="62">
        <f ca="1">AVERAGE(OFFSET($AM$3,0,0,'Données projet'!$E$10+1,1))-AVERAGE(OFFSET($H$3,0,0,'Données projet'!$E$10+1,1))</f>
        <v>271.76512254565102</v>
      </c>
      <c r="AO126" s="62">
        <f t="shared" si="90"/>
        <v>99.160986083974535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0.57916666666666639</v>
      </c>
      <c r="BD126" s="13">
        <f>IF('Données projet'!$A$88&gt;35,BD125+BC126-BL125,IF(A126&lt;'Données projet'!$A$88,$BA$205^A126,IF(A126='Données projet'!$A$88,'Données projet'!$B$88,BD125+BC126-BL125)))</f>
        <v>58.23749999999999</v>
      </c>
      <c r="BE126" s="14">
        <f>BD126*VLOOKUP('Données projet'!$B$11,Paramètres!$A$1:$I$89,3,0)*VLOOKUP('Données projet'!$B$11,Paramètres!$A$1:$I$89,5,0)</f>
        <v>67.089599999999976</v>
      </c>
      <c r="BF126" s="14">
        <f t="shared" si="91"/>
        <v>18.948926090347364</v>
      </c>
      <c r="BG126" s="22">
        <f t="shared" si="61"/>
        <v>149.85043294068831</v>
      </c>
      <c r="BH126" s="62">
        <f t="shared" si="62"/>
        <v>443.18376627402165</v>
      </c>
      <c r="BI126" s="62">
        <f ca="1">AVERAGE(OFFSET($BH$3,0,0,'Données projet'!$E$11+1,1))-AVERAGE(OFFSET($H$3,0,0,'Données projet'!$E$11+1,1))</f>
        <v>43.16958872930951</v>
      </c>
      <c r="BJ126" s="62">
        <f t="shared" si="92"/>
        <v>69.202870643733547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-3.3253400033572693E-14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49.695493809293282</v>
      </c>
      <c r="CE126" s="62">
        <f t="shared" si="94"/>
        <v>59.252884227831601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55.130400000000101</v>
      </c>
      <c r="D127" s="12">
        <f t="shared" si="86"/>
        <v>15.931082230000056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548.54477510877314</v>
      </c>
      <c r="H127" s="70">
        <f t="shared" si="56"/>
        <v>417.09874821725026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3.1058565452854698</v>
      </c>
      <c r="N127" s="14">
        <f>IF('Données projet'!$A$36&gt;35,N126+M127-V126,IF(A127&lt;'Données projet'!$A$36,$K$205^A127,IF(A127='Données projet'!$A$36,'Données projet'!$B$36,N126+M127-V126)))</f>
        <v>229.08921541707144</v>
      </c>
      <c r="O127" s="14">
        <f>N127*VLOOKUP('Données projet'!$B$9,Paramètres!$A$1:$I$89,3,0)*VLOOKUP('Données projet'!$B$9,Paramètres!$A$1:$I$89,5,0)</f>
        <v>250.16542323544203</v>
      </c>
      <c r="P127" s="14">
        <f t="shared" si="87"/>
        <v>60.621362384668494</v>
      </c>
      <c r="Q127" s="22">
        <f t="shared" si="107"/>
        <v>541.28698495502579</v>
      </c>
      <c r="R127" s="62">
        <f t="shared" si="55"/>
        <v>834.62031828835916</v>
      </c>
      <c r="S127" s="62">
        <f ca="1">AVERAGE(OFFSET($R$3,0,0,'Données projet'!$E$9+1,1))-AVERAGE(OFFSET($H$3,0,0,'Données projet'!$E$9+1,1))</f>
        <v>308.00850473946429</v>
      </c>
      <c r="T127" s="62">
        <f t="shared" si="88"/>
        <v>70.709140667951715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2.4</v>
      </c>
      <c r="AI127" s="14">
        <f>IF('Données projet'!$A$62&gt;35,AI126+AH127-AQ126,IF(A127&lt;'Données projet'!$A$62,$AF$205^A127,IF(A127='Données projet'!$A$62,'Données projet'!$B$62,AI126+AH127-AQ126)))</f>
        <v>229.60000000000011</v>
      </c>
      <c r="AJ127" s="14">
        <f>AI127*VLOOKUP('Données projet'!$B$10,Paramètres!$A$1:$I$89,3,0)*VLOOKUP('Données projet'!$B$10,Paramètres!$A$1:$I$89,5,0)</f>
        <v>247.1414400000001</v>
      </c>
      <c r="AK127" s="14">
        <f t="shared" si="89"/>
        <v>59.97341416009025</v>
      </c>
      <c r="AL127" s="22">
        <f t="shared" si="58"/>
        <v>534.89170432882406</v>
      </c>
      <c r="AM127" s="62">
        <f t="shared" si="59"/>
        <v>828.22503766215732</v>
      </c>
      <c r="AN127" s="62">
        <f ca="1">AVERAGE(OFFSET($AM$3,0,0,'Données projet'!$E$10+1,1))-AVERAGE(OFFSET($H$3,0,0,'Données projet'!$E$10+1,1))</f>
        <v>271.76512254565102</v>
      </c>
      <c r="AO127" s="62">
        <f t="shared" si="90"/>
        <v>99.160986083974535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0.57916666666666639</v>
      </c>
      <c r="BD127" s="13">
        <f>IF('Données projet'!$A$88&gt;35,BD126+BC127-BL126,IF(A127&lt;'Données projet'!$A$88,$BA$205^A127,IF(A127='Données projet'!$A$88,'Données projet'!$B$88,BD126+BC127-BL126)))</f>
        <v>58.816666666666656</v>
      </c>
      <c r="BE127" s="14">
        <f>BD127*VLOOKUP('Données projet'!$B$11,Paramètres!$A$1:$I$89,3,0)*VLOOKUP('Données projet'!$B$11,Paramètres!$A$1:$I$89,5,0)</f>
        <v>67.756799999999984</v>
      </c>
      <c r="BF127" s="14">
        <f t="shared" si="91"/>
        <v>19.115340385683762</v>
      </c>
      <c r="BG127" s="22">
        <f t="shared" si="61"/>
        <v>151.30231117173253</v>
      </c>
      <c r="BH127" s="62">
        <f t="shared" si="62"/>
        <v>444.63564450506584</v>
      </c>
      <c r="BI127" s="62">
        <f ca="1">AVERAGE(OFFSET($BH$3,0,0,'Données projet'!$E$11+1,1))-AVERAGE(OFFSET($H$3,0,0,'Données projet'!$E$11+1,1))</f>
        <v>43.16958872930951</v>
      </c>
      <c r="BJ127" s="62">
        <f t="shared" si="92"/>
        <v>69.202870643733547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-3.3253400033572693E-14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49.695493809293282</v>
      </c>
      <c r="CE127" s="62">
        <f t="shared" si="94"/>
        <v>59.252884227831601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55.575000000000102</v>
      </c>
      <c r="D128" s="12">
        <f t="shared" si="86"/>
        <v>16.044550915750072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552.85267373561544</v>
      </c>
      <c r="H128" s="70">
        <f t="shared" si="56"/>
        <v>418.07071784493155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3.1058565452854698</v>
      </c>
      <c r="N128" s="14">
        <f>IF('Données projet'!$A$36&gt;35,N127+M128-V127,IF(A128&lt;'Données projet'!$A$36,$K$205^A128,IF(A128='Données projet'!$A$36,'Données projet'!$B$36,N127+M128-V127)))</f>
        <v>232.19507196235691</v>
      </c>
      <c r="O128" s="14">
        <f>N128*VLOOKUP('Données projet'!$B$9,Paramètres!$A$1:$I$89,3,0)*VLOOKUP('Données projet'!$B$9,Paramètres!$A$1:$I$89,5,0)</f>
        <v>253.55701858289373</v>
      </c>
      <c r="P128" s="14">
        <f t="shared" si="87"/>
        <v>61.346995432052204</v>
      </c>
      <c r="Q128" s="22">
        <f t="shared" si="107"/>
        <v>548.45782440936409</v>
      </c>
      <c r="R128" s="62">
        <f t="shared" si="55"/>
        <v>841.79115774269735</v>
      </c>
      <c r="S128" s="62">
        <f ca="1">AVERAGE(OFFSET($R$3,0,0,'Données projet'!$E$9+1,1))-AVERAGE(OFFSET($H$3,0,0,'Données projet'!$E$9+1,1))</f>
        <v>308.00850473946429</v>
      </c>
      <c r="T128" s="62">
        <f t="shared" si="88"/>
        <v>70.709140667951715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232</v>
      </c>
      <c r="AG128" s="13">
        <f>VLOOKUP(A128,'Données projet'!$A$61:$I$81,9,0)</f>
        <v>2.4</v>
      </c>
      <c r="AH128" s="13">
        <f t="array" ref="AH128">INDEX(AG:AG,MIN(IF(ISNUMBER(AG128:AG324),ROW(AG128:AG324),"")))</f>
        <v>2.4</v>
      </c>
      <c r="AI128" s="14">
        <f>IF('Données projet'!$A$62&gt;35,AI127+AH128-AQ127,IF(A128&lt;'Données projet'!$A$62,$AF$205^A128,IF(A128='Données projet'!$A$62,'Données projet'!$B$62,AI127+AH128-AQ127)))</f>
        <v>232.00000000000011</v>
      </c>
      <c r="AJ128" s="14">
        <f>AI128*VLOOKUP('Données projet'!$B$10,Paramètres!$A$1:$I$89,3,0)*VLOOKUP('Données projet'!$B$10,Paramètres!$A$1:$I$89,5,0)</f>
        <v>249.72480000000013</v>
      </c>
      <c r="AK128" s="14">
        <f t="shared" si="89"/>
        <v>60.527007137298142</v>
      </c>
      <c r="AL128" s="22">
        <f t="shared" si="58"/>
        <v>540.3552307641279</v>
      </c>
      <c r="AM128" s="62">
        <f t="shared" si="59"/>
        <v>833.68856409746127</v>
      </c>
      <c r="AN128" s="62">
        <f ca="1">AVERAGE(OFFSET($AM$3,0,0,'Données projet'!$E$10+1,1))-AVERAGE(OFFSET($H$3,0,0,'Données projet'!$E$10+1,1))</f>
        <v>271.76512254565102</v>
      </c>
      <c r="AO128" s="62">
        <f t="shared" si="90"/>
        <v>99.160986083974535</v>
      </c>
      <c r="AP128" s="16">
        <f>IF(ISNA(VLOOKUP(A128,'Données projet'!$A$61:$I$81,3,0)),0,VLOOKUP(A128,'Données projet'!$A$61:$I$81,3,0))</f>
        <v>10</v>
      </c>
      <c r="AQ128" s="16">
        <f>IF(ISNA(VLOOKUP(A128,'Données projet'!$A$61:$I$81,4,0)),0,VLOOKUP(A128,'Données projet'!$A$61:$I$81,4,0))</f>
        <v>23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0.57916666666666639</v>
      </c>
      <c r="BD128" s="13">
        <f>IF('Données projet'!$A$88&gt;35,BD127+BC128-BL127,IF(A128&lt;'Données projet'!$A$88,$BA$205^A128,IF(A128='Données projet'!$A$88,'Données projet'!$B$88,BD127+BC128-BL127)))</f>
        <v>59.395833333333321</v>
      </c>
      <c r="BE128" s="14">
        <f>BD128*VLOOKUP('Données projet'!$B$11,Paramètres!$A$1:$I$89,3,0)*VLOOKUP('Données projet'!$B$11,Paramètres!$A$1:$I$89,5,0)</f>
        <v>68.423999999999978</v>
      </c>
      <c r="BF128" s="14">
        <f t="shared" si="91"/>
        <v>19.281564044844902</v>
      </c>
      <c r="BG128" s="22">
        <f t="shared" si="61"/>
        <v>152.75385737810481</v>
      </c>
      <c r="BH128" s="62">
        <f t="shared" si="62"/>
        <v>446.0871907114381</v>
      </c>
      <c r="BI128" s="62">
        <f ca="1">AVERAGE(OFFSET($BH$3,0,0,'Données projet'!$E$11+1,1))-AVERAGE(OFFSET($H$3,0,0,'Données projet'!$E$11+1,1))</f>
        <v>43.16958872930951</v>
      </c>
      <c r="BJ128" s="62">
        <f t="shared" si="92"/>
        <v>69.202870643733547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-3.3253400033572693E-14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49.695493809293282</v>
      </c>
      <c r="CE128" s="62">
        <f t="shared" si="94"/>
        <v>59.252884227831601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56.019600000000104</v>
      </c>
      <c r="D129" s="12">
        <f t="shared" si="86"/>
        <v>16.157913987449302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557.15975709610075</v>
      </c>
      <c r="H129" s="70">
        <f t="shared" si="56"/>
        <v>419.04250352814103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3.1058565452854698</v>
      </c>
      <c r="N129" s="14">
        <f>IF('Données projet'!$A$36&gt;35,N128+M129-V128,IF(A129&lt;'Données projet'!$A$36,$K$205^A129,IF(A129='Données projet'!$A$36,'Données projet'!$B$36,N128+M129-V128)))</f>
        <v>235.30092850764237</v>
      </c>
      <c r="O129" s="14">
        <f>N129*VLOOKUP('Données projet'!$B$9,Paramètres!$A$1:$I$89,3,0)*VLOOKUP('Données projet'!$B$9,Paramètres!$A$1:$I$89,5,0)</f>
        <v>256.94861393034546</v>
      </c>
      <c r="P129" s="14">
        <f t="shared" si="87"/>
        <v>62.071499531084093</v>
      </c>
      <c r="Q129" s="22">
        <f t="shared" si="107"/>
        <v>555.6266976119897</v>
      </c>
      <c r="R129" s="62">
        <f t="shared" si="55"/>
        <v>848.96003094532307</v>
      </c>
      <c r="S129" s="62">
        <f ca="1">AVERAGE(OFFSET($R$3,0,0,'Données projet'!$E$9+1,1))-AVERAGE(OFFSET($H$3,0,0,'Données projet'!$E$9+1,1))</f>
        <v>308.00850473946429</v>
      </c>
      <c r="T129" s="62">
        <f t="shared" si="88"/>
        <v>70.709140667951715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</v>
      </c>
      <c r="AI129" s="14">
        <f>IF('Données projet'!$A$62&gt;35,AI128+AH129-AQ128,IF(A129&lt;'Données projet'!$A$62,$AF$205^A129,IF(A129='Données projet'!$A$62,'Données projet'!$B$62,AI128+AH129-AQ128)))</f>
        <v>211.00000000000011</v>
      </c>
      <c r="AJ129" s="14">
        <f>AI129*VLOOKUP('Données projet'!$B$10,Paramètres!$A$1:$I$89,3,0)*VLOOKUP('Données projet'!$B$10,Paramètres!$A$1:$I$89,5,0)</f>
        <v>227.1204000000001</v>
      </c>
      <c r="AK129" s="14">
        <f t="shared" si="89"/>
        <v>55.6595888651092</v>
      </c>
      <c r="AL129" s="22">
        <f t="shared" si="58"/>
        <v>492.50848060673201</v>
      </c>
      <c r="AM129" s="62">
        <f t="shared" si="59"/>
        <v>785.84181394006532</v>
      </c>
      <c r="AN129" s="62">
        <f ca="1">AVERAGE(OFFSET($AM$3,0,0,'Données projet'!$E$10+1,1))-AVERAGE(OFFSET($H$3,0,0,'Données projet'!$E$10+1,1))</f>
        <v>271.76512254565102</v>
      </c>
      <c r="AO129" s="62">
        <f t="shared" si="90"/>
        <v>99.160986083974535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0.57916666666666639</v>
      </c>
      <c r="BD129" s="13">
        <f>IF('Données projet'!$A$88&gt;35,BD128+BC129-BL128,IF(A129&lt;'Données projet'!$A$88,$BA$205^A129,IF(A129='Données projet'!$A$88,'Données projet'!$B$88,BD128+BC129-BL128)))</f>
        <v>59.974999999999987</v>
      </c>
      <c r="BE129" s="14">
        <f>BD129*VLOOKUP('Données projet'!$B$11,Paramètres!$A$1:$I$89,3,0)*VLOOKUP('Données projet'!$B$11,Paramètres!$A$1:$I$89,5,0)</f>
        <v>69.091199999999986</v>
      </c>
      <c r="BF129" s="14">
        <f t="shared" si="91"/>
        <v>19.447599141980504</v>
      </c>
      <c r="BG129" s="22">
        <f t="shared" si="61"/>
        <v>154.20507517228268</v>
      </c>
      <c r="BH129" s="62">
        <f t="shared" si="62"/>
        <v>447.53840850561596</v>
      </c>
      <c r="BI129" s="62">
        <f ca="1">AVERAGE(OFFSET($BH$3,0,0,'Données projet'!$E$11+1,1))-AVERAGE(OFFSET($H$3,0,0,'Données projet'!$E$11+1,1))</f>
        <v>43.16958872930951</v>
      </c>
      <c r="BJ129" s="62">
        <f t="shared" si="92"/>
        <v>69.202870643733547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-3.3253400033572693E-14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49.695493809293282</v>
      </c>
      <c r="CE129" s="62">
        <f t="shared" si="94"/>
        <v>59.252884227831601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56.464200000000105</v>
      </c>
      <c r="D130" s="12">
        <f t="shared" si="86"/>
        <v>16.271172380459397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561.46603241056448</v>
      </c>
      <c r="H130" s="70">
        <f t="shared" si="56"/>
        <v>420.01410689596696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3.1058565452854698</v>
      </c>
      <c r="N130" s="14">
        <f>IF('Données projet'!$A$36&gt;35,N129+M130-V129,IF(A130&lt;'Données projet'!$A$36,$K$205^A130,IF(A130='Données projet'!$A$36,'Données projet'!$B$36,N129+M130-V129)))</f>
        <v>238.40678505292783</v>
      </c>
      <c r="O130" s="14">
        <f>N130*VLOOKUP('Données projet'!$B$9,Paramètres!$A$1:$I$89,3,0)*VLOOKUP('Données projet'!$B$9,Paramètres!$A$1:$I$89,5,0)</f>
        <v>260.34020927779716</v>
      </c>
      <c r="P130" s="14">
        <f t="shared" si="87"/>
        <v>62.794891306067051</v>
      </c>
      <c r="Q130" s="22">
        <f t="shared" si="107"/>
        <v>562.79363351689676</v>
      </c>
      <c r="R130" s="62">
        <f t="shared" si="55"/>
        <v>856.12696685023002</v>
      </c>
      <c r="S130" s="62">
        <f ca="1">AVERAGE(OFFSET($R$3,0,0,'Données projet'!$E$9+1,1))-AVERAGE(OFFSET($H$3,0,0,'Données projet'!$E$9+1,1))</f>
        <v>308.00850473946429</v>
      </c>
      <c r="T130" s="62">
        <f t="shared" si="88"/>
        <v>70.709140667951715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</v>
      </c>
      <c r="AI130" s="14">
        <f>IF('Données projet'!$A$62&gt;35,AI129+AH130-AQ129,IF(A130&lt;'Données projet'!$A$62,$AF$205^A130,IF(A130='Données projet'!$A$62,'Données projet'!$B$62,AI129+AH130-AQ129)))</f>
        <v>213.00000000000011</v>
      </c>
      <c r="AJ130" s="14">
        <f>AI130*VLOOKUP('Données projet'!$B$10,Paramètres!$A$1:$I$89,3,0)*VLOOKUP('Données projet'!$B$10,Paramètres!$A$1:$I$89,5,0)</f>
        <v>229.27320000000009</v>
      </c>
      <c r="AK130" s="14">
        <f t="shared" si="89"/>
        <v>56.125501442527415</v>
      </c>
      <c r="AL130" s="22">
        <f t="shared" si="58"/>
        <v>497.06940501240206</v>
      </c>
      <c r="AM130" s="62">
        <f t="shared" si="59"/>
        <v>790.40273834573532</v>
      </c>
      <c r="AN130" s="62">
        <f ca="1">AVERAGE(OFFSET($AM$3,0,0,'Données projet'!$E$10+1,1))-AVERAGE(OFFSET($H$3,0,0,'Données projet'!$E$10+1,1))</f>
        <v>271.76512254565102</v>
      </c>
      <c r="AO130" s="62">
        <f t="shared" si="90"/>
        <v>99.160986083974535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0.57916666666666639</v>
      </c>
      <c r="BD130" s="13">
        <f>IF('Données projet'!$A$88&gt;35,BD129+BC130-BL129,IF(A130&lt;'Données projet'!$A$88,$BA$205^A130,IF(A130='Données projet'!$A$88,'Données projet'!$B$88,BD129+BC130-BL129)))</f>
        <v>60.554166666666653</v>
      </c>
      <c r="BE130" s="14">
        <f>BD130*VLOOKUP('Données projet'!$B$11,Paramètres!$A$1:$I$89,3,0)*VLOOKUP('Données projet'!$B$11,Paramètres!$A$1:$I$89,5,0)</f>
        <v>69.75839999999998</v>
      </c>
      <c r="BF130" s="14">
        <f t="shared" si="91"/>
        <v>19.613447708871433</v>
      </c>
      <c r="BG130" s="22">
        <f t="shared" si="61"/>
        <v>155.65596809295104</v>
      </c>
      <c r="BH130" s="62">
        <f t="shared" si="62"/>
        <v>448.98930142628433</v>
      </c>
      <c r="BI130" s="62">
        <f ca="1">AVERAGE(OFFSET($BH$3,0,0,'Données projet'!$E$11+1,1))-AVERAGE(OFFSET($H$3,0,0,'Données projet'!$E$11+1,1))</f>
        <v>43.16958872930951</v>
      </c>
      <c r="BJ130" s="62">
        <f t="shared" si="92"/>
        <v>69.202870643733547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-3.3253400033572693E-14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49.695493809293282</v>
      </c>
      <c r="CE130" s="62">
        <f t="shared" si="94"/>
        <v>59.252884227831601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56.908800000000106</v>
      </c>
      <c r="D131" s="12">
        <f t="shared" si="86"/>
        <v>16.384327014561226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565.77150677907002</v>
      </c>
      <c r="H131" s="70">
        <f t="shared" si="56"/>
        <v>420.98552955036098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3.1058565452854698</v>
      </c>
      <c r="N131" s="14">
        <f>IF('Données projet'!$A$36&gt;35,N130+M131-V130,IF(A131&lt;'Données projet'!$A$36,$K$205^A131,IF(A131='Données projet'!$A$36,'Données projet'!$B$36,N130+M131-V130)))</f>
        <v>241.51264159821329</v>
      </c>
      <c r="O131" s="14">
        <f>N131*VLOOKUP('Données projet'!$B$9,Paramètres!$A$1:$I$89,3,0)*VLOOKUP('Données projet'!$B$9,Paramètres!$A$1:$I$89,5,0)</f>
        <v>263.73180462524891</v>
      </c>
      <c r="P131" s="14">
        <f t="shared" si="87"/>
        <v>63.517186923255352</v>
      </c>
      <c r="Q131" s="22">
        <f t="shared" ref="Q131:Q153" si="108">(O131+P131)*0.475*44/12</f>
        <v>569.95866028031151</v>
      </c>
      <c r="R131" s="62">
        <f t="shared" ref="R131:R194" si="109">Q131+(I131+J131)*44/12</f>
        <v>863.29199361364476</v>
      </c>
      <c r="S131" s="62">
        <f ca="1">AVERAGE(OFFSET($R$3,0,0,'Données projet'!$E$9+1,1))-AVERAGE(OFFSET($H$3,0,0,'Données projet'!$E$9+1,1))</f>
        <v>308.00850473946429</v>
      </c>
      <c r="T131" s="62">
        <f t="shared" si="88"/>
        <v>70.709140667951715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</v>
      </c>
      <c r="AI131" s="14">
        <f>IF('Données projet'!$A$62&gt;35,AI130+AH131-AQ130,IF(A131&lt;'Données projet'!$A$62,$AF$205^A131,IF(A131='Données projet'!$A$62,'Données projet'!$B$62,AI130+AH131-AQ130)))</f>
        <v>215.00000000000011</v>
      </c>
      <c r="AJ131" s="14">
        <f>AI131*VLOOKUP('Données projet'!$B$10,Paramètres!$A$1:$I$89,3,0)*VLOOKUP('Données projet'!$B$10,Paramètres!$A$1:$I$89,5,0)</f>
        <v>231.42600000000013</v>
      </c>
      <c r="AK131" s="14">
        <f t="shared" si="89"/>
        <v>56.590905067453271</v>
      </c>
      <c r="AL131" s="22">
        <f t="shared" si="58"/>
        <v>501.62944299248142</v>
      </c>
      <c r="AM131" s="62">
        <f t="shared" si="59"/>
        <v>794.96277632581473</v>
      </c>
      <c r="AN131" s="62">
        <f ca="1">AVERAGE(OFFSET($AM$3,0,0,'Données projet'!$E$10+1,1))-AVERAGE(OFFSET($H$3,0,0,'Données projet'!$E$10+1,1))</f>
        <v>271.76512254565102</v>
      </c>
      <c r="AO131" s="62">
        <f t="shared" si="90"/>
        <v>99.160986083974535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0.57916666666666639</v>
      </c>
      <c r="BD131" s="13">
        <f>IF('Données projet'!$A$88&gt;35,BD130+BC131-BL130,IF(A131&lt;'Données projet'!$A$88,$BA$205^A131,IF(A131='Données projet'!$A$88,'Données projet'!$B$88,BD130+BC131-BL130)))</f>
        <v>61.133333333333319</v>
      </c>
      <c r="BE131" s="14">
        <f>BD131*VLOOKUP('Données projet'!$B$11,Paramètres!$A$1:$I$89,3,0)*VLOOKUP('Données projet'!$B$11,Paramètres!$A$1:$I$89,5,0)</f>
        <v>70.425599999999974</v>
      </c>
      <c r="BF131" s="14">
        <f t="shared" si="91"/>
        <v>19.779111736191865</v>
      </c>
      <c r="BG131" s="22">
        <f t="shared" si="61"/>
        <v>157.10653960720077</v>
      </c>
      <c r="BH131" s="62">
        <f t="shared" si="62"/>
        <v>450.43987294053409</v>
      </c>
      <c r="BI131" s="62">
        <f ca="1">AVERAGE(OFFSET($BH$3,0,0,'Données projet'!$E$11+1,1))-AVERAGE(OFFSET($H$3,0,0,'Données projet'!$E$11+1,1))</f>
        <v>43.16958872930951</v>
      </c>
      <c r="BJ131" s="62">
        <f t="shared" si="92"/>
        <v>69.202870643733547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-3.3253400033572693E-14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49.695493809293282</v>
      </c>
      <c r="CE131" s="62">
        <f t="shared" si="94"/>
        <v>59.252884227831601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57.353400000000107</v>
      </c>
      <c r="D132" s="12">
        <f t="shared" si="86"/>
        <v>16.497378794334139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570.07618718433457</v>
      </c>
      <c r="H132" s="70">
        <f t="shared" ref="H132:H195" si="110">(B132+E132+F132)*44/12+(C132+D132)*0.475*44/12</f>
        <v>421.9567730667988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3.1058565452854698</v>
      </c>
      <c r="N132" s="14">
        <f>IF('Données projet'!$A$36&gt;35,N131+M132-V131,IF(A132&lt;'Données projet'!$A$36,$K$205^A132,IF(A132='Données projet'!$A$36,'Données projet'!$B$36,N131+M132-V131)))</f>
        <v>244.61849814349875</v>
      </c>
      <c r="O132" s="14">
        <f>N132*VLOOKUP('Données projet'!$B$9,Paramètres!$A$1:$I$89,3,0)*VLOOKUP('Données projet'!$B$9,Paramètres!$A$1:$I$89,5,0)</f>
        <v>267.12339997270067</v>
      </c>
      <c r="P132" s="14">
        <f t="shared" si="87"/>
        <v>64.238402109200578</v>
      </c>
      <c r="Q132" s="22">
        <f t="shared" si="108"/>
        <v>577.12180529264469</v>
      </c>
      <c r="R132" s="62">
        <f t="shared" si="109"/>
        <v>870.45513862597795</v>
      </c>
      <c r="S132" s="62">
        <f ca="1">AVERAGE(OFFSET($R$3,0,0,'Données projet'!$E$9+1,1))-AVERAGE(OFFSET($H$3,0,0,'Données projet'!$E$9+1,1))</f>
        <v>308.00850473946429</v>
      </c>
      <c r="T132" s="62">
        <f t="shared" si="88"/>
        <v>70.709140667951715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</v>
      </c>
      <c r="AI132" s="14">
        <f>IF('Données projet'!$A$62&gt;35,AI131+AH132-AQ131,IF(A132&lt;'Données projet'!$A$62,$AF$205^A132,IF(A132='Données projet'!$A$62,'Données projet'!$B$62,AI131+AH132-AQ131)))</f>
        <v>217.00000000000011</v>
      </c>
      <c r="AJ132" s="14">
        <f>AI132*VLOOKUP('Données projet'!$B$10,Paramètres!$A$1:$I$89,3,0)*VLOOKUP('Données projet'!$B$10,Paramètres!$A$1:$I$89,5,0)</f>
        <v>233.57880000000011</v>
      </c>
      <c r="AK132" s="14">
        <f t="shared" si="89"/>
        <v>57.055805022709997</v>
      </c>
      <c r="AL132" s="22">
        <f t="shared" ref="AL132:AL153" si="112">(AJ132+AK132)*0.475*44/12</f>
        <v>506.1886037478867</v>
      </c>
      <c r="AM132" s="62">
        <f t="shared" ref="AM132:AM195" si="113">AL132+(AD132+AE132)*44/12</f>
        <v>799.52193708122002</v>
      </c>
      <c r="AN132" s="62">
        <f ca="1">AVERAGE(OFFSET($AM$3,0,0,'Données projet'!$E$10+1,1))-AVERAGE(OFFSET($H$3,0,0,'Données projet'!$E$10+1,1))</f>
        <v>271.76512254565102</v>
      </c>
      <c r="AO132" s="62">
        <f t="shared" si="90"/>
        <v>99.160986083974535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0.57916666666666639</v>
      </c>
      <c r="BD132" s="13">
        <f>IF('Données projet'!$A$88&gt;35,BD131+BC132-BL131,IF(A132&lt;'Données projet'!$A$88,$BA$205^A132,IF(A132='Données projet'!$A$88,'Données projet'!$B$88,BD131+BC132-BL131)))</f>
        <v>61.712499999999984</v>
      </c>
      <c r="BE132" s="14">
        <f>BD132*VLOOKUP('Données projet'!$B$11,Paramètres!$A$1:$I$89,3,0)*VLOOKUP('Données projet'!$B$11,Paramètres!$A$1:$I$89,5,0)</f>
        <v>71.092799999999983</v>
      </c>
      <c r="BF132" s="14">
        <f t="shared" si="91"/>
        <v>19.944593174722396</v>
      </c>
      <c r="BG132" s="22">
        <f t="shared" ref="BG132:BG153" si="115">(BE132+BF132)*0.475*44/12</f>
        <v>158.55679311264149</v>
      </c>
      <c r="BH132" s="62">
        <f t="shared" ref="BH132:BH195" si="116">BG132+(AY132+AZ132)*44/12</f>
        <v>451.89012644597483</v>
      </c>
      <c r="BI132" s="62">
        <f ca="1">AVERAGE(OFFSET($BH$3,0,0,'Données projet'!$E$11+1,1))-AVERAGE(OFFSET($H$3,0,0,'Données projet'!$E$11+1,1))</f>
        <v>43.16958872930951</v>
      </c>
      <c r="BJ132" s="62">
        <f t="shared" si="92"/>
        <v>69.202870643733547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-3.3253400033572693E-14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49.695493809293282</v>
      </c>
      <c r="CE132" s="62">
        <f t="shared" si="94"/>
        <v>59.252884227831601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57.798000000000108</v>
      </c>
      <c r="D133" s="12">
        <f t="shared" ref="D133:D196" si="140">IFERROR(EXP(-1.0587+0.8836*LN(C133)+0.284),0)</f>
        <v>16.61032860952302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574.38008049456448</v>
      </c>
      <c r="H133" s="70">
        <f t="shared" si="110"/>
        <v>422.9278389949194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3.1058565452854698</v>
      </c>
      <c r="N133" s="14">
        <f>IF('Données projet'!$A$36&gt;35,N132+M133-V132,IF(A133&lt;'Données projet'!$A$36,$K$205^A133,IF(A133='Données projet'!$A$36,'Données projet'!$B$36,N132+M133-V132)))</f>
        <v>247.72435468878422</v>
      </c>
      <c r="O133" s="14">
        <f>N133*VLOOKUP('Données projet'!$B$9,Paramètres!$A$1:$I$89,3,0)*VLOOKUP('Données projet'!$B$9,Paramètres!$A$1:$I$89,5,0)</f>
        <v>270.51499532015237</v>
      </c>
      <c r="P133" s="14">
        <f t="shared" ref="P133:P196" si="141">EXP(-1.0587+0.8836*LN(O133)+0.284)</f>
        <v>64.958552168138326</v>
      </c>
      <c r="Q133" s="22">
        <f t="shared" si="108"/>
        <v>584.28309520877292</v>
      </c>
      <c r="R133" s="62">
        <f t="shared" si="109"/>
        <v>877.61642854210618</v>
      </c>
      <c r="S133" s="62">
        <f ca="1">AVERAGE(OFFSET($R$3,0,0,'Données projet'!$E$9+1,1))-AVERAGE(OFFSET($H$3,0,0,'Données projet'!$E$9+1,1))</f>
        <v>308.00850473946429</v>
      </c>
      <c r="T133" s="62">
        <f t="shared" ref="T133:T196" si="142">$T$3</f>
        <v>70.709140667951715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2</v>
      </c>
      <c r="AI133" s="14">
        <f>IF('Données projet'!$A$62&gt;35,AI132+AH133-AQ132,IF(A133&lt;'Données projet'!$A$62,$AF$205^A133,IF(A133='Données projet'!$A$62,'Données projet'!$B$62,AI132+AH133-AQ132)))</f>
        <v>219.00000000000011</v>
      </c>
      <c r="AJ133" s="14">
        <f>AI133*VLOOKUP('Données projet'!$B$10,Paramètres!$A$1:$I$89,3,0)*VLOOKUP('Données projet'!$B$10,Paramètres!$A$1:$I$89,5,0)</f>
        <v>235.73160000000013</v>
      </c>
      <c r="AK133" s="14">
        <f t="shared" ref="AK133:AK153" si="143">EXP(-1.0587+0.8836*LN(AJ133)+0.284)</f>
        <v>57.520206488125268</v>
      </c>
      <c r="AL133" s="22">
        <f t="shared" si="112"/>
        <v>510.74689630015172</v>
      </c>
      <c r="AM133" s="62">
        <f t="shared" si="113"/>
        <v>804.08022963348503</v>
      </c>
      <c r="AN133" s="62">
        <f ca="1">AVERAGE(OFFSET($AM$3,0,0,'Données projet'!$E$10+1,1))-AVERAGE(OFFSET($H$3,0,0,'Données projet'!$E$10+1,1))</f>
        <v>271.76512254565102</v>
      </c>
      <c r="AO133" s="62">
        <f t="shared" ref="AO133:AO196" si="144">$AO$3</f>
        <v>99.160986083974535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62.291666666666671</v>
      </c>
      <c r="BB133" s="13">
        <f>VLOOKUP(A133,'Données projet'!$A$87:$I$107,9,0)</f>
        <v>0.57916666666666639</v>
      </c>
      <c r="BC133" s="13">
        <f t="array" ref="BC133">INDEX(BB:BB,MIN(IF(ISNUMBER(BB133:BB329),ROW(BB133:BB329),"")))</f>
        <v>0.57916666666666639</v>
      </c>
      <c r="BD133" s="13">
        <f>IF('Données projet'!$A$88&gt;35,BD132+BC133-BL132,IF(A133&lt;'Données projet'!$A$88,$BA$205^A133,IF(A133='Données projet'!$A$88,'Données projet'!$B$88,BD132+BC133-BL132)))</f>
        <v>62.29166666666665</v>
      </c>
      <c r="BE133" s="14">
        <f>BD133*VLOOKUP('Données projet'!$B$11,Paramètres!$A$1:$I$89,3,0)*VLOOKUP('Données projet'!$B$11,Paramètres!$A$1:$I$89,5,0)</f>
        <v>71.759999999999977</v>
      </c>
      <c r="BF133" s="14">
        <f t="shared" ref="BF133:BF153" si="145">EXP(-1.0587+0.8836*LN(BE133)+0.284)</f>
        <v>20.109893936516215</v>
      </c>
      <c r="BG133" s="22">
        <f t="shared" si="115"/>
        <v>160.00673193943234</v>
      </c>
      <c r="BH133" s="62">
        <f t="shared" si="116"/>
        <v>453.34006527276563</v>
      </c>
      <c r="BI133" s="62">
        <f ca="1">AVERAGE(OFFSET($BH$3,0,0,'Données projet'!$E$11+1,1))-AVERAGE(OFFSET($H$3,0,0,'Données projet'!$E$11+1,1))</f>
        <v>43.16958872930951</v>
      </c>
      <c r="BJ133" s="62">
        <f t="shared" ref="BJ133:BJ196" si="146">$BJ$3</f>
        <v>69.202870643733547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5.2083333333333339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-3.3253400033572693E-14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49.695493809293282</v>
      </c>
      <c r="CE133" s="62">
        <f t="shared" ref="CE133:CE196" si="148">$CE$3</f>
        <v>59.252884227831601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58.24260000000011</v>
      </c>
      <c r="D134" s="12">
        <f t="shared" si="140"/>
        <v>16.72317733539375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578.68319346619819</v>
      </c>
      <c r="H134" s="70">
        <f t="shared" si="110"/>
        <v>423.89872885914428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3.1058565452854698</v>
      </c>
      <c r="N134" s="14">
        <f>IF('Données projet'!$A$36&gt;35,N133+M134-V133,IF(A134&lt;'Données projet'!$A$36,$K$205^A134,IF(A134='Données projet'!$A$36,'Données projet'!$B$36,N133+M134-V133)))</f>
        <v>250.83021123406968</v>
      </c>
      <c r="O134" s="14">
        <f>N134*VLOOKUP('Données projet'!$B$9,Paramètres!$A$1:$I$89,3,0)*VLOOKUP('Données projet'!$B$9,Paramètres!$A$1:$I$89,5,0)</f>
        <v>273.90659066760406</v>
      </c>
      <c r="P134" s="14">
        <f t="shared" si="141"/>
        <v>65.677651998479263</v>
      </c>
      <c r="Q134" s="22">
        <f t="shared" si="108"/>
        <v>591.44255597676181</v>
      </c>
      <c r="R134" s="62">
        <f t="shared" si="109"/>
        <v>884.77588931009518</v>
      </c>
      <c r="S134" s="62">
        <f ca="1">AVERAGE(OFFSET($R$3,0,0,'Données projet'!$E$9+1,1))-AVERAGE(OFFSET($H$3,0,0,'Données projet'!$E$9+1,1))</f>
        <v>308.00850473946429</v>
      </c>
      <c r="T134" s="62">
        <f t="shared" si="142"/>
        <v>70.709140667951715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</v>
      </c>
      <c r="AI134" s="14">
        <f>IF('Données projet'!$A$62&gt;35,AI133+AH134-AQ133,IF(A134&lt;'Données projet'!$A$62,$AF$205^A134,IF(A134='Données projet'!$A$62,'Données projet'!$B$62,AI133+AH134-AQ133)))</f>
        <v>221.00000000000011</v>
      </c>
      <c r="AJ134" s="14">
        <f>AI134*VLOOKUP('Données projet'!$B$10,Paramètres!$A$1:$I$89,3,0)*VLOOKUP('Données projet'!$B$10,Paramètres!$A$1:$I$89,5,0)</f>
        <v>237.88440000000011</v>
      </c>
      <c r="AK134" s="14">
        <f t="shared" si="143"/>
        <v>57.984114543460585</v>
      </c>
      <c r="AL134" s="22">
        <f t="shared" si="112"/>
        <v>515.30432949652743</v>
      </c>
      <c r="AM134" s="62">
        <f t="shared" si="113"/>
        <v>808.6376628298608</v>
      </c>
      <c r="AN134" s="62">
        <f ca="1">AVERAGE(OFFSET($AM$3,0,0,'Données projet'!$E$10+1,1))-AVERAGE(OFFSET($H$3,0,0,'Données projet'!$E$10+1,1))</f>
        <v>271.76512254565102</v>
      </c>
      <c r="AO134" s="62">
        <f t="shared" si="144"/>
        <v>99.160986083974535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0.53333333333333355</v>
      </c>
      <c r="BD134" s="13">
        <f>IF('Données projet'!$A$88&gt;35,BD133+BC134-BL133,IF(A134&lt;'Données projet'!$A$88,$BA$205^A134,IF(A134='Données projet'!$A$88,'Données projet'!$B$88,BD133+BC134-BL133)))</f>
        <v>57.616666666666646</v>
      </c>
      <c r="BE134" s="14">
        <f>BD134*VLOOKUP('Données projet'!$B$11,Paramètres!$A$1:$I$89,3,0)*VLOOKUP('Données projet'!$B$11,Paramètres!$A$1:$I$89,5,0)</f>
        <v>66.374399999999966</v>
      </c>
      <c r="BF134" s="14">
        <f t="shared" si="145"/>
        <v>18.770325432612402</v>
      </c>
      <c r="BG134" s="22">
        <f t="shared" si="115"/>
        <v>148.29373012846656</v>
      </c>
      <c r="BH134" s="62">
        <f t="shared" si="116"/>
        <v>441.62706346179988</v>
      </c>
      <c r="BI134" s="62">
        <f ca="1">AVERAGE(OFFSET($BH$3,0,0,'Données projet'!$E$11+1,1))-AVERAGE(OFFSET($H$3,0,0,'Données projet'!$E$11+1,1))</f>
        <v>43.16958872930951</v>
      </c>
      <c r="BJ134" s="62">
        <f t="shared" si="146"/>
        <v>69.202870643733547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-3.3253400033572693E-14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49.695493809293282</v>
      </c>
      <c r="CE134" s="62">
        <f t="shared" si="148"/>
        <v>59.252884227831601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58.687200000000111</v>
      </c>
      <c r="D135" s="12">
        <f t="shared" si="140"/>
        <v>16.835925833077567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582.98553274656445</v>
      </c>
      <c r="H135" s="70">
        <f t="shared" si="110"/>
        <v>424.8694441592769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3.1058565452854698</v>
      </c>
      <c r="N135" s="14">
        <f>IF('Données projet'!$A$36&gt;35,N134+M135-V134,IF(A135&lt;'Données projet'!$A$36,$K$205^A135,IF(A135='Données projet'!$A$36,'Données projet'!$B$36,N134+M135-V134)))</f>
        <v>253.93606777935514</v>
      </c>
      <c r="O135" s="14">
        <f>N135*VLOOKUP('Données projet'!$B$9,Paramètres!$A$1:$I$89,3,0)*VLOOKUP('Données projet'!$B$9,Paramètres!$A$1:$I$89,5,0)</f>
        <v>277.29818601505576</v>
      </c>
      <c r="P135" s="14">
        <f t="shared" si="141"/>
        <v>66.395716108458927</v>
      </c>
      <c r="Q135" s="22">
        <f t="shared" si="108"/>
        <v>598.60021286512142</v>
      </c>
      <c r="R135" s="62">
        <f t="shared" si="109"/>
        <v>891.93354619845468</v>
      </c>
      <c r="S135" s="62">
        <f ca="1">AVERAGE(OFFSET($R$3,0,0,'Données projet'!$E$9+1,1))-AVERAGE(OFFSET($H$3,0,0,'Données projet'!$E$9+1,1))</f>
        <v>308.00850473946429</v>
      </c>
      <c r="T135" s="62">
        <f t="shared" si="142"/>
        <v>70.709140667951715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</v>
      </c>
      <c r="AI135" s="14">
        <f>IF('Données projet'!$A$62&gt;35,AI134+AH135-AQ134,IF(A135&lt;'Données projet'!$A$62,$AF$205^A135,IF(A135='Données projet'!$A$62,'Données projet'!$B$62,AI134+AH135-AQ134)))</f>
        <v>223.00000000000011</v>
      </c>
      <c r="AJ135" s="14">
        <f>AI135*VLOOKUP('Données projet'!$B$10,Paramètres!$A$1:$I$89,3,0)*VLOOKUP('Données projet'!$B$10,Paramètres!$A$1:$I$89,5,0)</f>
        <v>240.0372000000001</v>
      </c>
      <c r="AK135" s="14">
        <f t="shared" si="143"/>
        <v>58.447534171232547</v>
      </c>
      <c r="AL135" s="22">
        <f t="shared" si="112"/>
        <v>519.86091201489683</v>
      </c>
      <c r="AM135" s="62">
        <f t="shared" si="113"/>
        <v>813.1942453482302</v>
      </c>
      <c r="AN135" s="62">
        <f ca="1">AVERAGE(OFFSET($AM$3,0,0,'Données projet'!$E$10+1,1))-AVERAGE(OFFSET($H$3,0,0,'Données projet'!$E$10+1,1))</f>
        <v>271.76512254565102</v>
      </c>
      <c r="AO135" s="62">
        <f t="shared" si="144"/>
        <v>99.160986083974535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0.53333333333333355</v>
      </c>
      <c r="BD135" s="13">
        <f>IF('Données projet'!$A$88&gt;35,BD134+BC135-BL134,IF(A135&lt;'Données projet'!$A$88,$BA$205^A135,IF(A135='Données projet'!$A$88,'Données projet'!$B$88,BD134+BC135-BL134)))</f>
        <v>58.149999999999977</v>
      </c>
      <c r="BE135" s="14">
        <f>BD135*VLOOKUP('Données projet'!$B$11,Paramètres!$A$1:$I$89,3,0)*VLOOKUP('Données projet'!$B$11,Paramètres!$A$1:$I$89,5,0)</f>
        <v>66.988799999999969</v>
      </c>
      <c r="BF135" s="14">
        <f t="shared" si="145"/>
        <v>18.923767654623212</v>
      </c>
      <c r="BG135" s="22">
        <f t="shared" si="115"/>
        <v>149.63105533180203</v>
      </c>
      <c r="BH135" s="62">
        <f t="shared" si="116"/>
        <v>442.96438866513535</v>
      </c>
      <c r="BI135" s="62">
        <f ca="1">AVERAGE(OFFSET($BH$3,0,0,'Données projet'!$E$11+1,1))-AVERAGE(OFFSET($H$3,0,0,'Données projet'!$E$11+1,1))</f>
        <v>43.16958872930951</v>
      </c>
      <c r="BJ135" s="62">
        <f t="shared" si="146"/>
        <v>69.202870643733547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-3.3253400033572693E-14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49.695493809293282</v>
      </c>
      <c r="CE135" s="62">
        <f t="shared" si="148"/>
        <v>59.252884227831601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59.131800000000112</v>
      </c>
      <c r="D136" s="12">
        <f t="shared" si="140"/>
        <v>16.948574949904557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587.28710487645708</v>
      </c>
      <c r="H136" s="70">
        <f t="shared" si="110"/>
        <v>425.83998637108391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3.1058565452854698</v>
      </c>
      <c r="N136" s="14">
        <f>IF('Données projet'!$A$36&gt;35,N135+M136-V135,IF(A136&lt;'Données projet'!$A$36,$K$205^A136,IF(A136='Données projet'!$A$36,'Données projet'!$B$36,N135+M136-V135)))</f>
        <v>257.0419243246406</v>
      </c>
      <c r="O136" s="14">
        <f>N136*VLOOKUP('Données projet'!$B$9,Paramètres!$A$1:$I$89,3,0)*VLOOKUP('Données projet'!$B$9,Paramètres!$A$1:$I$89,5,0)</f>
        <v>280.68978136250752</v>
      </c>
      <c r="P136" s="14">
        <f t="shared" si="141"/>
        <v>67.112758631000858</v>
      </c>
      <c r="Q136" s="22">
        <f t="shared" si="108"/>
        <v>605.75609048869376</v>
      </c>
      <c r="R136" s="62">
        <f t="shared" si="109"/>
        <v>899.08942382202713</v>
      </c>
      <c r="S136" s="62">
        <f ca="1">AVERAGE(OFFSET($R$3,0,0,'Données projet'!$E$9+1,1))-AVERAGE(OFFSET($H$3,0,0,'Données projet'!$E$9+1,1))</f>
        <v>308.00850473946429</v>
      </c>
      <c r="T136" s="62">
        <f t="shared" si="142"/>
        <v>70.709140667951715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</v>
      </c>
      <c r="AI136" s="14">
        <f>IF('Données projet'!$A$62&gt;35,AI135+AH136-AQ135,IF(A136&lt;'Données projet'!$A$62,$AF$205^A136,IF(A136='Données projet'!$A$62,'Données projet'!$B$62,AI135+AH136-AQ135)))</f>
        <v>225.00000000000011</v>
      </c>
      <c r="AJ136" s="14">
        <f>AI136*VLOOKUP('Données projet'!$B$10,Paramètres!$A$1:$I$89,3,0)*VLOOKUP('Données projet'!$B$10,Paramètres!$A$1:$I$89,5,0)</f>
        <v>242.19000000000008</v>
      </c>
      <c r="AK136" s="14">
        <f t="shared" si="143"/>
        <v>58.910470259429353</v>
      </c>
      <c r="AL136" s="22">
        <f t="shared" si="112"/>
        <v>524.41665236850611</v>
      </c>
      <c r="AM136" s="62">
        <f t="shared" si="113"/>
        <v>817.74998570183948</v>
      </c>
      <c r="AN136" s="62">
        <f ca="1">AVERAGE(OFFSET($AM$3,0,0,'Données projet'!$E$10+1,1))-AVERAGE(OFFSET($H$3,0,0,'Données projet'!$E$10+1,1))</f>
        <v>271.76512254565102</v>
      </c>
      <c r="AO136" s="62">
        <f t="shared" si="144"/>
        <v>99.160986083974535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0.53333333333333355</v>
      </c>
      <c r="BD136" s="13">
        <f>IF('Données projet'!$A$88&gt;35,BD135+BC136-BL135,IF(A136&lt;'Données projet'!$A$88,$BA$205^A136,IF(A136='Données projet'!$A$88,'Données projet'!$B$88,BD135+BC136-BL135)))</f>
        <v>58.683333333333309</v>
      </c>
      <c r="BE136" s="14">
        <f>BD136*VLOOKUP('Données projet'!$B$11,Paramètres!$A$1:$I$89,3,0)*VLOOKUP('Données projet'!$B$11,Paramètres!$A$1:$I$89,5,0)</f>
        <v>67.603199999999973</v>
      </c>
      <c r="BF136" s="14">
        <f t="shared" si="145"/>
        <v>19.077046149181044</v>
      </c>
      <c r="BG136" s="22">
        <f t="shared" si="115"/>
        <v>150.96809537649028</v>
      </c>
      <c r="BH136" s="62">
        <f t="shared" si="116"/>
        <v>444.3014287098236</v>
      </c>
      <c r="BI136" s="62">
        <f ca="1">AVERAGE(OFFSET($BH$3,0,0,'Données projet'!$E$11+1,1))-AVERAGE(OFFSET($H$3,0,0,'Données projet'!$E$11+1,1))</f>
        <v>43.16958872930951</v>
      </c>
      <c r="BJ136" s="62">
        <f t="shared" si="146"/>
        <v>69.202870643733547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-3.3253400033572693E-14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49.695493809293282</v>
      </c>
      <c r="CE136" s="62">
        <f t="shared" si="148"/>
        <v>59.252884227831601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59.576400000000113</v>
      </c>
      <c r="D137" s="12">
        <f t="shared" si="140"/>
        <v>17.061125519726982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591.58791629263021</v>
      </c>
      <c r="H137" s="70">
        <f t="shared" si="110"/>
        <v>426.81035694685795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3.1058565452854698</v>
      </c>
      <c r="N137" s="14">
        <f>IF('Données projet'!$A$36&gt;35,N136+M137-V136,IF(A137&lt;'Données projet'!$A$36,$K$205^A137,IF(A137='Données projet'!$A$36,'Données projet'!$B$36,N136+M137-V136)))</f>
        <v>260.14778086992607</v>
      </c>
      <c r="O137" s="14">
        <f>N137*VLOOKUP('Données projet'!$B$9,Paramètres!$A$1:$I$89,3,0)*VLOOKUP('Données projet'!$B$9,Paramètres!$A$1:$I$89,5,0)</f>
        <v>284.08137670995927</v>
      </c>
      <c r="P137" s="14">
        <f t="shared" si="141"/>
        <v>67.828793337840608</v>
      </c>
      <c r="Q137" s="22">
        <f t="shared" si="108"/>
        <v>612.91021283325131</v>
      </c>
      <c r="R137" s="62">
        <f t="shared" si="109"/>
        <v>906.24354616658457</v>
      </c>
      <c r="S137" s="62">
        <f ca="1">AVERAGE(OFFSET($R$3,0,0,'Données projet'!$E$9+1,1))-AVERAGE(OFFSET($H$3,0,0,'Données projet'!$E$9+1,1))</f>
        <v>308.00850473946429</v>
      </c>
      <c r="T137" s="62">
        <f t="shared" si="142"/>
        <v>70.709140667951715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</v>
      </c>
      <c r="AI137" s="14">
        <f>IF('Données projet'!$A$62&gt;35,AI136+AH137-AQ136,IF(A137&lt;'Données projet'!$A$62,$AF$205^A137,IF(A137='Données projet'!$A$62,'Données projet'!$B$62,AI136+AH137-AQ136)))</f>
        <v>227.00000000000011</v>
      </c>
      <c r="AJ137" s="14">
        <f>AI137*VLOOKUP('Données projet'!$B$10,Paramètres!$A$1:$I$89,3,0)*VLOOKUP('Données projet'!$B$10,Paramètres!$A$1:$I$89,5,0)</f>
        <v>244.3428000000001</v>
      </c>
      <c r="AK137" s="14">
        <f t="shared" si="143"/>
        <v>59.372927604128122</v>
      </c>
      <c r="AL137" s="22">
        <f t="shared" si="112"/>
        <v>528.9715589105233</v>
      </c>
      <c r="AM137" s="62">
        <f t="shared" si="113"/>
        <v>822.30489224385656</v>
      </c>
      <c r="AN137" s="62">
        <f ca="1">AVERAGE(OFFSET($AM$3,0,0,'Données projet'!$E$10+1,1))-AVERAGE(OFFSET($H$3,0,0,'Données projet'!$E$10+1,1))</f>
        <v>271.76512254565102</v>
      </c>
      <c r="AO137" s="62">
        <f t="shared" si="144"/>
        <v>99.160986083974535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0.53333333333333355</v>
      </c>
      <c r="BD137" s="13">
        <f>IF('Données projet'!$A$88&gt;35,BD136+BC137-BL136,IF(A137&lt;'Données projet'!$A$88,$BA$205^A137,IF(A137='Données projet'!$A$88,'Données projet'!$B$88,BD136+BC137-BL136)))</f>
        <v>59.21666666666664</v>
      </c>
      <c r="BE137" s="14">
        <f>BD137*VLOOKUP('Données projet'!$B$11,Paramètres!$A$1:$I$89,3,0)*VLOOKUP('Données projet'!$B$11,Paramètres!$A$1:$I$89,5,0)</f>
        <v>68.217599999999962</v>
      </c>
      <c r="BF137" s="14">
        <f t="shared" si="145"/>
        <v>19.230162576666302</v>
      </c>
      <c r="BG137" s="22">
        <f t="shared" si="115"/>
        <v>152.30485315436039</v>
      </c>
      <c r="BH137" s="62">
        <f t="shared" si="116"/>
        <v>445.6381864876937</v>
      </c>
      <c r="BI137" s="62">
        <f ca="1">AVERAGE(OFFSET($BH$3,0,0,'Données projet'!$E$11+1,1))-AVERAGE(OFFSET($H$3,0,0,'Données projet'!$E$11+1,1))</f>
        <v>43.16958872930951</v>
      </c>
      <c r="BJ137" s="62">
        <f t="shared" si="146"/>
        <v>69.202870643733547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-3.3253400033572693E-14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49.695493809293282</v>
      </c>
      <c r="CE137" s="62">
        <f t="shared" si="148"/>
        <v>59.252884227831601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60.021000000000114</v>
      </c>
      <c r="D138" s="12">
        <f t="shared" si="140"/>
        <v>17.173578363232558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595.88797333021716</v>
      </c>
      <c r="H138" s="70">
        <f t="shared" si="110"/>
        <v>427.78055731596351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3.1058565452854698</v>
      </c>
      <c r="N138" s="14">
        <f>IF('Données projet'!$A$36&gt;35,N137+M138-V137,IF(A138&lt;'Données projet'!$A$36,$K$205^A138,IF(A138='Données projet'!$A$36,'Données projet'!$B$36,N137+M138-V137)))</f>
        <v>263.25363741521153</v>
      </c>
      <c r="O138" s="14">
        <f>N138*VLOOKUP('Données projet'!$B$9,Paramètres!$A$1:$I$89,3,0)*VLOOKUP('Données projet'!$B$9,Paramètres!$A$1:$I$89,5,0)</f>
        <v>287.47297205741097</v>
      </c>
      <c r="P138" s="14">
        <f t="shared" si="141"/>
        <v>68.543833652956181</v>
      </c>
      <c r="Q138" s="22">
        <f t="shared" si="108"/>
        <v>620.06260327888947</v>
      </c>
      <c r="R138" s="62">
        <f t="shared" si="109"/>
        <v>913.39593661222284</v>
      </c>
      <c r="S138" s="62">
        <f ca="1">AVERAGE(OFFSET($R$3,0,0,'Données projet'!$E$9+1,1))-AVERAGE(OFFSET($H$3,0,0,'Données projet'!$E$9+1,1))</f>
        <v>308.00850473946429</v>
      </c>
      <c r="T138" s="62">
        <f t="shared" si="142"/>
        <v>70.709140667951715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229</v>
      </c>
      <c r="AG138" s="13">
        <f>VLOOKUP(A138,'Données projet'!$A$61:$I$81,9,0)</f>
        <v>2</v>
      </c>
      <c r="AH138" s="13">
        <f t="array" ref="AH138">INDEX(AG:AG,MIN(IF(ISNUMBER(AG138:AG334),ROW(AG138:AG334),"")))</f>
        <v>2</v>
      </c>
      <c r="AI138" s="14">
        <f>IF('Données projet'!$A$62&gt;35,AI137+AH138-AQ137,IF(A138&lt;'Données projet'!$A$62,$AF$205^A138,IF(A138='Données projet'!$A$62,'Données projet'!$B$62,AI137+AH138-AQ137)))</f>
        <v>229.00000000000011</v>
      </c>
      <c r="AJ138" s="14">
        <f>AI138*VLOOKUP('Données projet'!$B$10,Paramètres!$A$1:$I$89,3,0)*VLOOKUP('Données projet'!$B$10,Paramètres!$A$1:$I$89,5,0)</f>
        <v>246.49560000000014</v>
      </c>
      <c r="AK138" s="14">
        <f t="shared" si="143"/>
        <v>59.834910912017335</v>
      </c>
      <c r="AL138" s="22">
        <f t="shared" si="112"/>
        <v>533.52563983843038</v>
      </c>
      <c r="AM138" s="62">
        <f t="shared" si="113"/>
        <v>826.85897317176364</v>
      </c>
      <c r="AN138" s="62">
        <f ca="1">AVERAGE(OFFSET($AM$3,0,0,'Données projet'!$E$10+1,1))-AVERAGE(OFFSET($H$3,0,0,'Données projet'!$E$10+1,1))</f>
        <v>271.76512254565102</v>
      </c>
      <c r="AO138" s="62">
        <f t="shared" si="144"/>
        <v>99.160986083974535</v>
      </c>
      <c r="AP138" s="16">
        <f>IF(ISNA(VLOOKUP(A138,'Données projet'!$A$61:$I$81,3,0)),0,VLOOKUP(A138,'Données projet'!$A$61:$I$81,3,0))</f>
        <v>11</v>
      </c>
      <c r="AQ138" s="16">
        <f>IF(ISNA(VLOOKUP(A138,'Données projet'!$A$61:$I$81,4,0)),0,VLOOKUP(A138,'Données projet'!$A$61:$I$81,4,0))</f>
        <v>19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0.53333333333333355</v>
      </c>
      <c r="BD138" s="13">
        <f>IF('Données projet'!$A$88&gt;35,BD137+BC138-BL137,IF(A138&lt;'Données projet'!$A$88,$BA$205^A138,IF(A138='Données projet'!$A$88,'Données projet'!$B$88,BD137+BC138-BL137)))</f>
        <v>59.749999999999972</v>
      </c>
      <c r="BE138" s="14">
        <f>BD138*VLOOKUP('Données projet'!$B$11,Paramètres!$A$1:$I$89,3,0)*VLOOKUP('Données projet'!$B$11,Paramètres!$A$1:$I$89,5,0)</f>
        <v>68.831999999999965</v>
      </c>
      <c r="BF138" s="14">
        <f t="shared" si="145"/>
        <v>19.383118565825708</v>
      </c>
      <c r="BG138" s="22">
        <f t="shared" si="115"/>
        <v>153.64133150214636</v>
      </c>
      <c r="BH138" s="62">
        <f t="shared" si="116"/>
        <v>446.97466483547964</v>
      </c>
      <c r="BI138" s="62">
        <f ca="1">AVERAGE(OFFSET($BH$3,0,0,'Données projet'!$E$11+1,1))-AVERAGE(OFFSET($H$3,0,0,'Données projet'!$E$11+1,1))</f>
        <v>43.16958872930951</v>
      </c>
      <c r="BJ138" s="62">
        <f t="shared" si="146"/>
        <v>69.202870643733547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-3.3253400033572693E-14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49.695493809293282</v>
      </c>
      <c r="CE138" s="62">
        <f t="shared" si="148"/>
        <v>59.252884227831601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60.465600000000116</v>
      </c>
      <c r="D139" s="12">
        <f t="shared" si="140"/>
        <v>17.285934288248235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600.18728222507502</v>
      </c>
      <c r="H139" s="70">
        <f t="shared" si="110"/>
        <v>428.75058888536586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3.1058565452854698</v>
      </c>
      <c r="N139" s="14">
        <f>IF('Données projet'!$A$36&gt;35,N138+M139-V138,IF(A139&lt;'Données projet'!$A$36,$K$205^A139,IF(A139='Données projet'!$A$36,'Données projet'!$B$36,N138+M139-V138)))</f>
        <v>266.35949396049699</v>
      </c>
      <c r="O139" s="14">
        <f>N139*VLOOKUP('Données projet'!$B$9,Paramètres!$A$1:$I$89,3,0)*VLOOKUP('Données projet'!$B$9,Paramètres!$A$1:$I$89,5,0)</f>
        <v>290.86456740486273</v>
      </c>
      <c r="P139" s="14">
        <f t="shared" si="141"/>
        <v>69.257892665346461</v>
      </c>
      <c r="Q139" s="22">
        <f t="shared" si="108"/>
        <v>627.21328462228087</v>
      </c>
      <c r="R139" s="62">
        <f t="shared" si="109"/>
        <v>920.54661795561424</v>
      </c>
      <c r="S139" s="62">
        <f ca="1">AVERAGE(OFFSET($R$3,0,0,'Données projet'!$E$9+1,1))-AVERAGE(OFFSET($H$3,0,0,'Données projet'!$E$9+1,1))</f>
        <v>308.00850473946429</v>
      </c>
      <c r="T139" s="62">
        <f t="shared" si="142"/>
        <v>70.709140667951715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1.6</v>
      </c>
      <c r="AI139" s="14">
        <f>IF('Données projet'!$A$62&gt;35,AI138+AH139-AQ138,IF(A139&lt;'Données projet'!$A$62,$AF$205^A139,IF(A139='Données projet'!$A$62,'Données projet'!$B$62,AI138+AH139-AQ138)))</f>
        <v>211.60000000000011</v>
      </c>
      <c r="AJ139" s="14">
        <f>AI139*VLOOKUP('Données projet'!$B$10,Paramètres!$A$1:$I$89,3,0)*VLOOKUP('Données projet'!$B$10,Paramètres!$A$1:$I$89,5,0)</f>
        <v>227.76624000000012</v>
      </c>
      <c r="AK139" s="14">
        <f t="shared" si="143"/>
        <v>55.799416396900632</v>
      </c>
      <c r="AL139" s="22">
        <f t="shared" si="112"/>
        <v>493.87685155793548</v>
      </c>
      <c r="AM139" s="62">
        <f t="shared" si="113"/>
        <v>787.2101848912688</v>
      </c>
      <c r="AN139" s="62">
        <f ca="1">AVERAGE(OFFSET($AM$3,0,0,'Données projet'!$E$10+1,1))-AVERAGE(OFFSET($H$3,0,0,'Données projet'!$E$10+1,1))</f>
        <v>271.76512254565102</v>
      </c>
      <c r="AO139" s="62">
        <f t="shared" si="144"/>
        <v>99.160986083974535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0.53333333333333355</v>
      </c>
      <c r="BD139" s="13">
        <f>IF('Données projet'!$A$88&gt;35,BD138+BC139-BL138,IF(A139&lt;'Données projet'!$A$88,$BA$205^A139,IF(A139='Données projet'!$A$88,'Données projet'!$B$88,BD138+BC139-BL138)))</f>
        <v>60.283333333333303</v>
      </c>
      <c r="BE139" s="14">
        <f>BD139*VLOOKUP('Données projet'!$B$11,Paramètres!$A$1:$I$89,3,0)*VLOOKUP('Données projet'!$B$11,Paramètres!$A$1:$I$89,5,0)</f>
        <v>69.446399999999969</v>
      </c>
      <c r="BF139" s="14">
        <f t="shared" si="145"/>
        <v>19.535915714651782</v>
      </c>
      <c r="BG139" s="22">
        <f t="shared" si="115"/>
        <v>154.97753320301845</v>
      </c>
      <c r="BH139" s="62">
        <f t="shared" si="116"/>
        <v>448.3108665363518</v>
      </c>
      <c r="BI139" s="62">
        <f ca="1">AVERAGE(OFFSET($BH$3,0,0,'Données projet'!$E$11+1,1))-AVERAGE(OFFSET($H$3,0,0,'Données projet'!$E$11+1,1))</f>
        <v>43.16958872930951</v>
      </c>
      <c r="BJ139" s="62">
        <f t="shared" si="146"/>
        <v>69.202870643733547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-3.3253400033572693E-14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49.695493809293282</v>
      </c>
      <c r="CE139" s="62">
        <f t="shared" si="148"/>
        <v>59.252884227831601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60.910200000000117</v>
      </c>
      <c r="D140" s="12">
        <f t="shared" si="140"/>
        <v>17.39819409003481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604.48584911605906</v>
      </c>
      <c r="H140" s="70">
        <f t="shared" si="110"/>
        <v>429.72045304014415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3.1058565452854698</v>
      </c>
      <c r="N140" s="14">
        <f>IF('Données projet'!$A$36&gt;35,N139+M140-V139,IF(A140&lt;'Données projet'!$A$36,$K$205^A140,IF(A140='Données projet'!$A$36,'Données projet'!$B$36,N139+M140-V139)))</f>
        <v>269.46535050578245</v>
      </c>
      <c r="O140" s="14">
        <f>N140*VLOOKUP('Données projet'!$B$9,Paramètres!$A$1:$I$89,3,0)*VLOOKUP('Données projet'!$B$9,Paramètres!$A$1:$I$89,5,0)</f>
        <v>294.25616275231442</v>
      </c>
      <c r="P140" s="14">
        <f t="shared" si="141"/>
        <v>69.970983141196413</v>
      </c>
      <c r="Q140" s="22">
        <f t="shared" si="108"/>
        <v>634.36227909786464</v>
      </c>
      <c r="R140" s="62">
        <f t="shared" si="109"/>
        <v>927.69561243119801</v>
      </c>
      <c r="S140" s="62">
        <f ca="1">AVERAGE(OFFSET($R$3,0,0,'Données projet'!$E$9+1,1))-AVERAGE(OFFSET($H$3,0,0,'Données projet'!$E$9+1,1))</f>
        <v>308.00850473946429</v>
      </c>
      <c r="T140" s="62">
        <f t="shared" si="142"/>
        <v>70.709140667951715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1.6</v>
      </c>
      <c r="AI140" s="14">
        <f>IF('Données projet'!$A$62&gt;35,AI139+AH140-AQ139,IF(A140&lt;'Données projet'!$A$62,$AF$205^A140,IF(A140='Données projet'!$A$62,'Données projet'!$B$62,AI139+AH140-AQ139)))</f>
        <v>213.2000000000001</v>
      </c>
      <c r="AJ140" s="14">
        <f>AI140*VLOOKUP('Données projet'!$B$10,Paramètres!$A$1:$I$89,3,0)*VLOOKUP('Données projet'!$B$10,Paramètres!$A$1:$I$89,5,0)</f>
        <v>229.4884800000001</v>
      </c>
      <c r="AK140" s="14">
        <f t="shared" si="143"/>
        <v>56.17206461989467</v>
      </c>
      <c r="AL140" s="22">
        <f t="shared" si="112"/>
        <v>497.52544854631668</v>
      </c>
      <c r="AM140" s="62">
        <f t="shared" si="113"/>
        <v>790.85878187965</v>
      </c>
      <c r="AN140" s="62">
        <f ca="1">AVERAGE(OFFSET($AM$3,0,0,'Données projet'!$E$10+1,1))-AVERAGE(OFFSET($H$3,0,0,'Données projet'!$E$10+1,1))</f>
        <v>271.76512254565102</v>
      </c>
      <c r="AO140" s="62">
        <f t="shared" si="144"/>
        <v>99.160986083974535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0.53333333333333355</v>
      </c>
      <c r="BD140" s="13">
        <f>IF('Données projet'!$A$88&gt;35,BD139+BC140-BL139,IF(A140&lt;'Données projet'!$A$88,$BA$205^A140,IF(A140='Données projet'!$A$88,'Données projet'!$B$88,BD139+BC140-BL139)))</f>
        <v>60.816666666666634</v>
      </c>
      <c r="BE140" s="14">
        <f>BD140*VLOOKUP('Données projet'!$B$11,Paramètres!$A$1:$I$89,3,0)*VLOOKUP('Données projet'!$B$11,Paramètres!$A$1:$I$89,5,0)</f>
        <v>70.060799999999958</v>
      </c>
      <c r="BF140" s="14">
        <f t="shared" si="145"/>
        <v>19.688555591230504</v>
      </c>
      <c r="BG140" s="22">
        <f t="shared" si="115"/>
        <v>156.31346098805969</v>
      </c>
      <c r="BH140" s="62">
        <f t="shared" si="116"/>
        <v>449.64679432139303</v>
      </c>
      <c r="BI140" s="62">
        <f ca="1">AVERAGE(OFFSET($BH$3,0,0,'Données projet'!$E$11+1,1))-AVERAGE(OFFSET($H$3,0,0,'Données projet'!$E$11+1,1))</f>
        <v>43.16958872930951</v>
      </c>
      <c r="BJ140" s="62">
        <f t="shared" si="146"/>
        <v>69.202870643733547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-3.3253400033572693E-14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49.695493809293282</v>
      </c>
      <c r="CE140" s="62">
        <f t="shared" si="148"/>
        <v>59.252884227831601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61.354800000000118</v>
      </c>
      <c r="D141" s="12">
        <f t="shared" si="140"/>
        <v>17.510358551572654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608.78368004722847</v>
      </c>
      <c r="H141" s="70">
        <f t="shared" si="110"/>
        <v>430.69015114398923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>
        <f>VLOOKUP(A141,'Données projet'!$A$35:$I$55,2,0)</f>
        <v>272.57120705106797</v>
      </c>
      <c r="L141" s="13">
        <f>VLOOKUP(A141,'Données projet'!$A$35:$I$55,9,0)</f>
        <v>3.1058565452854698</v>
      </c>
      <c r="M141" s="13">
        <f t="array" ref="M141">INDEX(L:L,MIN(IF(ISNUMBER(L141:L337),ROW(L141:L337),"")))</f>
        <v>3.1058565452854698</v>
      </c>
      <c r="N141" s="14">
        <f>IF('Données projet'!$A$36&gt;35,N140+M141-V140,IF(A141&lt;'Données projet'!$A$36,$K$205^A141,IF(A141='Données projet'!$A$36,'Données projet'!$B$36,N140+M141-V140)))</f>
        <v>272.57120705106792</v>
      </c>
      <c r="O141" s="14">
        <f>N141*VLOOKUP('Données projet'!$B$9,Paramètres!$A$1:$I$89,3,0)*VLOOKUP('Données projet'!$B$9,Paramètres!$A$1:$I$89,5,0)</f>
        <v>297.64775809976618</v>
      </c>
      <c r="P141" s="14">
        <f t="shared" si="141"/>
        <v>70.683117535466096</v>
      </c>
      <c r="Q141" s="22">
        <f t="shared" si="108"/>
        <v>641.50960839802951</v>
      </c>
      <c r="R141" s="62">
        <f t="shared" si="109"/>
        <v>934.84294173136277</v>
      </c>
      <c r="S141" s="62">
        <f ca="1">AVERAGE(OFFSET($R$3,0,0,'Données projet'!$E$9+1,1))-AVERAGE(OFFSET($H$3,0,0,'Données projet'!$E$9+1,1))</f>
        <v>308.00850473946429</v>
      </c>
      <c r="T141" s="62">
        <f t="shared" si="142"/>
        <v>70.709140667951715</v>
      </c>
      <c r="U141" s="16">
        <f>IF(ISNA(VLOOKUP(A141,'Données projet'!$A$35:$I$55,3,0)),0,VLOOKUP(A141,'Données projet'!$A$35:$I$55,3,0))</f>
        <v>6</v>
      </c>
      <c r="V141" s="16">
        <f>IF(ISNA(VLOOKUP(A141,'Données projet'!$A$35:$I$55,4,0)),0,VLOOKUP(A141,'Données projet'!$A$35:$I$55,4,0))</f>
        <v>30.285689672340869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1.6</v>
      </c>
      <c r="AI141" s="14">
        <f>IF('Données projet'!$A$62&gt;35,AI140+AH141-AQ140,IF(A141&lt;'Données projet'!$A$62,$AF$205^A141,IF(A141='Données projet'!$A$62,'Données projet'!$B$62,AI140+AH141-AQ140)))</f>
        <v>214.8000000000001</v>
      </c>
      <c r="AJ141" s="14">
        <f>AI141*VLOOKUP('Données projet'!$B$10,Paramètres!$A$1:$I$89,3,0)*VLOOKUP('Données projet'!$B$10,Paramètres!$A$1:$I$89,5,0)</f>
        <v>231.21072000000007</v>
      </c>
      <c r="AK141" s="14">
        <f t="shared" si="143"/>
        <v>56.544387456445271</v>
      </c>
      <c r="AL141" s="22">
        <f t="shared" si="112"/>
        <v>501.17347881997563</v>
      </c>
      <c r="AM141" s="62">
        <f t="shared" si="113"/>
        <v>794.50681215330894</v>
      </c>
      <c r="AN141" s="62">
        <f ca="1">AVERAGE(OFFSET($AM$3,0,0,'Données projet'!$E$10+1,1))-AVERAGE(OFFSET($H$3,0,0,'Données projet'!$E$10+1,1))</f>
        <v>271.76512254565102</v>
      </c>
      <c r="AO141" s="62">
        <f t="shared" si="144"/>
        <v>99.160986083974535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0.53333333333333355</v>
      </c>
      <c r="BD141" s="13">
        <f>IF('Données projet'!$A$88&gt;35,BD140+BC141-BL140,IF(A141&lt;'Données projet'!$A$88,$BA$205^A141,IF(A141='Données projet'!$A$88,'Données projet'!$B$88,BD140+BC141-BL140)))</f>
        <v>61.349999999999966</v>
      </c>
      <c r="BE141" s="14">
        <f>BD141*VLOOKUP('Données projet'!$B$11,Paramètres!$A$1:$I$89,3,0)*VLOOKUP('Données projet'!$B$11,Paramètres!$A$1:$I$89,5,0)</f>
        <v>70.675199999999961</v>
      </c>
      <c r="BF141" s="14">
        <f t="shared" si="145"/>
        <v>19.841039734558162</v>
      </c>
      <c r="BG141" s="22">
        <f t="shared" si="115"/>
        <v>157.64911753768874</v>
      </c>
      <c r="BH141" s="62">
        <f t="shared" si="116"/>
        <v>450.98245087102202</v>
      </c>
      <c r="BI141" s="62">
        <f ca="1">AVERAGE(OFFSET($BH$3,0,0,'Données projet'!$E$11+1,1))-AVERAGE(OFFSET($H$3,0,0,'Données projet'!$E$11+1,1))</f>
        <v>43.16958872930951</v>
      </c>
      <c r="BJ141" s="62">
        <f t="shared" si="146"/>
        <v>69.202870643733547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-3.3253400033572693E-14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49.695493809293282</v>
      </c>
      <c r="CE141" s="62">
        <f t="shared" si="148"/>
        <v>59.252884227831601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61.799400000000119</v>
      </c>
      <c r="D142" s="12">
        <f t="shared" si="140"/>
        <v>17.622428443838881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613.08078096998531</v>
      </c>
      <c r="H142" s="70">
        <f t="shared" si="110"/>
        <v>431.65968453968628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2.8330091918499591</v>
      </c>
      <c r="N142" s="14">
        <f>IF('Données projet'!$A$36&gt;35,N141+M142-V141,IF(A142&lt;'Données projet'!$A$36,$K$205^A142,IF(A142='Données projet'!$A$36,'Données projet'!$B$36,N141+M142-V141)))</f>
        <v>245.11852657057699</v>
      </c>
      <c r="O142" s="14">
        <f>N142*VLOOKUP('Données projet'!$B$9,Paramètres!$A$1:$I$89,3,0)*VLOOKUP('Données projet'!$B$9,Paramètres!$A$1:$I$89,5,0)</f>
        <v>267.66943101507007</v>
      </c>
      <c r="P142" s="14">
        <f t="shared" si="141"/>
        <v>64.354414454265338</v>
      </c>
      <c r="Q142" s="22">
        <f t="shared" si="108"/>
        <v>578.27486419242587</v>
      </c>
      <c r="R142" s="62">
        <f t="shared" si="109"/>
        <v>871.60819752575912</v>
      </c>
      <c r="S142" s="62">
        <f ca="1">AVERAGE(OFFSET($R$3,0,0,'Données projet'!$E$9+1,1))-AVERAGE(OFFSET($H$3,0,0,'Données projet'!$E$9+1,1))</f>
        <v>308.00850473946429</v>
      </c>
      <c r="T142" s="62">
        <f t="shared" si="142"/>
        <v>70.709140667951715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1.6</v>
      </c>
      <c r="AI142" s="14">
        <f>IF('Données projet'!$A$62&gt;35,AI141+AH142-AQ141,IF(A142&lt;'Données projet'!$A$62,$AF$205^A142,IF(A142='Données projet'!$A$62,'Données projet'!$B$62,AI141+AH142-AQ141)))</f>
        <v>216.40000000000009</v>
      </c>
      <c r="AJ142" s="14">
        <f>AI142*VLOOKUP('Données projet'!$B$10,Paramètres!$A$1:$I$89,3,0)*VLOOKUP('Données projet'!$B$10,Paramètres!$A$1:$I$89,5,0)</f>
        <v>232.93296000000009</v>
      </c>
      <c r="AK142" s="14">
        <f t="shared" si="143"/>
        <v>56.916387611287874</v>
      </c>
      <c r="AL142" s="22">
        <f t="shared" si="112"/>
        <v>504.82094708965991</v>
      </c>
      <c r="AM142" s="62">
        <f t="shared" si="113"/>
        <v>798.15428042299322</v>
      </c>
      <c r="AN142" s="62">
        <f ca="1">AVERAGE(OFFSET($AM$3,0,0,'Données projet'!$E$10+1,1))-AVERAGE(OFFSET($H$3,0,0,'Données projet'!$E$10+1,1))</f>
        <v>271.76512254565102</v>
      </c>
      <c r="AO142" s="62">
        <f t="shared" si="144"/>
        <v>99.160986083974535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0.53333333333333355</v>
      </c>
      <c r="BD142" s="13">
        <f>IF('Données projet'!$A$88&gt;35,BD141+BC142-BL141,IF(A142&lt;'Données projet'!$A$88,$BA$205^A142,IF(A142='Données projet'!$A$88,'Données projet'!$B$88,BD141+BC142-BL141)))</f>
        <v>61.883333333333297</v>
      </c>
      <c r="BE142" s="14">
        <f>BD142*VLOOKUP('Données projet'!$B$11,Paramètres!$A$1:$I$89,3,0)*VLOOKUP('Données projet'!$B$11,Paramètres!$A$1:$I$89,5,0)</f>
        <v>71.28959999999995</v>
      </c>
      <c r="BF142" s="14">
        <f t="shared" si="145"/>
        <v>19.993369655329094</v>
      </c>
      <c r="BG142" s="22">
        <f t="shared" si="115"/>
        <v>158.9845054830314</v>
      </c>
      <c r="BH142" s="62">
        <f t="shared" si="116"/>
        <v>452.31783881636471</v>
      </c>
      <c r="BI142" s="62">
        <f ca="1">AVERAGE(OFFSET($BH$3,0,0,'Données projet'!$E$11+1,1))-AVERAGE(OFFSET($H$3,0,0,'Données projet'!$E$11+1,1))</f>
        <v>43.16958872930951</v>
      </c>
      <c r="BJ142" s="62">
        <f t="shared" si="146"/>
        <v>69.202870643733547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-3.3253400033572693E-14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49.695493809293282</v>
      </c>
      <c r="CE142" s="62">
        <f t="shared" si="148"/>
        <v>59.252884227831601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62.244000000000121</v>
      </c>
      <c r="D143" s="12">
        <f t="shared" si="140"/>
        <v>17.734404526076471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617.37715774515266</v>
      </c>
      <c r="H143" s="70">
        <f t="shared" si="110"/>
        <v>432.62905454958332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2.8330091918499591</v>
      </c>
      <c r="N143" s="14">
        <f>IF('Données projet'!$A$36&gt;35,N142+M143-V142,IF(A143&lt;'Données projet'!$A$36,$K$205^A143,IF(A143='Données projet'!$A$36,'Données projet'!$B$36,N142+M143-V142)))</f>
        <v>247.95153576242694</v>
      </c>
      <c r="O143" s="14">
        <f>N143*VLOOKUP('Données projet'!$B$9,Paramètres!$A$1:$I$89,3,0)*VLOOKUP('Données projet'!$B$9,Paramètres!$A$1:$I$89,5,0)</f>
        <v>270.76307705257017</v>
      </c>
      <c r="P143" s="14">
        <f t="shared" si="141"/>
        <v>65.011186887666184</v>
      </c>
      <c r="Q143" s="22">
        <f t="shared" si="108"/>
        <v>584.80684302924499</v>
      </c>
      <c r="R143" s="62">
        <f t="shared" si="109"/>
        <v>878.14017636257836</v>
      </c>
      <c r="S143" s="62">
        <f ca="1">AVERAGE(OFFSET($R$3,0,0,'Données projet'!$E$9+1,1))-AVERAGE(OFFSET($H$3,0,0,'Données projet'!$E$9+1,1))</f>
        <v>308.00850473946429</v>
      </c>
      <c r="T143" s="62">
        <f t="shared" si="142"/>
        <v>70.709140667951715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1.6</v>
      </c>
      <c r="AI143" s="14">
        <f>IF('Données projet'!$A$62&gt;35,AI142+AH143-AQ142,IF(A143&lt;'Données projet'!$A$62,$AF$205^A143,IF(A143='Données projet'!$A$62,'Données projet'!$B$62,AI142+AH143-AQ142)))</f>
        <v>218.00000000000009</v>
      </c>
      <c r="AJ143" s="14">
        <f>AI143*VLOOKUP('Données projet'!$B$10,Paramètres!$A$1:$I$89,3,0)*VLOOKUP('Données projet'!$B$10,Paramètres!$A$1:$I$89,5,0)</f>
        <v>234.65520000000006</v>
      </c>
      <c r="AK143" s="14">
        <f t="shared" si="143"/>
        <v>57.288067746850999</v>
      </c>
      <c r="AL143" s="22">
        <f t="shared" si="112"/>
        <v>508.46785799243224</v>
      </c>
      <c r="AM143" s="62">
        <f t="shared" si="113"/>
        <v>801.80119132576556</v>
      </c>
      <c r="AN143" s="62">
        <f ca="1">AVERAGE(OFFSET($AM$3,0,0,'Données projet'!$E$10+1,1))-AVERAGE(OFFSET($H$3,0,0,'Données projet'!$E$10+1,1))</f>
        <v>271.76512254565102</v>
      </c>
      <c r="AO143" s="62">
        <f t="shared" si="144"/>
        <v>99.160986083974535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62.416666666666671</v>
      </c>
      <c r="BB143" s="13">
        <f>VLOOKUP(A143,'Données projet'!$A$87:$I$107,9,0)</f>
        <v>0.53333333333333355</v>
      </c>
      <c r="BC143" s="13">
        <f t="array" ref="BC143">INDEX(BB:BB,MIN(IF(ISNUMBER(BB143:BB339),ROW(BB143:BB339),"")))</f>
        <v>0.53333333333333355</v>
      </c>
      <c r="BD143" s="13">
        <f>IF('Données projet'!$A$88&gt;35,BD142+BC143-BL142,IF(A143&lt;'Données projet'!$A$88,$BA$205^A143,IF(A143='Données projet'!$A$88,'Données projet'!$B$88,BD142+BC143-BL142)))</f>
        <v>62.416666666666629</v>
      </c>
      <c r="BE143" s="14">
        <f>BD143*VLOOKUP('Données projet'!$B$11,Paramètres!$A$1:$I$89,3,0)*VLOOKUP('Données projet'!$B$11,Paramètres!$A$1:$I$89,5,0)</f>
        <v>71.903999999999954</v>
      </c>
      <c r="BF143" s="14">
        <f t="shared" si="145"/>
        <v>20.145546836695569</v>
      </c>
      <c r="BG143" s="22">
        <f t="shared" si="115"/>
        <v>160.3196274072447</v>
      </c>
      <c r="BH143" s="62">
        <f t="shared" si="116"/>
        <v>453.65296074057801</v>
      </c>
      <c r="BI143" s="62">
        <f ca="1">AVERAGE(OFFSET($BH$3,0,0,'Données projet'!$E$11+1,1))-AVERAGE(OFFSET($H$3,0,0,'Données projet'!$E$11+1,1))</f>
        <v>43.16958872930951</v>
      </c>
      <c r="BJ143" s="62">
        <f t="shared" si="146"/>
        <v>69.202870643733547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4.916666666666667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-3.3253400033572693E-14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49.695493809293282</v>
      </c>
      <c r="CE143" s="62">
        <f t="shared" si="148"/>
        <v>59.252884227831601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62.688600000000122</v>
      </c>
      <c r="D144" s="12">
        <f t="shared" si="140"/>
        <v>17.846287546055219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621.6728161449887</v>
      </c>
      <c r="H144" s="70">
        <f t="shared" si="110"/>
        <v>433.59826247604633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2.8330091918499591</v>
      </c>
      <c r="N144" s="14">
        <f>IF('Données projet'!$A$36&gt;35,N143+M144-V143,IF(A144&lt;'Données projet'!$A$36,$K$205^A144,IF(A144='Données projet'!$A$36,'Données projet'!$B$36,N143+M144-V143)))</f>
        <v>250.7845449542769</v>
      </c>
      <c r="O144" s="14">
        <f>N144*VLOOKUP('Données projet'!$B$9,Paramètres!$A$1:$I$89,3,0)*VLOOKUP('Données projet'!$B$9,Paramètres!$A$1:$I$89,5,0)</f>
        <v>273.85672309007032</v>
      </c>
      <c r="P144" s="14">
        <f t="shared" si="141"/>
        <v>65.667086409380232</v>
      </c>
      <c r="Q144" s="22">
        <f t="shared" si="108"/>
        <v>591.33730154487625</v>
      </c>
      <c r="R144" s="62">
        <f t="shared" si="109"/>
        <v>884.67063487820951</v>
      </c>
      <c r="S144" s="62">
        <f ca="1">AVERAGE(OFFSET($R$3,0,0,'Données projet'!$E$9+1,1))-AVERAGE(OFFSET($H$3,0,0,'Données projet'!$E$9+1,1))</f>
        <v>308.00850473946429</v>
      </c>
      <c r="T144" s="62">
        <f t="shared" si="142"/>
        <v>70.709140667951715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1.6</v>
      </c>
      <c r="AI144" s="14">
        <f>IF('Données projet'!$A$62&gt;35,AI143+AH144-AQ143,IF(A144&lt;'Données projet'!$A$62,$AF$205^A144,IF(A144='Données projet'!$A$62,'Données projet'!$B$62,AI143+AH144-AQ143)))</f>
        <v>219.60000000000008</v>
      </c>
      <c r="AJ144" s="14">
        <f>AI144*VLOOKUP('Données projet'!$B$10,Paramètres!$A$1:$I$89,3,0)*VLOOKUP('Données projet'!$B$10,Paramètres!$A$1:$I$89,5,0)</f>
        <v>236.37744000000006</v>
      </c>
      <c r="AK144" s="14">
        <f t="shared" si="143"/>
        <v>57.659430484223826</v>
      </c>
      <c r="AL144" s="22">
        <f t="shared" si="112"/>
        <v>512.1142160933565</v>
      </c>
      <c r="AM144" s="62">
        <f t="shared" si="113"/>
        <v>805.44754942668987</v>
      </c>
      <c r="AN144" s="62">
        <f ca="1">AVERAGE(OFFSET($AM$3,0,0,'Données projet'!$E$10+1,1))-AVERAGE(OFFSET($H$3,0,0,'Données projet'!$E$10+1,1))</f>
        <v>271.76512254565102</v>
      </c>
      <c r="AO144" s="62">
        <f t="shared" si="144"/>
        <v>99.160986083974535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0.49583333333333285</v>
      </c>
      <c r="BD144" s="13">
        <f>IF('Données projet'!$A$88&gt;35,BD143+BC144-BL143,IF(A144&lt;'Données projet'!$A$88,$BA$205^A144,IF(A144='Données projet'!$A$88,'Données projet'!$B$88,BD143+BC144-BL143)))</f>
        <v>57.995833333333294</v>
      </c>
      <c r="BE144" s="14">
        <f>BD144*VLOOKUP('Données projet'!$B$11,Paramètres!$A$1:$I$89,3,0)*VLOOKUP('Données projet'!$B$11,Paramètres!$A$1:$I$89,5,0)</f>
        <v>66.811199999999943</v>
      </c>
      <c r="BF144" s="14">
        <f t="shared" si="145"/>
        <v>18.879430159881338</v>
      </c>
      <c r="BG144" s="22">
        <f t="shared" si="115"/>
        <v>149.24451419512653</v>
      </c>
      <c r="BH144" s="62">
        <f t="shared" si="116"/>
        <v>442.57784752845987</v>
      </c>
      <c r="BI144" s="62">
        <f ca="1">AVERAGE(OFFSET($BH$3,0,0,'Données projet'!$E$11+1,1))-AVERAGE(OFFSET($H$3,0,0,'Données projet'!$E$11+1,1))</f>
        <v>43.16958872930951</v>
      </c>
      <c r="BJ144" s="62">
        <f t="shared" si="146"/>
        <v>69.202870643733547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-3.3253400033572693E-14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49.695493809293282</v>
      </c>
      <c r="CE144" s="62">
        <f t="shared" si="148"/>
        <v>59.252884227831601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63.133200000000123</v>
      </c>
      <c r="D145" s="12">
        <f t="shared" si="140"/>
        <v>17.958078240325346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625.96776185514398</v>
      </c>
      <c r="H145" s="70">
        <f t="shared" si="110"/>
        <v>434.56730960190015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2.8330091918499591</v>
      </c>
      <c r="N145" s="14">
        <f>IF('Données projet'!$A$36&gt;35,N144+M145-V144,IF(A145&lt;'Données projet'!$A$36,$K$205^A145,IF(A145='Données projet'!$A$36,'Données projet'!$B$36,N144+M145-V144)))</f>
        <v>253.61755414612685</v>
      </c>
      <c r="O145" s="14">
        <f>N145*VLOOKUP('Données projet'!$B$9,Paramètres!$A$1:$I$89,3,0)*VLOOKUP('Données projet'!$B$9,Paramètres!$A$1:$I$89,5,0)</f>
        <v>276.95036912757047</v>
      </c>
      <c r="P145" s="14">
        <f t="shared" si="141"/>
        <v>66.32212402137641</v>
      </c>
      <c r="Q145" s="22">
        <f t="shared" si="108"/>
        <v>597.86625890108246</v>
      </c>
      <c r="R145" s="62">
        <f t="shared" si="109"/>
        <v>891.19959223441583</v>
      </c>
      <c r="S145" s="62">
        <f ca="1">AVERAGE(OFFSET($R$3,0,0,'Données projet'!$E$9+1,1))-AVERAGE(OFFSET($H$3,0,0,'Données projet'!$E$9+1,1))</f>
        <v>308.00850473946429</v>
      </c>
      <c r="T145" s="62">
        <f t="shared" si="142"/>
        <v>70.709140667951715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1.6</v>
      </c>
      <c r="AI145" s="14">
        <f>IF('Données projet'!$A$62&gt;35,AI144+AH145-AQ144,IF(A145&lt;'Données projet'!$A$62,$AF$205^A145,IF(A145='Données projet'!$A$62,'Données projet'!$B$62,AI144+AH145-AQ144)))</f>
        <v>221.20000000000007</v>
      </c>
      <c r="AJ145" s="14">
        <f>AI145*VLOOKUP('Données projet'!$B$10,Paramètres!$A$1:$I$89,3,0)*VLOOKUP('Données projet'!$B$10,Paramètres!$A$1:$I$89,5,0)</f>
        <v>238.09968000000006</v>
      </c>
      <c r="AK145" s="14">
        <f t="shared" si="143"/>
        <v>58.030478404094218</v>
      </c>
      <c r="AL145" s="22">
        <f t="shared" si="112"/>
        <v>515.76002588713084</v>
      </c>
      <c r="AM145" s="62">
        <f t="shared" si="113"/>
        <v>809.09335922046421</v>
      </c>
      <c r="AN145" s="62">
        <f ca="1">AVERAGE(OFFSET($AM$3,0,0,'Données projet'!$E$10+1,1))-AVERAGE(OFFSET($H$3,0,0,'Données projet'!$E$10+1,1))</f>
        <v>271.76512254565102</v>
      </c>
      <c r="AO145" s="62">
        <f t="shared" si="144"/>
        <v>99.160986083974535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0.49583333333333285</v>
      </c>
      <c r="BD145" s="13">
        <f>IF('Données projet'!$A$88&gt;35,BD144+BC145-BL144,IF(A145&lt;'Données projet'!$A$88,$BA$205^A145,IF(A145='Données projet'!$A$88,'Données projet'!$B$88,BD144+BC145-BL144)))</f>
        <v>58.491666666666625</v>
      </c>
      <c r="BE145" s="14">
        <f>BD145*VLOOKUP('Données projet'!$B$11,Paramètres!$A$1:$I$89,3,0)*VLOOKUP('Données projet'!$B$11,Paramètres!$A$1:$I$89,5,0)</f>
        <v>67.382399999999947</v>
      </c>
      <c r="BF145" s="14">
        <f t="shared" si="145"/>
        <v>19.021980432033601</v>
      </c>
      <c r="BG145" s="22">
        <f t="shared" si="115"/>
        <v>150.48762925245842</v>
      </c>
      <c r="BH145" s="62">
        <f t="shared" si="116"/>
        <v>443.82096258579173</v>
      </c>
      <c r="BI145" s="62">
        <f ca="1">AVERAGE(OFFSET($BH$3,0,0,'Données projet'!$E$11+1,1))-AVERAGE(OFFSET($H$3,0,0,'Données projet'!$E$11+1,1))</f>
        <v>43.16958872930951</v>
      </c>
      <c r="BJ145" s="62">
        <f t="shared" si="146"/>
        <v>69.202870643733547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-3.3253400033572693E-14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49.695493809293282</v>
      </c>
      <c r="CE145" s="62">
        <f t="shared" si="148"/>
        <v>59.252884227831601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63.577800000000124</v>
      </c>
      <c r="D146" s="12">
        <f t="shared" si="140"/>
        <v>18.069777334463591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630.26200047656209</v>
      </c>
      <c r="H146" s="70">
        <f t="shared" si="110"/>
        <v>435.53619719085759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2.8330091918499591</v>
      </c>
      <c r="N146" s="14">
        <f>IF('Données projet'!$A$36&gt;35,N145+M146-V145,IF(A146&lt;'Données projet'!$A$36,$K$205^A146,IF(A146='Données projet'!$A$36,'Données projet'!$B$36,N145+M146-V145)))</f>
        <v>256.4505633379768</v>
      </c>
      <c r="O146" s="14">
        <f>N146*VLOOKUP('Données projet'!$B$9,Paramètres!$A$1:$I$89,3,0)*VLOOKUP('Données projet'!$B$9,Paramètres!$A$1:$I$89,5,0)</f>
        <v>280.04401516507062</v>
      </c>
      <c r="P146" s="14">
        <f t="shared" si="141"/>
        <v>66.976310465678907</v>
      </c>
      <c r="Q146" s="22">
        <f t="shared" si="108"/>
        <v>604.39373380688869</v>
      </c>
      <c r="R146" s="62">
        <f t="shared" si="109"/>
        <v>897.72706714022206</v>
      </c>
      <c r="S146" s="62">
        <f ca="1">AVERAGE(OFFSET($R$3,0,0,'Données projet'!$E$9+1,1))-AVERAGE(OFFSET($H$3,0,0,'Données projet'!$E$9+1,1))</f>
        <v>308.00850473946429</v>
      </c>
      <c r="T146" s="62">
        <f t="shared" si="142"/>
        <v>70.709140667951715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1.6</v>
      </c>
      <c r="AI146" s="14">
        <f>IF('Données projet'!$A$62&gt;35,AI145+AH146-AQ145,IF(A146&lt;'Données projet'!$A$62,$AF$205^A146,IF(A146='Données projet'!$A$62,'Données projet'!$B$62,AI145+AH146-AQ145)))</f>
        <v>222.80000000000007</v>
      </c>
      <c r="AJ146" s="14">
        <f>AI146*VLOOKUP('Données projet'!$B$10,Paramètres!$A$1:$I$89,3,0)*VLOOKUP('Données projet'!$B$10,Paramètres!$A$1:$I$89,5,0)</f>
        <v>239.82192000000006</v>
      </c>
      <c r="AK146" s="14">
        <f t="shared" si="143"/>
        <v>58.401214047659259</v>
      </c>
      <c r="AL146" s="22">
        <f t="shared" si="112"/>
        <v>519.40529179967325</v>
      </c>
      <c r="AM146" s="62">
        <f t="shared" si="113"/>
        <v>812.73862513300651</v>
      </c>
      <c r="AN146" s="62">
        <f ca="1">AVERAGE(OFFSET($AM$3,0,0,'Données projet'!$E$10+1,1))-AVERAGE(OFFSET($H$3,0,0,'Données projet'!$E$10+1,1))</f>
        <v>271.76512254565102</v>
      </c>
      <c r="AO146" s="62">
        <f t="shared" si="144"/>
        <v>99.160986083974535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0.49583333333333285</v>
      </c>
      <c r="BD146" s="13">
        <f>IF('Données projet'!$A$88&gt;35,BD145+BC146-BL145,IF(A146&lt;'Données projet'!$A$88,$BA$205^A146,IF(A146='Données projet'!$A$88,'Données projet'!$B$88,BD145+BC146-BL145)))</f>
        <v>58.987499999999955</v>
      </c>
      <c r="BE146" s="14">
        <f>BD146*VLOOKUP('Données projet'!$B$11,Paramètres!$A$1:$I$89,3,0)*VLOOKUP('Données projet'!$B$11,Paramètres!$A$1:$I$89,5,0)</f>
        <v>67.953599999999952</v>
      </c>
      <c r="BF146" s="14">
        <f t="shared" si="145"/>
        <v>19.164390114322252</v>
      </c>
      <c r="BG146" s="22">
        <f t="shared" si="115"/>
        <v>151.73049944911116</v>
      </c>
      <c r="BH146" s="62">
        <f t="shared" si="116"/>
        <v>445.06383278244448</v>
      </c>
      <c r="BI146" s="62">
        <f ca="1">AVERAGE(OFFSET($BH$3,0,0,'Données projet'!$E$11+1,1))-AVERAGE(OFFSET($H$3,0,0,'Données projet'!$E$11+1,1))</f>
        <v>43.16958872930951</v>
      </c>
      <c r="BJ146" s="62">
        <f t="shared" si="146"/>
        <v>69.202870643733547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-3.3253400033572693E-14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49.695493809293282</v>
      </c>
      <c r="CE146" s="62">
        <f t="shared" si="148"/>
        <v>59.252884227831601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64.022400000000118</v>
      </c>
      <c r="D147" s="12">
        <f t="shared" si="140"/>
        <v>18.181385543312267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634.55553752732374</v>
      </c>
      <c r="H147" s="70">
        <f t="shared" si="110"/>
        <v>436.50492648793573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2.8330091918499591</v>
      </c>
      <c r="N147" s="14">
        <f>IF('Données projet'!$A$36&gt;35,N146+M147-V146,IF(A147&lt;'Données projet'!$A$36,$K$205^A147,IF(A147='Données projet'!$A$36,'Données projet'!$B$36,N146+M147-V146)))</f>
        <v>259.28357252982676</v>
      </c>
      <c r="O147" s="14">
        <f>N147*VLOOKUP('Données projet'!$B$9,Paramètres!$A$1:$I$89,3,0)*VLOOKUP('Données projet'!$B$9,Paramètres!$A$1:$I$89,5,0)</f>
        <v>283.13766120257077</v>
      </c>
      <c r="P147" s="14">
        <f t="shared" si="141"/>
        <v>67.62965623331084</v>
      </c>
      <c r="Q147" s="22">
        <f t="shared" si="108"/>
        <v>610.91974453416049</v>
      </c>
      <c r="R147" s="62">
        <f t="shared" si="109"/>
        <v>904.25307786749386</v>
      </c>
      <c r="S147" s="62">
        <f ca="1">AVERAGE(OFFSET($R$3,0,0,'Données projet'!$E$9+1,1))-AVERAGE(OFFSET($H$3,0,0,'Données projet'!$E$9+1,1))</f>
        <v>308.00850473946429</v>
      </c>
      <c r="T147" s="62">
        <f t="shared" si="142"/>
        <v>70.709140667951715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1.6</v>
      </c>
      <c r="AI147" s="14">
        <f>IF('Données projet'!$A$62&gt;35,AI146+AH147-AQ146,IF(A147&lt;'Données projet'!$A$62,$AF$205^A147,IF(A147='Données projet'!$A$62,'Données projet'!$B$62,AI146+AH147-AQ146)))</f>
        <v>224.40000000000006</v>
      </c>
      <c r="AJ147" s="14">
        <f>AI147*VLOOKUP('Données projet'!$B$10,Paramètres!$A$1:$I$89,3,0)*VLOOKUP('Données projet'!$B$10,Paramètres!$A$1:$I$89,5,0)</f>
        <v>241.54416000000006</v>
      </c>
      <c r="AK147" s="14">
        <f t="shared" si="143"/>
        <v>58.771639917508466</v>
      </c>
      <c r="AL147" s="22">
        <f t="shared" si="112"/>
        <v>523.05001818966059</v>
      </c>
      <c r="AM147" s="62">
        <f t="shared" si="113"/>
        <v>816.38335152299396</v>
      </c>
      <c r="AN147" s="62">
        <f ca="1">AVERAGE(OFFSET($AM$3,0,0,'Données projet'!$E$10+1,1))-AVERAGE(OFFSET($H$3,0,0,'Données projet'!$E$10+1,1))</f>
        <v>271.76512254565102</v>
      </c>
      <c r="AO147" s="62">
        <f t="shared" si="144"/>
        <v>99.160986083974535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0.49583333333333285</v>
      </c>
      <c r="BD147" s="13">
        <f>IF('Données projet'!$A$88&gt;35,BD146+BC147-BL146,IF(A147&lt;'Données projet'!$A$88,$BA$205^A147,IF(A147='Données projet'!$A$88,'Données projet'!$B$88,BD146+BC147-BL146)))</f>
        <v>59.483333333333285</v>
      </c>
      <c r="BE147" s="14">
        <f>BD147*VLOOKUP('Données projet'!$B$11,Paramètres!$A$1:$I$89,3,0)*VLOOKUP('Données projet'!$B$11,Paramètres!$A$1:$I$89,5,0)</f>
        <v>68.524799999999942</v>
      </c>
      <c r="BF147" s="14">
        <f t="shared" si="145"/>
        <v>19.30666052545148</v>
      </c>
      <c r="BG147" s="22">
        <f t="shared" si="115"/>
        <v>152.97312708182787</v>
      </c>
      <c r="BH147" s="62">
        <f t="shared" si="116"/>
        <v>446.30646041516115</v>
      </c>
      <c r="BI147" s="62">
        <f ca="1">AVERAGE(OFFSET($BH$3,0,0,'Données projet'!$E$11+1,1))-AVERAGE(OFFSET($H$3,0,0,'Données projet'!$E$11+1,1))</f>
        <v>43.16958872930951</v>
      </c>
      <c r="BJ147" s="62">
        <f t="shared" si="146"/>
        <v>69.202870643733547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-3.3253400033572693E-14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49.695493809293282</v>
      </c>
      <c r="CE147" s="62">
        <f t="shared" si="148"/>
        <v>59.252884227831601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64.467000000000112</v>
      </c>
      <c r="D148" s="12">
        <f t="shared" si="140"/>
        <v>18.292903571211468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638.8483784444403</v>
      </c>
      <c r="H148" s="70">
        <f t="shared" si="110"/>
        <v>437.47349871986012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2.8330091918499591</v>
      </c>
      <c r="N148" s="14">
        <f>IF('Données projet'!$A$36&gt;35,N147+M148-V147,IF(A148&lt;'Données projet'!$A$36,$K$205^A148,IF(A148='Données projet'!$A$36,'Données projet'!$B$36,N147+M148-V147)))</f>
        <v>262.11658172167671</v>
      </c>
      <c r="O148" s="14">
        <f>N148*VLOOKUP('Données projet'!$B$9,Paramètres!$A$1:$I$89,3,0)*VLOOKUP('Données projet'!$B$9,Paramètres!$A$1:$I$89,5,0)</f>
        <v>286.23130724007092</v>
      </c>
      <c r="P148" s="14">
        <f t="shared" si="141"/>
        <v>68.282171572836418</v>
      </c>
      <c r="Q148" s="22">
        <f t="shared" si="108"/>
        <v>617.44430893248034</v>
      </c>
      <c r="R148" s="62">
        <f t="shared" si="109"/>
        <v>910.77764226581371</v>
      </c>
      <c r="S148" s="62">
        <f ca="1">AVERAGE(OFFSET($R$3,0,0,'Données projet'!$E$9+1,1))-AVERAGE(OFFSET($H$3,0,0,'Données projet'!$E$9+1,1))</f>
        <v>308.00850473946429</v>
      </c>
      <c r="T148" s="62">
        <f t="shared" si="142"/>
        <v>70.709140667951715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226</v>
      </c>
      <c r="AG148" s="13">
        <f>VLOOKUP(A148,'Données projet'!$A$61:$I$81,9,0)</f>
        <v>1.6</v>
      </c>
      <c r="AH148" s="13">
        <f t="array" ref="AH148">INDEX(AG:AG,MIN(IF(ISNUMBER(AG148:AG344),ROW(AG148:AG344),"")))</f>
        <v>1.6</v>
      </c>
      <c r="AI148" s="14">
        <f>IF('Données projet'!$A$62&gt;35,AI147+AH148-AQ147,IF(A148&lt;'Données projet'!$A$62,$AF$205^A148,IF(A148='Données projet'!$A$62,'Données projet'!$B$62,AI147+AH148-AQ147)))</f>
        <v>226.00000000000006</v>
      </c>
      <c r="AJ148" s="14">
        <f>AI148*VLOOKUP('Données projet'!$B$10,Paramètres!$A$1:$I$89,3,0)*VLOOKUP('Données projet'!$B$10,Paramètres!$A$1:$I$89,5,0)</f>
        <v>243.26640000000006</v>
      </c>
      <c r="AK148" s="14">
        <f t="shared" si="143"/>
        <v>59.141758478481812</v>
      </c>
      <c r="AL148" s="22">
        <f t="shared" si="112"/>
        <v>526.69420935002256</v>
      </c>
      <c r="AM148" s="62">
        <f t="shared" si="113"/>
        <v>820.02754268335593</v>
      </c>
      <c r="AN148" s="62">
        <f ca="1">AVERAGE(OFFSET($AM$3,0,0,'Données projet'!$E$10+1,1))-AVERAGE(OFFSET($H$3,0,0,'Données projet'!$E$10+1,1))</f>
        <v>271.76512254565102</v>
      </c>
      <c r="AO148" s="62">
        <f t="shared" si="144"/>
        <v>99.160986083974535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0.49583333333333285</v>
      </c>
      <c r="BD148" s="13">
        <f>IF('Données projet'!$A$88&gt;35,BD147+BC148-BL147,IF(A148&lt;'Données projet'!$A$88,$BA$205^A148,IF(A148='Données projet'!$A$88,'Données projet'!$B$88,BD147+BC148-BL147)))</f>
        <v>59.979166666666615</v>
      </c>
      <c r="BE148" s="14">
        <f>BD148*VLOOKUP('Données projet'!$B$11,Paramètres!$A$1:$I$89,3,0)*VLOOKUP('Données projet'!$B$11,Paramètres!$A$1:$I$89,5,0)</f>
        <v>69.095999999999933</v>
      </c>
      <c r="BF148" s="14">
        <f t="shared" si="145"/>
        <v>19.448792960871923</v>
      </c>
      <c r="BG148" s="22">
        <f t="shared" si="115"/>
        <v>154.21551440685181</v>
      </c>
      <c r="BH148" s="62">
        <f t="shared" si="116"/>
        <v>447.54884774018512</v>
      </c>
      <c r="BI148" s="62">
        <f ca="1">AVERAGE(OFFSET($BH$3,0,0,'Données projet'!$E$11+1,1))-AVERAGE(OFFSET($H$3,0,0,'Données projet'!$E$11+1,1))</f>
        <v>43.16958872930951</v>
      </c>
      <c r="BJ148" s="62">
        <f t="shared" si="146"/>
        <v>69.202870643733547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-3.3253400033572693E-14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49.695493809293282</v>
      </c>
      <c r="CE148" s="62">
        <f t="shared" si="148"/>
        <v>59.252884227831601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64.911600000000107</v>
      </c>
      <c r="D149" s="12">
        <f t="shared" si="140"/>
        <v>18.40433211222474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643.14052858559535</v>
      </c>
      <c r="H149" s="70">
        <f t="shared" si="110"/>
        <v>438.44191509545823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2.8330091918499591</v>
      </c>
      <c r="N149" s="14">
        <f>IF('Données projet'!$A$36&gt;35,N148+M149-V148,IF(A149&lt;'Données projet'!$A$36,$K$205^A149,IF(A149='Données projet'!$A$36,'Données projet'!$B$36,N148+M149-V148)))</f>
        <v>264.94959091352666</v>
      </c>
      <c r="O149" s="14">
        <f>N149*VLOOKUP('Données projet'!$B$9,Paramètres!$A$1:$I$89,3,0)*VLOOKUP('Données projet'!$B$9,Paramètres!$A$1:$I$89,5,0)</f>
        <v>289.32495327757107</v>
      </c>
      <c r="P149" s="14">
        <f t="shared" si="141"/>
        <v>68.933866498523329</v>
      </c>
      <c r="Q149" s="22">
        <f t="shared" si="108"/>
        <v>623.96744444336434</v>
      </c>
      <c r="R149" s="62">
        <f t="shared" si="109"/>
        <v>917.30077777669771</v>
      </c>
      <c r="S149" s="62">
        <f ca="1">AVERAGE(OFFSET($R$3,0,0,'Données projet'!$E$9+1,1))-AVERAGE(OFFSET($H$3,0,0,'Données projet'!$E$9+1,1))</f>
        <v>308.00850473946429</v>
      </c>
      <c r="T149" s="62">
        <f t="shared" si="142"/>
        <v>70.709140667951715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1.2</v>
      </c>
      <c r="AI149" s="14">
        <f>IF('Données projet'!$A$62&gt;35,AI148+AH149-AQ148,IF(A149&lt;'Données projet'!$A$62,$AF$205^A149,IF(A149='Données projet'!$A$62,'Données projet'!$B$62,AI148+AH149-AQ148)))</f>
        <v>227.20000000000005</v>
      </c>
      <c r="AJ149" s="14">
        <f>AI149*VLOOKUP('Données projet'!$B$10,Paramètres!$A$1:$I$89,3,0)*VLOOKUP('Données projet'!$B$10,Paramètres!$A$1:$I$89,5,0)</f>
        <v>244.55808000000005</v>
      </c>
      <c r="AK149" s="14">
        <f t="shared" si="143"/>
        <v>59.419147189674213</v>
      </c>
      <c r="AL149" s="22">
        <f t="shared" si="112"/>
        <v>529.42700402201592</v>
      </c>
      <c r="AM149" s="62">
        <f t="shared" si="113"/>
        <v>822.76033735534929</v>
      </c>
      <c r="AN149" s="62">
        <f ca="1">AVERAGE(OFFSET($AM$3,0,0,'Données projet'!$E$10+1,1))-AVERAGE(OFFSET($H$3,0,0,'Données projet'!$E$10+1,1))</f>
        <v>271.76512254565102</v>
      </c>
      <c r="AO149" s="62">
        <f t="shared" si="144"/>
        <v>99.160986083974535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0.49583333333333285</v>
      </c>
      <c r="BD149" s="13">
        <f>IF('Données projet'!$A$88&gt;35,BD148+BC149-BL148,IF(A149&lt;'Données projet'!$A$88,$BA$205^A149,IF(A149='Données projet'!$A$88,'Données projet'!$B$88,BD148+BC149-BL148)))</f>
        <v>60.474999999999945</v>
      </c>
      <c r="BE149" s="14">
        <f>BD149*VLOOKUP('Données projet'!$B$11,Paramètres!$A$1:$I$89,3,0)*VLOOKUP('Données projet'!$B$11,Paramètres!$A$1:$I$89,5,0)</f>
        <v>69.667199999999937</v>
      </c>
      <c r="BF149" s="14">
        <f t="shared" si="145"/>
        <v>19.590788693379402</v>
      </c>
      <c r="BG149" s="22">
        <f t="shared" si="115"/>
        <v>155.457663640969</v>
      </c>
      <c r="BH149" s="62">
        <f t="shared" si="116"/>
        <v>448.79099697430229</v>
      </c>
      <c r="BI149" s="62">
        <f ca="1">AVERAGE(OFFSET($BH$3,0,0,'Données projet'!$E$11+1,1))-AVERAGE(OFFSET($H$3,0,0,'Données projet'!$E$11+1,1))</f>
        <v>43.16958872930951</v>
      </c>
      <c r="BJ149" s="62">
        <f t="shared" si="146"/>
        <v>69.202870643733547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-3.3253400033572693E-14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49.695493809293282</v>
      </c>
      <c r="CE149" s="62">
        <f t="shared" si="148"/>
        <v>59.252884227831601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65.356200000000101</v>
      </c>
      <c r="D150" s="12">
        <f t="shared" si="140"/>
        <v>18.515671850358327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647.43199323083707</v>
      </c>
      <c r="H150" s="70">
        <f t="shared" si="110"/>
        <v>439.41017680604091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2.8330091918499591</v>
      </c>
      <c r="N150" s="14">
        <f>IF('Données projet'!$A$36&gt;35,N149+M150-V149,IF(A150&lt;'Données projet'!$A$36,$K$205^A150,IF(A150='Données projet'!$A$36,'Données projet'!$B$36,N149+M150-V149)))</f>
        <v>267.78260010537662</v>
      </c>
      <c r="O150" s="14">
        <f>N150*VLOOKUP('Données projet'!$B$9,Paramètres!$A$1:$I$89,3,0)*VLOOKUP('Données projet'!$B$9,Paramètres!$A$1:$I$89,5,0)</f>
        <v>292.41859931507122</v>
      </c>
      <c r="P150" s="14">
        <f t="shared" si="141"/>
        <v>69.584750798145393</v>
      </c>
      <c r="Q150" s="22">
        <f t="shared" si="108"/>
        <v>630.48916811385209</v>
      </c>
      <c r="R150" s="62">
        <f t="shared" si="109"/>
        <v>923.82250144718546</v>
      </c>
      <c r="S150" s="62">
        <f ca="1">AVERAGE(OFFSET($R$3,0,0,'Données projet'!$E$9+1,1))-AVERAGE(OFFSET($H$3,0,0,'Données projet'!$E$9+1,1))</f>
        <v>308.00850473946429</v>
      </c>
      <c r="T150" s="62">
        <f t="shared" si="142"/>
        <v>70.709140667951715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1.2</v>
      </c>
      <c r="AI150" s="14">
        <f>IF('Données projet'!$A$62&gt;35,AI149+AH150-AQ149,IF(A150&lt;'Données projet'!$A$62,$AF$205^A150,IF(A150='Données projet'!$A$62,'Données projet'!$B$62,AI149+AH150-AQ149)))</f>
        <v>228.40000000000003</v>
      </c>
      <c r="AJ150" s="14">
        <f>AI150*VLOOKUP('Données projet'!$B$10,Paramètres!$A$1:$I$89,3,0)*VLOOKUP('Données projet'!$B$10,Paramètres!$A$1:$I$89,5,0)</f>
        <v>245.84976</v>
      </c>
      <c r="AK150" s="14">
        <f t="shared" si="143"/>
        <v>59.696365416984804</v>
      </c>
      <c r="AL150" s="22">
        <f t="shared" si="112"/>
        <v>532.15950176791523</v>
      </c>
      <c r="AM150" s="62">
        <f t="shared" si="113"/>
        <v>825.4928351012486</v>
      </c>
      <c r="AN150" s="62">
        <f ca="1">AVERAGE(OFFSET($AM$3,0,0,'Données projet'!$E$10+1,1))-AVERAGE(OFFSET($H$3,0,0,'Données projet'!$E$10+1,1))</f>
        <v>271.76512254565102</v>
      </c>
      <c r="AO150" s="62">
        <f t="shared" si="144"/>
        <v>99.160986083974535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0.49583333333333285</v>
      </c>
      <c r="BD150" s="13">
        <f>IF('Données projet'!$A$88&gt;35,BD149+BC150-BL149,IF(A150&lt;'Données projet'!$A$88,$BA$205^A150,IF(A150='Données projet'!$A$88,'Données projet'!$B$88,BD149+BC150-BL149)))</f>
        <v>60.970833333333275</v>
      </c>
      <c r="BE150" s="14">
        <f>BD150*VLOOKUP('Données projet'!$B$11,Paramètres!$A$1:$I$89,3,0)*VLOOKUP('Données projet'!$B$11,Paramètres!$A$1:$I$89,5,0)</f>
        <v>70.238399999999928</v>
      </c>
      <c r="BF150" s="14">
        <f t="shared" si="145"/>
        <v>19.732648973693628</v>
      </c>
      <c r="BG150" s="22">
        <f t="shared" si="115"/>
        <v>156.69957696251626</v>
      </c>
      <c r="BH150" s="62">
        <f t="shared" si="116"/>
        <v>450.03291029584955</v>
      </c>
      <c r="BI150" s="62">
        <f ca="1">AVERAGE(OFFSET($BH$3,0,0,'Données projet'!$E$11+1,1))-AVERAGE(OFFSET($H$3,0,0,'Données projet'!$E$11+1,1))</f>
        <v>43.16958872930951</v>
      </c>
      <c r="BJ150" s="62">
        <f t="shared" si="146"/>
        <v>69.202870643733547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-3.3253400033572693E-14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49.695493809293282</v>
      </c>
      <c r="CE150" s="62">
        <f t="shared" si="148"/>
        <v>59.252884227831601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65.800800000000095</v>
      </c>
      <c r="D151" s="12">
        <f t="shared" si="140"/>
        <v>18.626923459774314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651.72277758422354</v>
      </c>
      <c r="H151" s="70">
        <f t="shared" si="110"/>
        <v>440.37828502577372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2.8330091918499591</v>
      </c>
      <c r="N151" s="14">
        <f>IF('Données projet'!$A$36&gt;35,N150+M151-V150,IF(A151&lt;'Données projet'!$A$36,$K$205^A151,IF(A151='Données projet'!$A$36,'Données projet'!$B$36,N150+M151-V150)))</f>
        <v>270.61560929722657</v>
      </c>
      <c r="O151" s="14">
        <f>N151*VLOOKUP('Données projet'!$B$9,Paramètres!$A$1:$I$89,3,0)*VLOOKUP('Données projet'!$B$9,Paramètres!$A$1:$I$89,5,0)</f>
        <v>295.51224535257137</v>
      </c>
      <c r="P151" s="14">
        <f t="shared" si="141"/>
        <v>70.234834040446344</v>
      </c>
      <c r="Q151" s="22">
        <f t="shared" si="108"/>
        <v>637.00949660950585</v>
      </c>
      <c r="R151" s="62">
        <f t="shared" si="109"/>
        <v>930.34282994283922</v>
      </c>
      <c r="S151" s="62">
        <f ca="1">AVERAGE(OFFSET($R$3,0,0,'Données projet'!$E$9+1,1))-AVERAGE(OFFSET($H$3,0,0,'Données projet'!$E$9+1,1))</f>
        <v>308.00850473946429</v>
      </c>
      <c r="T151" s="62">
        <f t="shared" si="142"/>
        <v>70.709140667951715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1.2</v>
      </c>
      <c r="AI151" s="14">
        <f>IF('Données projet'!$A$62&gt;35,AI150+AH151-AQ150,IF(A151&lt;'Données projet'!$A$62,$AF$205^A151,IF(A151='Données projet'!$A$62,'Données projet'!$B$62,AI150+AH151-AQ150)))</f>
        <v>229.60000000000002</v>
      </c>
      <c r="AJ151" s="14">
        <f>AI151*VLOOKUP('Données projet'!$B$10,Paramètres!$A$1:$I$89,3,0)*VLOOKUP('Données projet'!$B$10,Paramètres!$A$1:$I$89,5,0)</f>
        <v>247.14144000000002</v>
      </c>
      <c r="AK151" s="14">
        <f t="shared" si="143"/>
        <v>59.973414160090194</v>
      </c>
      <c r="AL151" s="22">
        <f t="shared" si="112"/>
        <v>534.89170432882372</v>
      </c>
      <c r="AM151" s="62">
        <f t="shared" si="113"/>
        <v>828.22503766215709</v>
      </c>
      <c r="AN151" s="62">
        <f ca="1">AVERAGE(OFFSET($AM$3,0,0,'Données projet'!$E$10+1,1))-AVERAGE(OFFSET($H$3,0,0,'Données projet'!$E$10+1,1))</f>
        <v>271.76512254565102</v>
      </c>
      <c r="AO151" s="62">
        <f t="shared" si="144"/>
        <v>99.160986083974535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0.49583333333333285</v>
      </c>
      <c r="BD151" s="13">
        <f>IF('Données projet'!$A$88&gt;35,BD150+BC151-BL150,IF(A151&lt;'Données projet'!$A$88,$BA$205^A151,IF(A151='Données projet'!$A$88,'Données projet'!$B$88,BD150+BC151-BL150)))</f>
        <v>61.466666666666605</v>
      </c>
      <c r="BE151" s="14">
        <f>BD151*VLOOKUP('Données projet'!$B$11,Paramètres!$A$1:$I$89,3,0)*VLOOKUP('Données projet'!$B$11,Paramètres!$A$1:$I$89,5,0)</f>
        <v>70.809599999999918</v>
      </c>
      <c r="BF151" s="14">
        <f t="shared" si="145"/>
        <v>19.874375031017355</v>
      </c>
      <c r="BG151" s="22">
        <f t="shared" si="115"/>
        <v>157.94125651235507</v>
      </c>
      <c r="BH151" s="62">
        <f t="shared" si="116"/>
        <v>451.27458984568841</v>
      </c>
      <c r="BI151" s="62">
        <f ca="1">AVERAGE(OFFSET($BH$3,0,0,'Données projet'!$E$11+1,1))-AVERAGE(OFFSET($H$3,0,0,'Données projet'!$E$11+1,1))</f>
        <v>43.16958872930951</v>
      </c>
      <c r="BJ151" s="62">
        <f t="shared" si="146"/>
        <v>69.202870643733547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-3.3253400033572693E-14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49.695493809293282</v>
      </c>
      <c r="CE151" s="62">
        <f t="shared" si="148"/>
        <v>59.252884227831601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66.245400000000089</v>
      </c>
      <c r="D152" s="12">
        <f t="shared" si="140"/>
        <v>18.738087604997858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656.01288677542277</v>
      </c>
      <c r="H152" s="70">
        <f t="shared" si="110"/>
        <v>441.34624091203807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2.8330091918499591</v>
      </c>
      <c r="N152" s="14">
        <f>IF('Données projet'!$A$36&gt;35,N151+M152-V151,IF(A152&lt;'Données projet'!$A$36,$K$205^A152,IF(A152='Données projet'!$A$36,'Données projet'!$B$36,N151+M152-V151)))</f>
        <v>273.44861848907652</v>
      </c>
      <c r="O152" s="14">
        <f>N152*VLOOKUP('Données projet'!$B$9,Paramètres!$A$1:$I$89,3,0)*VLOOKUP('Données projet'!$B$9,Paramètres!$A$1:$I$89,5,0)</f>
        <v>298.60589139007152</v>
      </c>
      <c r="P152" s="14">
        <f t="shared" si="141"/>
        <v>70.884125582281598</v>
      </c>
      <c r="Q152" s="22">
        <f t="shared" si="108"/>
        <v>643.52844622684836</v>
      </c>
      <c r="R152" s="62">
        <f t="shared" si="109"/>
        <v>936.86177956018173</v>
      </c>
      <c r="S152" s="62">
        <f ca="1">AVERAGE(OFFSET($R$3,0,0,'Données projet'!$E$9+1,1))-AVERAGE(OFFSET($H$3,0,0,'Données projet'!$E$9+1,1))</f>
        <v>308.00850473946429</v>
      </c>
      <c r="T152" s="62">
        <f t="shared" si="142"/>
        <v>70.709140667951715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1.2</v>
      </c>
      <c r="AI152" s="14">
        <f>IF('Données projet'!$A$62&gt;35,AI151+AH152-AQ151,IF(A152&lt;'Données projet'!$A$62,$AF$205^A152,IF(A152='Données projet'!$A$62,'Données projet'!$B$62,AI151+AH152-AQ151)))</f>
        <v>230.8</v>
      </c>
      <c r="AJ152" s="14">
        <f>AI152*VLOOKUP('Données projet'!$B$10,Paramètres!$A$1:$I$89,3,0)*VLOOKUP('Données projet'!$B$10,Paramètres!$A$1:$I$89,5,0)</f>
        <v>248.43312000000003</v>
      </c>
      <c r="AK152" s="14">
        <f t="shared" si="143"/>
        <v>60.250294407612479</v>
      </c>
      <c r="AL152" s="22">
        <f t="shared" si="112"/>
        <v>537.62361342659187</v>
      </c>
      <c r="AM152" s="62">
        <f t="shared" si="113"/>
        <v>830.95694675992513</v>
      </c>
      <c r="AN152" s="62">
        <f ca="1">AVERAGE(OFFSET($AM$3,0,0,'Données projet'!$E$10+1,1))-AVERAGE(OFFSET($H$3,0,0,'Données projet'!$E$10+1,1))</f>
        <v>271.76512254565102</v>
      </c>
      <c r="AO152" s="62">
        <f t="shared" si="144"/>
        <v>99.160986083974535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0.49583333333333285</v>
      </c>
      <c r="BD152" s="13">
        <f>IF('Données projet'!$A$88&gt;35,BD151+BC152-BL151,IF(A152&lt;'Données projet'!$A$88,$BA$205^A152,IF(A152='Données projet'!$A$88,'Données projet'!$B$88,BD151+BC152-BL151)))</f>
        <v>61.962499999999935</v>
      </c>
      <c r="BE152" s="14">
        <f>BD152*VLOOKUP('Données projet'!$B$11,Paramètres!$A$1:$I$89,3,0)*VLOOKUP('Données projet'!$B$11,Paramètres!$A$1:$I$89,5,0)</f>
        <v>71.380799999999923</v>
      </c>
      <c r="BF152" s="14">
        <f t="shared" si="145"/>
        <v>20.015968073577149</v>
      </c>
      <c r="BG152" s="22">
        <f t="shared" si="115"/>
        <v>159.18270439481341</v>
      </c>
      <c r="BH152" s="62">
        <f t="shared" si="116"/>
        <v>452.51603772814673</v>
      </c>
      <c r="BI152" s="62">
        <f ca="1">AVERAGE(OFFSET($BH$3,0,0,'Données projet'!$E$11+1,1))-AVERAGE(OFFSET($H$3,0,0,'Données projet'!$E$11+1,1))</f>
        <v>43.16958872930951</v>
      </c>
      <c r="BJ152" s="62">
        <f t="shared" si="146"/>
        <v>69.202870643733547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-3.3253400033572693E-14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49.695493809293282</v>
      </c>
      <c r="CE152" s="62">
        <f t="shared" si="148"/>
        <v>59.252884227831601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153" s="12">
        <f t="shared" si="140"/>
        <v>18.849164941118655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660.30232586126749</v>
      </c>
      <c r="H153" s="70">
        <f t="shared" si="110"/>
        <v>442.31404560578176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2.8330091918499591</v>
      </c>
      <c r="N153" s="14">
        <f>IF('Données projet'!$A$36&gt;35,N152+M153-V152,IF(A153&lt;'Données projet'!$A$36,$K$205^A153,IF(A153='Données projet'!$A$36,'Données projet'!$B$36,N152+M153-V152)))</f>
        <v>276.28162768092648</v>
      </c>
      <c r="O153" s="14">
        <f>N153*VLOOKUP('Données projet'!$B$9,Paramètres!$A$1:$I$89,3,0)*VLOOKUP('Données projet'!$B$9,Paramètres!$A$1:$I$89,5,0)</f>
        <v>301.69953742757167</v>
      </c>
      <c r="P153" s="14">
        <f t="shared" si="141"/>
        <v>71.532634575455916</v>
      </c>
      <c r="Q153" s="22">
        <f t="shared" si="108"/>
        <v>650.04603290527302</v>
      </c>
      <c r="R153" s="62">
        <f t="shared" si="109"/>
        <v>943.37936623860628</v>
      </c>
      <c r="S153" s="62">
        <f ca="1">AVERAGE(OFFSET($R$3,0,0,'Données projet'!$E$9+1,1))-AVERAGE(OFFSET($H$3,0,0,'Données projet'!$E$9+1,1))</f>
        <v>308.00850473946429</v>
      </c>
      <c r="T153" s="62">
        <f t="shared" si="142"/>
        <v>70.709140667951715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232</v>
      </c>
      <c r="AG153" s="13">
        <f>VLOOKUP(A153,'Données projet'!$A$61:$I$81,9,0)</f>
        <v>1.2</v>
      </c>
      <c r="AH153" s="13">
        <f t="array" ref="AH153">INDEX(AG:AG,MIN(IF(ISNUMBER(AG153:AG349),ROW(AG153:AG349),"")))</f>
        <v>1.2</v>
      </c>
      <c r="AI153" s="14">
        <f>IF('Données projet'!$A$62&gt;35,AI152+AH153-AQ152,IF(A153&lt;'Données projet'!$A$62,$AF$205^A153,IF(A153='Données projet'!$A$62,'Données projet'!$B$62,AI152+AH153-AQ152)))</f>
        <v>232</v>
      </c>
      <c r="AJ153" s="14">
        <f>AI153*VLOOKUP('Données projet'!$B$10,Paramètres!$A$1:$I$89,3,0)*VLOOKUP('Données projet'!$B$10,Paramètres!$A$1:$I$89,5,0)</f>
        <v>249.72479999999999</v>
      </c>
      <c r="AK153" s="14">
        <f t="shared" si="143"/>
        <v>60.527007137298142</v>
      </c>
      <c r="AL153" s="22">
        <f t="shared" si="112"/>
        <v>540.35523076412755</v>
      </c>
      <c r="AM153" s="62">
        <f t="shared" si="113"/>
        <v>833.68856409746081</v>
      </c>
      <c r="AN153" s="62">
        <f ca="1">AVERAGE(OFFSET($AM$3,0,0,'Données projet'!$E$10+1,1))-AVERAGE(OFFSET($H$3,0,0,'Données projet'!$E$10+1,1))</f>
        <v>271.76512254565102</v>
      </c>
      <c r="AO153" s="62">
        <f t="shared" si="144"/>
        <v>99.160986083974535</v>
      </c>
      <c r="AP153" s="16">
        <f>IF(ISNA(VLOOKUP(A153,'Données projet'!$A$61:$I$81,3,0)),0,VLOOKUP(A153,'Données projet'!$A$61:$I$81,3,0))</f>
        <v>12</v>
      </c>
      <c r="AQ153" s="16">
        <f>IF(ISNA(VLOOKUP(A153,'Données projet'!$A$61:$I$81,4,0)),0,VLOOKUP(A153,'Données projet'!$A$61:$I$81,4,0))</f>
        <v>232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62.458333333333336</v>
      </c>
      <c r="BB153" s="13">
        <f>VLOOKUP(A153,'Données projet'!$A$87:$I$107,9,0)</f>
        <v>0.49583333333333285</v>
      </c>
      <c r="BC153" s="13">
        <f t="array" ref="BC153">INDEX(BB:BB,MIN(IF(ISNUMBER(BB153:BB349),ROW(BB153:BB349),"")))</f>
        <v>0.49583333333333285</v>
      </c>
      <c r="BD153" s="13">
        <f>IF('Données projet'!$A$88&gt;35,BD152+BC153-BL152,IF(A153&lt;'Données projet'!$A$88,$BA$205^A153,IF(A153='Données projet'!$A$88,'Données projet'!$B$88,BD152+BC153-BL152)))</f>
        <v>62.458333333333265</v>
      </c>
      <c r="BE153" s="14">
        <f>BD153*VLOOKUP('Données projet'!$B$11,Paramètres!$A$1:$I$89,3,0)*VLOOKUP('Données projet'!$B$11,Paramètres!$A$1:$I$89,5,0)</f>
        <v>71.951999999999913</v>
      </c>
      <c r="BF153" s="14">
        <f t="shared" si="145"/>
        <v>20.157429289146208</v>
      </c>
      <c r="BG153" s="22">
        <f t="shared" si="115"/>
        <v>160.42392267859614</v>
      </c>
      <c r="BH153" s="62">
        <f t="shared" si="116"/>
        <v>453.75725601192948</v>
      </c>
      <c r="BI153" s="62">
        <f ca="1">AVERAGE(OFFSET($BH$3,0,0,'Données projet'!$E$11+1,1))-AVERAGE(OFFSET($H$3,0,0,'Données projet'!$E$11+1,1))</f>
        <v>43.16958872930951</v>
      </c>
      <c r="BJ153" s="62">
        <f t="shared" si="146"/>
        <v>69.202870643733547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62.458333333333336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-3.3253400033572693E-14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49.695493809293282</v>
      </c>
      <c r="CE153" s="62">
        <f t="shared" si="148"/>
        <v>59.252884227831601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67.134600000000077</v>
      </c>
      <c r="D154" s="12">
        <f t="shared" si="140"/>
        <v>18.960156113986873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664.59109982726773</v>
      </c>
      <c r="H154" s="70">
        <f t="shared" si="110"/>
        <v>443.28170023186055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2.8330091918499591</v>
      </c>
      <c r="N154" s="14">
        <f>IF('Données projet'!$A$36&gt;35,N153+M154-V153,IF(A154&lt;'Données projet'!$A$36,$K$205^A154,IF(A154='Données projet'!$A$36,'Données projet'!$B$36,N153+M154-V153)))</f>
        <v>279.11463687277643</v>
      </c>
      <c r="O154" s="14">
        <f>N154*VLOOKUP('Données projet'!$B$9,Paramètres!$A$1:$I$89,3,0)*VLOOKUP('Données projet'!$B$9,Paramètres!$A$1:$I$89,5,0)</f>
        <v>304.79318346507182</v>
      </c>
      <c r="P154" s="14">
        <f t="shared" si="141"/>
        <v>72.180369973272775</v>
      </c>
      <c r="Q154" s="22">
        <f t="shared" ref="Q154:Q203" si="162">(O154+P154)*0.475*44/12</f>
        <v>656.56227223845019</v>
      </c>
      <c r="R154" s="62">
        <f t="shared" si="109"/>
        <v>949.89560557178356</v>
      </c>
      <c r="S154" s="62">
        <f ca="1">AVERAGE(OFFSET($R$3,0,0,'Données projet'!$E$9+1,1))-AVERAGE(OFFSET($H$3,0,0,'Données projet'!$E$9+1,1))</f>
        <v>308.00850473946429</v>
      </c>
      <c r="T154" s="62">
        <f t="shared" si="142"/>
        <v>70.709140667951715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271.76512254565102</v>
      </c>
      <c r="AO154" s="62">
        <f t="shared" si="144"/>
        <v>99.160986083974535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-7.1054273576010019E-14</v>
      </c>
      <c r="BE154" s="14">
        <f>BD154*VLOOKUP('Données projet'!$B$11,Paramètres!$A$1:$I$89,3,0)*VLOOKUP('Données projet'!$B$11,Paramètres!$A$1:$I$89,5,0)</f>
        <v>-8.1854523159563538E-14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43.16958872930951</v>
      </c>
      <c r="BJ154" s="62">
        <f t="shared" si="146"/>
        <v>69.202870643733547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-3.3253400033572693E-14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49.695493809293282</v>
      </c>
      <c r="CE154" s="62">
        <f t="shared" si="148"/>
        <v>59.252884227831601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67.579200000000071</v>
      </c>
      <c r="D155" s="12">
        <f t="shared" si="140"/>
        <v>19.071061760403854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668.87921358908295</v>
      </c>
      <c r="H155" s="70">
        <f t="shared" si="110"/>
        <v>444.24920589937017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2.8330091918499591</v>
      </c>
      <c r="N155" s="14">
        <f>IF('Données projet'!$A$36&gt;35,N154+M155-V154,IF(A155&lt;'Données projet'!$A$36,$K$205^A155,IF(A155='Données projet'!$A$36,'Données projet'!$B$36,N154+M155-V154)))</f>
        <v>281.94764606462638</v>
      </c>
      <c r="O155" s="14">
        <f>N155*VLOOKUP('Données projet'!$B$9,Paramètres!$A$1:$I$89,3,0)*VLOOKUP('Données projet'!$B$9,Paramètres!$A$1:$I$89,5,0)</f>
        <v>307.88682950257197</v>
      </c>
      <c r="P155" s="14">
        <f t="shared" si="141"/>
        <v>72.827340536809245</v>
      </c>
      <c r="Q155" s="22">
        <f t="shared" si="162"/>
        <v>663.07717948525567</v>
      </c>
      <c r="R155" s="62">
        <f t="shared" si="109"/>
        <v>956.41051281858904</v>
      </c>
      <c r="S155" s="62">
        <f ca="1">AVERAGE(OFFSET($R$3,0,0,'Données projet'!$E$9+1,1))-AVERAGE(OFFSET($H$3,0,0,'Données projet'!$E$9+1,1))</f>
        <v>308.00850473946429</v>
      </c>
      <c r="T155" s="62">
        <f t="shared" si="142"/>
        <v>70.709140667951715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271.76512254565102</v>
      </c>
      <c r="AO155" s="62">
        <f t="shared" si="144"/>
        <v>99.160986083974535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-7.1054273576010019E-14</v>
      </c>
      <c r="BE155" s="14">
        <f>BD155*VLOOKUP('Données projet'!$B$11,Paramètres!$A$1:$I$89,3,0)*VLOOKUP('Données projet'!$B$11,Paramètres!$A$1:$I$89,5,0)</f>
        <v>-8.1854523159563538E-14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43.16958872930951</v>
      </c>
      <c r="BJ155" s="62">
        <f t="shared" si="146"/>
        <v>69.202870643733547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-3.3253400033572693E-14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49.695493809293282</v>
      </c>
      <c r="CE155" s="62">
        <f t="shared" si="148"/>
        <v>59.252884227831601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68.023800000000065</v>
      </c>
      <c r="D156" s="12">
        <f t="shared" si="140"/>
        <v>19.181882508307488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673.16667199395295</v>
      </c>
      <c r="H156" s="70">
        <f t="shared" si="110"/>
        <v>445.21656370196899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2.8330091918499591</v>
      </c>
      <c r="N156" s="14">
        <f>IF('Données projet'!$A$36&gt;35,N155+M156-V155,IF(A156&lt;'Données projet'!$A$36,$K$205^A156,IF(A156='Données projet'!$A$36,'Données projet'!$B$36,N155+M156-V155)))</f>
        <v>284.78065525647634</v>
      </c>
      <c r="O156" s="14">
        <f>N156*VLOOKUP('Données projet'!$B$9,Paramètres!$A$1:$I$89,3,0)*VLOOKUP('Données projet'!$B$9,Paramètres!$A$1:$I$89,5,0)</f>
        <v>310.98047554007212</v>
      </c>
      <c r="P156" s="14">
        <f t="shared" si="141"/>
        <v>73.473554840932835</v>
      </c>
      <c r="Q156" s="22">
        <f t="shared" si="162"/>
        <v>669.59076958025025</v>
      </c>
      <c r="R156" s="62">
        <f t="shared" si="109"/>
        <v>962.92410291358351</v>
      </c>
      <c r="S156" s="62">
        <f ca="1">AVERAGE(OFFSET($R$3,0,0,'Données projet'!$E$9+1,1))-AVERAGE(OFFSET($H$3,0,0,'Données projet'!$E$9+1,1))</f>
        <v>308.00850473946429</v>
      </c>
      <c r="T156" s="62">
        <f t="shared" si="142"/>
        <v>70.709140667951715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271.76512254565102</v>
      </c>
      <c r="AO156" s="62">
        <f t="shared" si="144"/>
        <v>99.160986083974535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-7.1054273576010019E-14</v>
      </c>
      <c r="BE156" s="14">
        <f>BD156*VLOOKUP('Données projet'!$B$11,Paramètres!$A$1:$I$89,3,0)*VLOOKUP('Données projet'!$B$11,Paramètres!$A$1:$I$89,5,0)</f>
        <v>-8.1854523159563538E-14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43.16958872930951</v>
      </c>
      <c r="BJ156" s="62">
        <f t="shared" si="146"/>
        <v>69.202870643733547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-3.3253400033572693E-14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49.695493809293282</v>
      </c>
      <c r="CE156" s="62">
        <f t="shared" si="148"/>
        <v>59.252884227831601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68.468400000000059</v>
      </c>
      <c r="D157" s="12">
        <f t="shared" si="140"/>
        <v>19.292618976952735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677.45347982209171</v>
      </c>
      <c r="H157" s="70">
        <f t="shared" si="110"/>
        <v>446.18377471819275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2.8330091918499591</v>
      </c>
      <c r="N157" s="14">
        <f>IF('Données projet'!$A$36&gt;35,N156+M157-V156,IF(A157&lt;'Données projet'!$A$36,$K$205^A157,IF(A157='Données projet'!$A$36,'Données projet'!$B$36,N156+M157-V156)))</f>
        <v>287.61366444832629</v>
      </c>
      <c r="O157" s="14">
        <f>N157*VLOOKUP('Données projet'!$B$9,Paramètres!$A$1:$I$89,3,0)*VLOOKUP('Données projet'!$B$9,Paramètres!$A$1:$I$89,5,0)</f>
        <v>314.07412157757227</v>
      </c>
      <c r="P157" s="14">
        <f t="shared" si="141"/>
        <v>74.119021280071294</v>
      </c>
      <c r="Q157" s="22">
        <f t="shared" si="162"/>
        <v>676.10305714372919</v>
      </c>
      <c r="R157" s="62">
        <f t="shared" si="109"/>
        <v>969.43639047706256</v>
      </c>
      <c r="S157" s="62">
        <f ca="1">AVERAGE(OFFSET($R$3,0,0,'Données projet'!$E$9+1,1))-AVERAGE(OFFSET($H$3,0,0,'Données projet'!$E$9+1,1))</f>
        <v>308.00850473946429</v>
      </c>
      <c r="T157" s="62">
        <f t="shared" si="142"/>
        <v>70.709140667951715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271.76512254565102</v>
      </c>
      <c r="AO157" s="62">
        <f t="shared" si="144"/>
        <v>99.160986083974535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-7.1054273576010019E-14</v>
      </c>
      <c r="BE157" s="14">
        <f>BD157*VLOOKUP('Données projet'!$B$11,Paramètres!$A$1:$I$89,3,0)*VLOOKUP('Données projet'!$B$11,Paramètres!$A$1:$I$89,5,0)</f>
        <v>-8.1854523159563538E-14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43.16958872930951</v>
      </c>
      <c r="BJ157" s="62">
        <f t="shared" si="146"/>
        <v>69.202870643733547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-3.3253400033572693E-14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49.695493809293282</v>
      </c>
      <c r="CE157" s="62">
        <f t="shared" si="148"/>
        <v>59.252884227831601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68.913000000000054</v>
      </c>
      <c r="D158" s="12">
        <f t="shared" si="140"/>
        <v>19.40327177708728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681.7396417880426</v>
      </c>
      <c r="H158" s="70">
        <f t="shared" si="110"/>
        <v>447.15084001176041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2.8330091918499591</v>
      </c>
      <c r="N158" s="14">
        <f>IF('Données projet'!$A$36&gt;35,N157+M158-V157,IF(A158&lt;'Données projet'!$A$36,$K$205^A158,IF(A158='Données projet'!$A$36,'Données projet'!$B$36,N157+M158-V157)))</f>
        <v>290.44667364017624</v>
      </c>
      <c r="O158" s="14">
        <f>N158*VLOOKUP('Données projet'!$B$9,Paramètres!$A$1:$I$89,3,0)*VLOOKUP('Données projet'!$B$9,Paramètres!$A$1:$I$89,5,0)</f>
        <v>317.16776761507242</v>
      </c>
      <c r="P158" s="14">
        <f t="shared" si="141"/>
        <v>74.763748073748374</v>
      </c>
      <c r="Q158" s="22">
        <f t="shared" si="162"/>
        <v>682.61405649136282</v>
      </c>
      <c r="R158" s="62">
        <f t="shared" si="109"/>
        <v>975.94738982469607</v>
      </c>
      <c r="S158" s="62">
        <f ca="1">AVERAGE(OFFSET($R$3,0,0,'Données projet'!$E$9+1,1))-AVERAGE(OFFSET($H$3,0,0,'Données projet'!$E$9+1,1))</f>
        <v>308.00850473946429</v>
      </c>
      <c r="T158" s="62">
        <f t="shared" si="142"/>
        <v>70.709140667951715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271.76512254565102</v>
      </c>
      <c r="AO158" s="62">
        <f t="shared" si="144"/>
        <v>99.160986083974535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-7.1054273576010019E-14</v>
      </c>
      <c r="BE158" s="14">
        <f>BD158*VLOOKUP('Données projet'!$B$11,Paramètres!$A$1:$I$89,3,0)*VLOOKUP('Données projet'!$B$11,Paramètres!$A$1:$I$89,5,0)</f>
        <v>-8.1854523159563538E-14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43.16958872930951</v>
      </c>
      <c r="BJ158" s="62">
        <f t="shared" si="146"/>
        <v>69.202870643733547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-3.3253400033572693E-14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49.695493809293282</v>
      </c>
      <c r="CE158" s="62">
        <f t="shared" si="148"/>
        <v>59.252884227831601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69.357600000000048</v>
      </c>
      <c r="D159" s="12">
        <f t="shared" si="140"/>
        <v>19.51384151112245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686.02516254199827</v>
      </c>
      <c r="H159" s="70">
        <f t="shared" si="110"/>
        <v>448.11776063187165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2.8330091918499591</v>
      </c>
      <c r="N159" s="14">
        <f>IF('Données projet'!$A$36&gt;35,N158+M159-V158,IF(A159&lt;'Données projet'!$A$36,$K$205^A159,IF(A159='Données projet'!$A$36,'Données projet'!$B$36,N158+M159-V158)))</f>
        <v>293.2796828320262</v>
      </c>
      <c r="O159" s="14">
        <f>N159*VLOOKUP('Données projet'!$B$9,Paramètres!$A$1:$I$89,3,0)*VLOOKUP('Données projet'!$B$9,Paramètres!$A$1:$I$89,5,0)</f>
        <v>320.26141365257257</v>
      </c>
      <c r="P159" s="14">
        <f t="shared" si="141"/>
        <v>75.4077432718979</v>
      </c>
      <c r="Q159" s="22">
        <f t="shared" si="162"/>
        <v>689.12378164345273</v>
      </c>
      <c r="R159" s="62">
        <f t="shared" si="109"/>
        <v>982.45711497678599</v>
      </c>
      <c r="S159" s="62">
        <f ca="1">AVERAGE(OFFSET($R$3,0,0,'Données projet'!$E$9+1,1))-AVERAGE(OFFSET($H$3,0,0,'Données projet'!$E$9+1,1))</f>
        <v>308.00850473946429</v>
      </c>
      <c r="T159" s="62">
        <f t="shared" si="142"/>
        <v>70.709140667951715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271.76512254565102</v>
      </c>
      <c r="AO159" s="62">
        <f t="shared" si="144"/>
        <v>99.160986083974535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-7.1054273576010019E-14</v>
      </c>
      <c r="BE159" s="14">
        <f>BD159*VLOOKUP('Données projet'!$B$11,Paramètres!$A$1:$I$89,3,0)*VLOOKUP('Données projet'!$B$11,Paramètres!$A$1:$I$89,5,0)</f>
        <v>-8.1854523159563538E-14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43.16958872930951</v>
      </c>
      <c r="BJ159" s="62">
        <f t="shared" si="146"/>
        <v>69.202870643733547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-3.3253400033572693E-14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49.695493809293282</v>
      </c>
      <c r="CE159" s="62">
        <f t="shared" si="148"/>
        <v>59.252884227831601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69.802200000000042</v>
      </c>
      <c r="D160" s="12">
        <f t="shared" si="140"/>
        <v>19.624328773299773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690.3100466710863</v>
      </c>
      <c r="H160" s="70">
        <f t="shared" si="110"/>
        <v>449.08453761349722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2.8330091918499591</v>
      </c>
      <c r="N160" s="14">
        <f>IF('Données projet'!$A$36&gt;35,N159+M160-V159,IF(A160&lt;'Données projet'!$A$36,$K$205^A160,IF(A160='Données projet'!$A$36,'Données projet'!$B$36,N159+M160-V159)))</f>
        <v>296.11269202387615</v>
      </c>
      <c r="O160" s="14">
        <f>N160*VLOOKUP('Données projet'!$B$9,Paramètres!$A$1:$I$89,3,0)*VLOOKUP('Données projet'!$B$9,Paramètres!$A$1:$I$89,5,0)</f>
        <v>323.35505969007272</v>
      </c>
      <c r="P160" s="14">
        <f t="shared" si="141"/>
        <v>76.051014759966833</v>
      </c>
      <c r="Q160" s="22">
        <f t="shared" si="162"/>
        <v>695.63224633381878</v>
      </c>
      <c r="R160" s="62">
        <f t="shared" si="109"/>
        <v>988.96557966715204</v>
      </c>
      <c r="S160" s="62">
        <f ca="1">AVERAGE(OFFSET($R$3,0,0,'Données projet'!$E$9+1,1))-AVERAGE(OFFSET($H$3,0,0,'Données projet'!$E$9+1,1))</f>
        <v>308.00850473946429</v>
      </c>
      <c r="T160" s="62">
        <f t="shared" si="142"/>
        <v>70.709140667951715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271.76512254565102</v>
      </c>
      <c r="AO160" s="62">
        <f t="shared" si="144"/>
        <v>99.160986083974535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-7.1054273576010019E-14</v>
      </c>
      <c r="BE160" s="14">
        <f>BD160*VLOOKUP('Données projet'!$B$11,Paramètres!$A$1:$I$89,3,0)*VLOOKUP('Données projet'!$B$11,Paramètres!$A$1:$I$89,5,0)</f>
        <v>-8.1854523159563538E-14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43.16958872930951</v>
      </c>
      <c r="BJ160" s="62">
        <f t="shared" si="146"/>
        <v>69.202870643733547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-3.3253400033572693E-14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49.695493809293282</v>
      </c>
      <c r="CE160" s="62">
        <f t="shared" si="148"/>
        <v>59.252884227831601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70.246800000000036</v>
      </c>
      <c r="D161" s="12">
        <f t="shared" si="140"/>
        <v>19.734734149853068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694.59429870062047</v>
      </c>
      <c r="H161" s="70">
        <f t="shared" si="110"/>
        <v>450.05117197766083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2.8330091918499591</v>
      </c>
      <c r="N161" s="14">
        <f>IF('Données projet'!$A$36&gt;35,N160+M161-V160,IF(A161&lt;'Données projet'!$A$36,$K$205^A161,IF(A161='Données projet'!$A$36,'Données projet'!$B$36,N160+M161-V160)))</f>
        <v>298.9457012157261</v>
      </c>
      <c r="O161" s="14">
        <f>N161*VLOOKUP('Données projet'!$B$9,Paramètres!$A$1:$I$89,3,0)*VLOOKUP('Données projet'!$B$9,Paramètres!$A$1:$I$89,5,0)</f>
        <v>326.44870572757287</v>
      </c>
      <c r="P161" s="14">
        <f t="shared" si="141"/>
        <v>76.693570263816696</v>
      </c>
      <c r="Q161" s="22">
        <f t="shared" si="162"/>
        <v>702.13946401833675</v>
      </c>
      <c r="R161" s="62">
        <f t="shared" si="109"/>
        <v>995.47279735167012</v>
      </c>
      <c r="S161" s="62">
        <f ca="1">AVERAGE(OFFSET($R$3,0,0,'Données projet'!$E$9+1,1))-AVERAGE(OFFSET($H$3,0,0,'Données projet'!$E$9+1,1))</f>
        <v>308.00850473946429</v>
      </c>
      <c r="T161" s="62">
        <f t="shared" si="142"/>
        <v>70.709140667951715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271.76512254565102</v>
      </c>
      <c r="AO161" s="62">
        <f t="shared" si="144"/>
        <v>99.160986083974535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-7.1054273576010019E-14</v>
      </c>
      <c r="BE161" s="14">
        <f>BD161*VLOOKUP('Données projet'!$B$11,Paramètres!$A$1:$I$89,3,0)*VLOOKUP('Données projet'!$B$11,Paramètres!$A$1:$I$89,5,0)</f>
        <v>-8.1854523159563538E-14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43.16958872930951</v>
      </c>
      <c r="BJ161" s="62">
        <f t="shared" si="146"/>
        <v>69.202870643733547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-3.3253400033572693E-14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49.695493809293282</v>
      </c>
      <c r="CE161" s="62">
        <f t="shared" si="148"/>
        <v>59.252884227831601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70.69140000000003</v>
      </c>
      <c r="D162" s="12">
        <f t="shared" si="140"/>
        <v>19.845058219166322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698.87792309531926</v>
      </c>
      <c r="H162" s="70">
        <f t="shared" si="110"/>
        <v>451.01766473171472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2.8330091918499591</v>
      </c>
      <c r="N162" s="14">
        <f>IF('Données projet'!$A$36&gt;35,N161+M162-V161,IF(A162&lt;'Données projet'!$A$36,$K$205^A162,IF(A162='Données projet'!$A$36,'Données projet'!$B$36,N161+M162-V161)))</f>
        <v>301.77871040757606</v>
      </c>
      <c r="O162" s="14">
        <f>N162*VLOOKUP('Données projet'!$B$9,Paramètres!$A$1:$I$89,3,0)*VLOOKUP('Données projet'!$B$9,Paramètres!$A$1:$I$89,5,0)</f>
        <v>329.54235176507302</v>
      </c>
      <c r="P162" s="14">
        <f t="shared" si="141"/>
        <v>77.335417354434199</v>
      </c>
      <c r="Q162" s="22">
        <f t="shared" si="162"/>
        <v>708.64544788314163</v>
      </c>
      <c r="R162" s="62">
        <f t="shared" si="109"/>
        <v>1001.978781216475</v>
      </c>
      <c r="S162" s="62">
        <f ca="1">AVERAGE(OFFSET($R$3,0,0,'Données projet'!$E$9+1,1))-AVERAGE(OFFSET($H$3,0,0,'Données projet'!$E$9+1,1))</f>
        <v>308.00850473946429</v>
      </c>
      <c r="T162" s="62">
        <f t="shared" si="142"/>
        <v>70.709140667951715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271.76512254565102</v>
      </c>
      <c r="AO162" s="62">
        <f t="shared" si="144"/>
        <v>99.160986083974535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-7.1054273576010019E-14</v>
      </c>
      <c r="BE162" s="14">
        <f>BD162*VLOOKUP('Données projet'!$B$11,Paramètres!$A$1:$I$89,3,0)*VLOOKUP('Données projet'!$B$11,Paramètres!$A$1:$I$89,5,0)</f>
        <v>-8.1854523159563538E-14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43.16958872930951</v>
      </c>
      <c r="BJ162" s="62">
        <f t="shared" si="146"/>
        <v>69.202870643733547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-3.3253400033572693E-14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49.695493809293282</v>
      </c>
      <c r="CE162" s="62">
        <f t="shared" si="148"/>
        <v>59.252884227831601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71.136000000000024</v>
      </c>
      <c r="D163" s="12">
        <f t="shared" si="140"/>
        <v>19.955301551927487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703.16092426049318</v>
      </c>
      <c r="H163" s="70">
        <f t="shared" si="110"/>
        <v>451.9840168696071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2.8330091918499591</v>
      </c>
      <c r="N163" s="14">
        <f>IF('Données projet'!$A$36&gt;35,N162+M163-V162,IF(A163&lt;'Données projet'!$A$36,$K$205^A163,IF(A163='Données projet'!$A$36,'Données projet'!$B$36,N162+M163-V162)))</f>
        <v>304.61171959942601</v>
      </c>
      <c r="O163" s="14">
        <f>N163*VLOOKUP('Données projet'!$B$9,Paramètres!$A$1:$I$89,3,0)*VLOOKUP('Données projet'!$B$9,Paramètres!$A$1:$I$89,5,0)</f>
        <v>332.63599780257317</v>
      </c>
      <c r="P163" s="14">
        <f t="shared" si="141"/>
        <v>77.976563452460582</v>
      </c>
      <c r="Q163" s="22">
        <f t="shared" si="162"/>
        <v>715.15021085251703</v>
      </c>
      <c r="R163" s="62">
        <f t="shared" si="109"/>
        <v>1008.4835441858504</v>
      </c>
      <c r="S163" s="62">
        <f ca="1">AVERAGE(OFFSET($R$3,0,0,'Données projet'!$E$9+1,1))-AVERAGE(OFFSET($H$3,0,0,'Données projet'!$E$9+1,1))</f>
        <v>308.00850473946429</v>
      </c>
      <c r="T163" s="62">
        <f t="shared" si="142"/>
        <v>70.709140667951715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271.76512254565102</v>
      </c>
      <c r="AO163" s="62">
        <f t="shared" si="144"/>
        <v>99.160986083974535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-7.1054273576010019E-14</v>
      </c>
      <c r="BE163" s="14">
        <f>BD163*VLOOKUP('Données projet'!$B$11,Paramètres!$A$1:$I$89,3,0)*VLOOKUP('Données projet'!$B$11,Paramètres!$A$1:$I$89,5,0)</f>
        <v>-8.1854523159563538E-14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43.16958872930951</v>
      </c>
      <c r="BJ163" s="62">
        <f t="shared" si="146"/>
        <v>69.202870643733547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-3.3253400033572693E-14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49.695493809293282</v>
      </c>
      <c r="CE163" s="62">
        <f t="shared" si="148"/>
        <v>59.252884227831601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71.580600000000018</v>
      </c>
      <c r="D164" s="12">
        <f t="shared" si="140"/>
        <v>20.06546471127832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707.44330654320129</v>
      </c>
      <c r="H164" s="70">
        <f t="shared" si="110"/>
        <v>452.9502293721431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2.8330091918499591</v>
      </c>
      <c r="N164" s="14">
        <f>IF('Données projet'!$A$36&gt;35,N163+M164-V163,IF(A164&lt;'Données projet'!$A$36,$K$205^A164,IF(A164='Données projet'!$A$36,'Données projet'!$B$36,N163+M164-V163)))</f>
        <v>307.44472879127596</v>
      </c>
      <c r="O164" s="14">
        <f>N164*VLOOKUP('Données projet'!$B$9,Paramètres!$A$1:$I$89,3,0)*VLOOKUP('Données projet'!$B$9,Paramètres!$A$1:$I$89,5,0)</f>
        <v>335.72964384007332</v>
      </c>
      <c r="P164" s="14">
        <f t="shared" si="141"/>
        <v>78.617015832546628</v>
      </c>
      <c r="Q164" s="22">
        <f t="shared" si="162"/>
        <v>721.65376559647973</v>
      </c>
      <c r="R164" s="62">
        <f t="shared" si="109"/>
        <v>1014.9870989298131</v>
      </c>
      <c r="S164" s="62">
        <f ca="1">AVERAGE(OFFSET($R$3,0,0,'Données projet'!$E$9+1,1))-AVERAGE(OFFSET($H$3,0,0,'Données projet'!$E$9+1,1))</f>
        <v>308.00850473946429</v>
      </c>
      <c r="T164" s="62">
        <f t="shared" si="142"/>
        <v>70.709140667951715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271.76512254565102</v>
      </c>
      <c r="AO164" s="62">
        <f t="shared" si="144"/>
        <v>99.160986083974535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-7.1054273576010019E-14</v>
      </c>
      <c r="BE164" s="14">
        <f>BD164*VLOOKUP('Données projet'!$B$11,Paramètres!$A$1:$I$89,3,0)*VLOOKUP('Données projet'!$B$11,Paramètres!$A$1:$I$89,5,0)</f>
        <v>-8.1854523159563538E-14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43.16958872930951</v>
      </c>
      <c r="BJ164" s="62">
        <f t="shared" si="146"/>
        <v>69.202870643733547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-3.3253400033572693E-14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49.695493809293282</v>
      </c>
      <c r="CE164" s="62">
        <f t="shared" si="148"/>
        <v>59.252884227831601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72.025200000000012</v>
      </c>
      <c r="D165" s="12">
        <f t="shared" si="140"/>
        <v>20.175548252960471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711.72507423337913</v>
      </c>
      <c r="H165" s="70">
        <f t="shared" si="110"/>
        <v>453.91630320723948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2.8330091918499591</v>
      </c>
      <c r="N165" s="14">
        <f>IF('Données projet'!$A$36&gt;35,N164+M165-V164,IF(A165&lt;'Données projet'!$A$36,$K$205^A165,IF(A165='Données projet'!$A$36,'Données projet'!$B$36,N164+M165-V164)))</f>
        <v>310.27773798312592</v>
      </c>
      <c r="O165" s="14">
        <f>N165*VLOOKUP('Données projet'!$B$9,Paramètres!$A$1:$I$89,3,0)*VLOOKUP('Données projet'!$B$9,Paramètres!$A$1:$I$89,5,0)</f>
        <v>338.82328987757347</v>
      </c>
      <c r="P165" s="14">
        <f t="shared" si="141"/>
        <v>79.256781627543134</v>
      </c>
      <c r="Q165" s="22">
        <f t="shared" si="162"/>
        <v>728.15612453807807</v>
      </c>
      <c r="R165" s="62">
        <f t="shared" si="109"/>
        <v>1021.4894578714113</v>
      </c>
      <c r="S165" s="62">
        <f ca="1">AVERAGE(OFFSET($R$3,0,0,'Données projet'!$E$9+1,1))-AVERAGE(OFFSET($H$3,0,0,'Données projet'!$E$9+1,1))</f>
        <v>308.00850473946429</v>
      </c>
      <c r="T165" s="62">
        <f t="shared" si="142"/>
        <v>70.709140667951715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271.76512254565102</v>
      </c>
      <c r="AO165" s="62">
        <f t="shared" si="144"/>
        <v>99.160986083974535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-7.1054273576010019E-14</v>
      </c>
      <c r="BE165" s="14">
        <f>BD165*VLOOKUP('Données projet'!$B$11,Paramètres!$A$1:$I$89,3,0)*VLOOKUP('Données projet'!$B$11,Paramètres!$A$1:$I$89,5,0)</f>
        <v>-8.1854523159563538E-14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43.16958872930951</v>
      </c>
      <c r="BJ165" s="62">
        <f t="shared" si="146"/>
        <v>69.202870643733547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-3.3253400033572693E-14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49.695493809293282</v>
      </c>
      <c r="CE165" s="62">
        <f t="shared" si="148"/>
        <v>59.252884227831601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72.469800000000006</v>
      </c>
      <c r="D166" s="12">
        <f t="shared" si="140"/>
        <v>20.285552725457702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716.00623156493668</v>
      </c>
      <c r="H166" s="70">
        <f t="shared" si="110"/>
        <v>454.88223933017218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2.8330091918499591</v>
      </c>
      <c r="N166" s="14">
        <f>IF('Données projet'!$A$36&gt;35,N165+M166-V165,IF(A166&lt;'Données projet'!$A$36,$K$205^A166,IF(A166='Données projet'!$A$36,'Données projet'!$B$36,N165+M166-V165)))</f>
        <v>313.11074717497587</v>
      </c>
      <c r="O166" s="14">
        <f>N166*VLOOKUP('Données projet'!$B$9,Paramètres!$A$1:$I$89,3,0)*VLOOKUP('Données projet'!$B$9,Paramètres!$A$1:$I$89,5,0)</f>
        <v>341.91693591507362</v>
      </c>
      <c r="P166" s="14">
        <f t="shared" si="141"/>
        <v>79.895867832533796</v>
      </c>
      <c r="Q166" s="22">
        <f t="shared" si="162"/>
        <v>734.65729986041617</v>
      </c>
      <c r="R166" s="62">
        <f t="shared" si="109"/>
        <v>1027.9906331937495</v>
      </c>
      <c r="S166" s="62">
        <f ca="1">AVERAGE(OFFSET($R$3,0,0,'Données projet'!$E$9+1,1))-AVERAGE(OFFSET($H$3,0,0,'Données projet'!$E$9+1,1))</f>
        <v>308.00850473946429</v>
      </c>
      <c r="T166" s="62">
        <f t="shared" si="142"/>
        <v>70.709140667951715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271.76512254565102</v>
      </c>
      <c r="AO166" s="62">
        <f t="shared" si="144"/>
        <v>99.160986083974535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-7.1054273576010019E-14</v>
      </c>
      <c r="BE166" s="14">
        <f>BD166*VLOOKUP('Données projet'!$B$11,Paramètres!$A$1:$I$89,3,0)*VLOOKUP('Données projet'!$B$11,Paramètres!$A$1:$I$89,5,0)</f>
        <v>-8.1854523159563538E-14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43.16958872930951</v>
      </c>
      <c r="BJ166" s="62">
        <f t="shared" si="146"/>
        <v>69.202870643733547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-3.3253400033572693E-14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49.695493809293282</v>
      </c>
      <c r="CE166" s="62">
        <f t="shared" si="148"/>
        <v>59.252884227831601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72.914400000000001</v>
      </c>
      <c r="D167" s="12">
        <f t="shared" si="140"/>
        <v>20.395478670134668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720.28678271682895</v>
      </c>
      <c r="H167" s="70">
        <f t="shared" si="110"/>
        <v>455.84803868381789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2.8330091918499591</v>
      </c>
      <c r="N167" s="14">
        <f>IF('Données projet'!$A$36&gt;35,N166+M167-V166,IF(A167&lt;'Données projet'!$A$36,$K$205^A167,IF(A167='Données projet'!$A$36,'Données projet'!$B$36,N166+M167-V166)))</f>
        <v>315.94375636682582</v>
      </c>
      <c r="O167" s="14">
        <f>N167*VLOOKUP('Données projet'!$B$9,Paramètres!$A$1:$I$89,3,0)*VLOOKUP('Données projet'!$B$9,Paramètres!$A$1:$I$89,5,0)</f>
        <v>345.01058195257377</v>
      </c>
      <c r="P167" s="14">
        <f t="shared" si="141"/>
        <v>80.53428130871805</v>
      </c>
      <c r="Q167" s="22">
        <f t="shared" si="162"/>
        <v>741.15730351341654</v>
      </c>
      <c r="R167" s="62">
        <f t="shared" si="109"/>
        <v>1034.4906368467498</v>
      </c>
      <c r="S167" s="62">
        <f ca="1">AVERAGE(OFFSET($R$3,0,0,'Données projet'!$E$9+1,1))-AVERAGE(OFFSET($H$3,0,0,'Données projet'!$E$9+1,1))</f>
        <v>308.00850473946429</v>
      </c>
      <c r="T167" s="62">
        <f t="shared" si="142"/>
        <v>70.709140667951715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271.76512254565102</v>
      </c>
      <c r="AO167" s="62">
        <f t="shared" si="144"/>
        <v>99.160986083974535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-7.1054273576010019E-14</v>
      </c>
      <c r="BE167" s="14">
        <f>BD167*VLOOKUP('Données projet'!$B$11,Paramètres!$A$1:$I$89,3,0)*VLOOKUP('Données projet'!$B$11,Paramètres!$A$1:$I$89,5,0)</f>
        <v>-8.1854523159563538E-14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43.16958872930951</v>
      </c>
      <c r="BJ167" s="62">
        <f t="shared" si="146"/>
        <v>69.202870643733547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-3.3253400033572693E-14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49.695493809293282</v>
      </c>
      <c r="CE167" s="62">
        <f t="shared" si="148"/>
        <v>59.252884227831601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73.358999999999995</v>
      </c>
      <c r="D168" s="12">
        <f t="shared" si="140"/>
        <v>20.505326621372113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724.56673181410042</v>
      </c>
      <c r="H168" s="70">
        <f t="shared" si="110"/>
        <v>456.8137021988897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2.8330091918499591</v>
      </c>
      <c r="N168" s="14">
        <f>IF('Données projet'!$A$36&gt;35,N167+M168-V167,IF(A168&lt;'Données projet'!$A$36,$K$205^A168,IF(A168='Données projet'!$A$36,'Données projet'!$B$36,N167+M168-V167)))</f>
        <v>318.77676555867578</v>
      </c>
      <c r="O168" s="14">
        <f>N168*VLOOKUP('Données projet'!$B$9,Paramètres!$A$1:$I$89,3,0)*VLOOKUP('Données projet'!$B$9,Paramètres!$A$1:$I$89,5,0)</f>
        <v>348.10422799007392</v>
      </c>
      <c r="P168" s="14">
        <f t="shared" si="141"/>
        <v>81.172028787150694</v>
      </c>
      <c r="Q168" s="22">
        <f t="shared" si="162"/>
        <v>747.65614722033285</v>
      </c>
      <c r="R168" s="62">
        <f t="shared" si="109"/>
        <v>1040.9894805536662</v>
      </c>
      <c r="S168" s="62">
        <f ca="1">AVERAGE(OFFSET($R$3,0,0,'Données projet'!$E$9+1,1))-AVERAGE(OFFSET($H$3,0,0,'Données projet'!$E$9+1,1))</f>
        <v>308.00850473946429</v>
      </c>
      <c r="T168" s="62">
        <f t="shared" si="142"/>
        <v>70.709140667951715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271.76512254565102</v>
      </c>
      <c r="AO168" s="62">
        <f t="shared" si="144"/>
        <v>99.160986083974535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-7.1054273576010019E-14</v>
      </c>
      <c r="BE168" s="14">
        <f>BD168*VLOOKUP('Données projet'!$B$11,Paramètres!$A$1:$I$89,3,0)*VLOOKUP('Données projet'!$B$11,Paramètres!$A$1:$I$89,5,0)</f>
        <v>-8.1854523159563538E-14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43.16958872930951</v>
      </c>
      <c r="BJ168" s="62">
        <f t="shared" si="146"/>
        <v>69.202870643733547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-3.3253400033572693E-14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49.695493809293282</v>
      </c>
      <c r="CE168" s="62">
        <f t="shared" si="148"/>
        <v>59.252884227831601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73.803599999999989</v>
      </c>
      <c r="D169" s="12">
        <f t="shared" si="140"/>
        <v>20.615097106698759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728.84608292890255</v>
      </c>
      <c r="H169" s="70">
        <f t="shared" si="110"/>
        <v>457.77923079416695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2.8330091918499591</v>
      </c>
      <c r="N169" s="14">
        <f>IF('Données projet'!$A$36&gt;35,N168+M169-V168,IF(A169&lt;'Données projet'!$A$36,$K$205^A169,IF(A169='Données projet'!$A$36,'Données projet'!$B$36,N168+M169-V168)))</f>
        <v>321.60977475052573</v>
      </c>
      <c r="O169" s="14">
        <f>N169*VLOOKUP('Données projet'!$B$9,Paramètres!$A$1:$I$89,3,0)*VLOOKUP('Données projet'!$B$9,Paramètres!$A$1:$I$89,5,0)</f>
        <v>351.19787402757407</v>
      </c>
      <c r="P169" s="14">
        <f t="shared" si="141"/>
        <v>81.809116872344418</v>
      </c>
      <c r="Q169" s="22">
        <f t="shared" si="162"/>
        <v>754.15384248402461</v>
      </c>
      <c r="R169" s="62">
        <f t="shared" si="109"/>
        <v>1047.4871758173579</v>
      </c>
      <c r="S169" s="62">
        <f ca="1">AVERAGE(OFFSET($R$3,0,0,'Données projet'!$E$9+1,1))-AVERAGE(OFFSET($H$3,0,0,'Données projet'!$E$9+1,1))</f>
        <v>308.00850473946429</v>
      </c>
      <c r="T169" s="62">
        <f t="shared" si="142"/>
        <v>70.709140667951715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271.76512254565102</v>
      </c>
      <c r="AO169" s="62">
        <f t="shared" si="144"/>
        <v>99.160986083974535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-7.1054273576010019E-14</v>
      </c>
      <c r="BE169" s="14">
        <f>BD169*VLOOKUP('Données projet'!$B$11,Paramètres!$A$1:$I$89,3,0)*VLOOKUP('Données projet'!$B$11,Paramètres!$A$1:$I$89,5,0)</f>
        <v>-8.1854523159563538E-14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43.16958872930951</v>
      </c>
      <c r="BJ169" s="62">
        <f t="shared" si="146"/>
        <v>69.202870643733547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-3.3253400033572693E-14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49.695493809293282</v>
      </c>
      <c r="CE169" s="62">
        <f t="shared" si="148"/>
        <v>59.252884227831601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74.248199999999983</v>
      </c>
      <c r="D170" s="12">
        <f t="shared" si="140"/>
        <v>20.724790646919899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733.12484008148692</v>
      </c>
      <c r="H170" s="70">
        <f t="shared" si="110"/>
        <v>458.74462537671877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2.8330091918499591</v>
      </c>
      <c r="N170" s="14">
        <f>IF('Données projet'!$A$36&gt;35,N169+M170-V169,IF(A170&lt;'Données projet'!$A$36,$K$205^A170,IF(A170='Données projet'!$A$36,'Données projet'!$B$36,N169+M170-V169)))</f>
        <v>324.44278394237568</v>
      </c>
      <c r="O170" s="14">
        <f>N170*VLOOKUP('Données projet'!$B$9,Paramètres!$A$1:$I$89,3,0)*VLOOKUP('Données projet'!$B$9,Paramètres!$A$1:$I$89,5,0)</f>
        <v>354.29152006507422</v>
      </c>
      <c r="P170" s="14">
        <f t="shared" si="141"/>
        <v>82.445552045742303</v>
      </c>
      <c r="Q170" s="22">
        <f t="shared" si="162"/>
        <v>760.65040059300543</v>
      </c>
      <c r="R170" s="62">
        <f t="shared" si="109"/>
        <v>1053.9837339263388</v>
      </c>
      <c r="S170" s="62">
        <f ca="1">AVERAGE(OFFSET($R$3,0,0,'Données projet'!$E$9+1,1))-AVERAGE(OFFSET($H$3,0,0,'Données projet'!$E$9+1,1))</f>
        <v>308.00850473946429</v>
      </c>
      <c r="T170" s="62">
        <f t="shared" si="142"/>
        <v>70.709140667951715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271.76512254565102</v>
      </c>
      <c r="AO170" s="62">
        <f t="shared" si="144"/>
        <v>99.160986083974535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-7.1054273576010019E-14</v>
      </c>
      <c r="BE170" s="14">
        <f>BD170*VLOOKUP('Données projet'!$B$11,Paramètres!$A$1:$I$89,3,0)*VLOOKUP('Données projet'!$B$11,Paramètres!$A$1:$I$89,5,0)</f>
        <v>-8.1854523159563538E-14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43.16958872930951</v>
      </c>
      <c r="BJ170" s="62">
        <f t="shared" si="146"/>
        <v>69.202870643733547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-3.3253400033572693E-14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49.695493809293282</v>
      </c>
      <c r="CE170" s="62">
        <f t="shared" si="148"/>
        <v>59.252884227831601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74.692799999999977</v>
      </c>
      <c r="D171" s="12">
        <f t="shared" si="140"/>
        <v>20.834407756242822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737.40300724117253</v>
      </c>
      <c r="H171" s="70">
        <f t="shared" si="110"/>
        <v>459.70988684212284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>
        <f>VLOOKUP(A171,'Données projet'!$A$35:$I$55,2,0)</f>
        <v>327.27579313422586</v>
      </c>
      <c r="L171" s="13">
        <f>VLOOKUP(A171,'Données projet'!$A$35:$I$55,9,0)</f>
        <v>2.8330091918499591</v>
      </c>
      <c r="M171" s="13">
        <f t="array" ref="M171">INDEX(L:L,MIN(IF(ISNUMBER(L171:L367),ROW(L171:L367),"")))</f>
        <v>2.8330091918499591</v>
      </c>
      <c r="N171" s="14">
        <f>IF('Données projet'!$A$36&gt;35,N170+M171-V170,IF(A171&lt;'Données projet'!$A$36,$K$205^A171,IF(A171='Données projet'!$A$36,'Données projet'!$B$36,N170+M171-V170)))</f>
        <v>327.27579313422564</v>
      </c>
      <c r="O171" s="14">
        <f>N171*VLOOKUP('Données projet'!$B$9,Paramètres!$A$1:$I$89,3,0)*VLOOKUP('Données projet'!$B$9,Paramètres!$A$1:$I$89,5,0)</f>
        <v>357.38516610257437</v>
      </c>
      <c r="P171" s="14">
        <f t="shared" si="141"/>
        <v>83.081340669064886</v>
      </c>
      <c r="Q171" s="22">
        <f t="shared" si="162"/>
        <v>767.14583262727172</v>
      </c>
      <c r="R171" s="62">
        <f t="shared" si="109"/>
        <v>1060.4791659606051</v>
      </c>
      <c r="S171" s="62">
        <f ca="1">AVERAGE(OFFSET($R$3,0,0,'Données projet'!$E$9+1,1))-AVERAGE(OFFSET($H$3,0,0,'Données projet'!$E$9+1,1))</f>
        <v>308.00850473946429</v>
      </c>
      <c r="T171" s="62">
        <f t="shared" si="142"/>
        <v>70.709140667951715</v>
      </c>
      <c r="U171" s="16">
        <f>IF(ISNA(VLOOKUP(A171,'Données projet'!$A$35:$I$55,3,0)),0,VLOOKUP(A171,'Données projet'!$A$35:$I$55,3,0))</f>
        <v>7</v>
      </c>
      <c r="V171" s="16">
        <f>IF(ISNA(VLOOKUP(A171,'Données projet'!$A$35:$I$55,4,0)),0,VLOOKUP(A171,'Données projet'!$A$35:$I$55,4,0))</f>
        <v>36.363977014913992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271.76512254565102</v>
      </c>
      <c r="AO171" s="62">
        <f t="shared" si="144"/>
        <v>99.160986083974535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-7.1054273576010019E-14</v>
      </c>
      <c r="BE171" s="14">
        <f>BD171*VLOOKUP('Données projet'!$B$11,Paramètres!$A$1:$I$89,3,0)*VLOOKUP('Données projet'!$B$11,Paramètres!$A$1:$I$89,5,0)</f>
        <v>-8.1854523159563538E-14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43.16958872930951</v>
      </c>
      <c r="BJ171" s="62">
        <f t="shared" si="146"/>
        <v>69.202870643733547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-3.3253400033572693E-14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49.695493809293282</v>
      </c>
      <c r="CE171" s="62">
        <f t="shared" si="148"/>
        <v>59.252884227831601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75.137399999999971</v>
      </c>
      <c r="D172" s="12">
        <f t="shared" si="140"/>
        <v>20.943948942399107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741.68058832729105</v>
      </c>
      <c r="H172" s="70">
        <f t="shared" si="110"/>
        <v>460.67501607467835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2.4127212380638152</v>
      </c>
      <c r="N172" s="14">
        <f>IF('Données projet'!$A$36&gt;35,N171+M172-V171,IF(A172&lt;'Données projet'!$A$36,$K$205^A172,IF(A172='Données projet'!$A$36,'Données projet'!$B$36,N171+M172-V171)))</f>
        <v>293.32453735737545</v>
      </c>
      <c r="O172" s="14">
        <f>N172*VLOOKUP('Données projet'!$B$9,Paramètres!$A$1:$I$89,3,0)*VLOOKUP('Données projet'!$B$9,Paramètres!$A$1:$I$89,5,0)</f>
        <v>320.31039479425402</v>
      </c>
      <c r="P172" s="14">
        <f t="shared" si="141"/>
        <v>75.417933691639803</v>
      </c>
      <c r="Q172" s="22">
        <f t="shared" si="162"/>
        <v>689.22683877959844</v>
      </c>
      <c r="R172" s="62">
        <f t="shared" si="109"/>
        <v>982.5601721129317</v>
      </c>
      <c r="S172" s="62">
        <f ca="1">AVERAGE(OFFSET($R$3,0,0,'Données projet'!$E$9+1,1))-AVERAGE(OFFSET($H$3,0,0,'Données projet'!$E$9+1,1))</f>
        <v>308.00850473946429</v>
      </c>
      <c r="T172" s="62">
        <f t="shared" si="142"/>
        <v>70.709140667951715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271.76512254565102</v>
      </c>
      <c r="AO172" s="62">
        <f t="shared" si="144"/>
        <v>99.160986083974535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-7.1054273576010019E-14</v>
      </c>
      <c r="BE172" s="14">
        <f>BD172*VLOOKUP('Données projet'!$B$11,Paramètres!$A$1:$I$89,3,0)*VLOOKUP('Données projet'!$B$11,Paramètres!$A$1:$I$89,5,0)</f>
        <v>-8.1854523159563538E-14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43.16958872930951</v>
      </c>
      <c r="BJ172" s="62">
        <f t="shared" si="146"/>
        <v>69.202870643733547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-3.3253400033572693E-14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49.695493809293282</v>
      </c>
      <c r="CE172" s="62">
        <f t="shared" si="148"/>
        <v>59.252884227831601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75.581999999999965</v>
      </c>
      <c r="D173" s="12">
        <f t="shared" si="140"/>
        <v>21.053414706764119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745.95758721010873</v>
      </c>
      <c r="H173" s="70">
        <f t="shared" si="110"/>
        <v>461.64001394761408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2.4127212380638152</v>
      </c>
      <c r="N173" s="14">
        <f>IF('Données projet'!$A$36&gt;35,N172+M173-V172,IF(A173&lt;'Données projet'!$A$36,$K$205^A173,IF(A173='Données projet'!$A$36,'Données projet'!$B$36,N172+M173-V172)))</f>
        <v>295.73725859543924</v>
      </c>
      <c r="O173" s="14">
        <f>N173*VLOOKUP('Données projet'!$B$9,Paramètres!$A$1:$I$89,3,0)*VLOOKUP('Données projet'!$B$9,Paramètres!$A$1:$I$89,5,0)</f>
        <v>322.94508638621966</v>
      </c>
      <c r="P173" s="14">
        <f t="shared" si="141"/>
        <v>75.965809050305751</v>
      </c>
      <c r="Q173" s="22">
        <f t="shared" si="162"/>
        <v>694.76980955194824</v>
      </c>
      <c r="R173" s="62">
        <f t="shared" si="109"/>
        <v>988.10314288528161</v>
      </c>
      <c r="S173" s="62">
        <f ca="1">AVERAGE(OFFSET($R$3,0,0,'Données projet'!$E$9+1,1))-AVERAGE(OFFSET($H$3,0,0,'Données projet'!$E$9+1,1))</f>
        <v>308.00850473946429</v>
      </c>
      <c r="T173" s="62">
        <f t="shared" si="142"/>
        <v>70.709140667951715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271.76512254565102</v>
      </c>
      <c r="AO173" s="62">
        <f t="shared" si="144"/>
        <v>99.160986083974535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-7.1054273576010019E-14</v>
      </c>
      <c r="BE173" s="14">
        <f>BD173*VLOOKUP('Données projet'!$B$11,Paramètres!$A$1:$I$89,3,0)*VLOOKUP('Données projet'!$B$11,Paramètres!$A$1:$I$89,5,0)</f>
        <v>-8.1854523159563538E-14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43.16958872930951</v>
      </c>
      <c r="BJ173" s="62">
        <f t="shared" si="146"/>
        <v>69.202870643733547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-3.3253400033572693E-14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49.695493809293282</v>
      </c>
      <c r="CE173" s="62">
        <f t="shared" si="148"/>
        <v>59.252884227831601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76.026599999999959</v>
      </c>
      <c r="D174" s="12">
        <f t="shared" si="140"/>
        <v>21.162805544473397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750.23400771172419</v>
      </c>
      <c r="H174" s="70">
        <f t="shared" si="110"/>
        <v>462.60488132329107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2.4127212380638152</v>
      </c>
      <c r="N174" s="14">
        <f>IF('Données projet'!$A$36&gt;35,N173+M174-V173,IF(A174&lt;'Données projet'!$A$36,$K$205^A174,IF(A174='Données projet'!$A$36,'Données projet'!$B$36,N173+M174-V173)))</f>
        <v>298.14997983350304</v>
      </c>
      <c r="O174" s="14">
        <f>N174*VLOOKUP('Données projet'!$B$9,Paramètres!$A$1:$I$89,3,0)*VLOOKUP('Données projet'!$B$9,Paramètres!$A$1:$I$89,5,0)</f>
        <v>325.57977797818529</v>
      </c>
      <c r="P174" s="14">
        <f t="shared" si="141"/>
        <v>76.513164371359693</v>
      </c>
      <c r="Q174" s="22">
        <f t="shared" si="162"/>
        <v>700.31187459212413</v>
      </c>
      <c r="R174" s="62">
        <f t="shared" si="109"/>
        <v>993.6452079254575</v>
      </c>
      <c r="S174" s="62">
        <f ca="1">AVERAGE(OFFSET($R$3,0,0,'Données projet'!$E$9+1,1))-AVERAGE(OFFSET($H$3,0,0,'Données projet'!$E$9+1,1))</f>
        <v>308.00850473946429</v>
      </c>
      <c r="T174" s="62">
        <f t="shared" si="142"/>
        <v>70.709140667951715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271.76512254565102</v>
      </c>
      <c r="AO174" s="62">
        <f t="shared" si="144"/>
        <v>99.160986083974535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-7.1054273576010019E-14</v>
      </c>
      <c r="BE174" s="14">
        <f>BD174*VLOOKUP('Données projet'!$B$11,Paramètres!$A$1:$I$89,3,0)*VLOOKUP('Données projet'!$B$11,Paramètres!$A$1:$I$89,5,0)</f>
        <v>-8.1854523159563538E-14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43.16958872930951</v>
      </c>
      <c r="BJ174" s="62">
        <f t="shared" si="146"/>
        <v>69.202870643733547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-3.3253400033572693E-14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49.695493809293282</v>
      </c>
      <c r="CE174" s="62">
        <f t="shared" si="148"/>
        <v>59.252884227831601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76.471199999999953</v>
      </c>
      <c r="D175" s="12">
        <f t="shared" si="140"/>
        <v>21.272121944536345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754.50985360694688</v>
      </c>
      <c r="H175" s="70">
        <f t="shared" si="110"/>
        <v>463.56961905340063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2.4127212380638152</v>
      </c>
      <c r="N175" s="14">
        <f>IF('Données projet'!$A$36&gt;35,N174+M175-V174,IF(A175&lt;'Données projet'!$A$36,$K$205^A175,IF(A175='Données projet'!$A$36,'Données projet'!$B$36,N174+M175-V174)))</f>
        <v>300.56270107156683</v>
      </c>
      <c r="O175" s="14">
        <f>N175*VLOOKUP('Données projet'!$B$9,Paramètres!$A$1:$I$89,3,0)*VLOOKUP('Données projet'!$B$9,Paramètres!$A$1:$I$89,5,0)</f>
        <v>328.21446957015098</v>
      </c>
      <c r="P175" s="14">
        <f t="shared" si="141"/>
        <v>77.060004350843244</v>
      </c>
      <c r="Q175" s="22">
        <f t="shared" si="162"/>
        <v>705.85304207906495</v>
      </c>
      <c r="R175" s="62">
        <f t="shared" si="109"/>
        <v>999.18637541239832</v>
      </c>
      <c r="S175" s="62">
        <f ca="1">AVERAGE(OFFSET($R$3,0,0,'Données projet'!$E$9+1,1))-AVERAGE(OFFSET($H$3,0,0,'Données projet'!$E$9+1,1))</f>
        <v>308.00850473946429</v>
      </c>
      <c r="T175" s="62">
        <f t="shared" si="142"/>
        <v>70.709140667951715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271.76512254565102</v>
      </c>
      <c r="AO175" s="62">
        <f t="shared" si="144"/>
        <v>99.160986083974535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-7.1054273576010019E-14</v>
      </c>
      <c r="BE175" s="14">
        <f>BD175*VLOOKUP('Données projet'!$B$11,Paramètres!$A$1:$I$89,3,0)*VLOOKUP('Données projet'!$B$11,Paramètres!$A$1:$I$89,5,0)</f>
        <v>-8.1854523159563538E-14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43.16958872930951</v>
      </c>
      <c r="BJ175" s="62">
        <f t="shared" si="146"/>
        <v>69.202870643733547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-3.3253400033572693E-14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49.695493809293282</v>
      </c>
      <c r="CE175" s="62">
        <f t="shared" si="148"/>
        <v>59.252884227831601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76.915799999999948</v>
      </c>
      <c r="D176" s="12">
        <f t="shared" si="140"/>
        <v>21.381364389947226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758.78512862415357</v>
      </c>
      <c r="H176" s="70">
        <f t="shared" si="110"/>
        <v>464.53422797915795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2.4127212380638152</v>
      </c>
      <c r="N176" s="14">
        <f>IF('Données projet'!$A$36&gt;35,N175+M176-V175,IF(A176&lt;'Données projet'!$A$36,$K$205^A176,IF(A176='Données projet'!$A$36,'Données projet'!$B$36,N175+M176-V175)))</f>
        <v>302.97542230963063</v>
      </c>
      <c r="O176" s="14">
        <f>N176*VLOOKUP('Données projet'!$B$9,Paramètres!$A$1:$I$89,3,0)*VLOOKUP('Données projet'!$B$9,Paramètres!$A$1:$I$89,5,0)</f>
        <v>330.84916116211667</v>
      </c>
      <c r="P176" s="14">
        <f t="shared" si="141"/>
        <v>77.60633360505139</v>
      </c>
      <c r="Q176" s="22">
        <f t="shared" si="162"/>
        <v>711.39332005281756</v>
      </c>
      <c r="R176" s="62">
        <f t="shared" si="109"/>
        <v>1004.7266533861509</v>
      </c>
      <c r="S176" s="62">
        <f ca="1">AVERAGE(OFFSET($R$3,0,0,'Données projet'!$E$9+1,1))-AVERAGE(OFFSET($H$3,0,0,'Données projet'!$E$9+1,1))</f>
        <v>308.00850473946429</v>
      </c>
      <c r="T176" s="62">
        <f t="shared" si="142"/>
        <v>70.709140667951715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271.76512254565102</v>
      </c>
      <c r="AO176" s="62">
        <f t="shared" si="144"/>
        <v>99.160986083974535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-7.1054273576010019E-14</v>
      </c>
      <c r="BE176" s="14">
        <f>BD176*VLOOKUP('Données projet'!$B$11,Paramètres!$A$1:$I$89,3,0)*VLOOKUP('Données projet'!$B$11,Paramètres!$A$1:$I$89,5,0)</f>
        <v>-8.1854523159563538E-14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43.16958872930951</v>
      </c>
      <c r="BJ176" s="62">
        <f t="shared" si="146"/>
        <v>69.202870643733547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-3.3253400033572693E-14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49.695493809293282</v>
      </c>
      <c r="CE176" s="62">
        <f t="shared" si="148"/>
        <v>59.252884227831601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77.360399999999942</v>
      </c>
      <c r="D177" s="12">
        <f t="shared" si="140"/>
        <v>21.490533357793488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763.05983644612468</v>
      </c>
      <c r="H177" s="70">
        <f t="shared" si="110"/>
        <v>465.49870893149023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2.4127212380638152</v>
      </c>
      <c r="N177" s="14">
        <f>IF('Données projet'!$A$36&gt;35,N176+M177-V176,IF(A177&lt;'Données projet'!$A$36,$K$205^A177,IF(A177='Données projet'!$A$36,'Données projet'!$B$36,N176+M177-V176)))</f>
        <v>305.38814354769443</v>
      </c>
      <c r="O177" s="14">
        <f>N177*VLOOKUP('Données projet'!$B$9,Paramètres!$A$1:$I$89,3,0)*VLOOKUP('Données projet'!$B$9,Paramètres!$A$1:$I$89,5,0)</f>
        <v>333.48385275408231</v>
      </c>
      <c r="P177" s="14">
        <f t="shared" si="141"/>
        <v>78.152156672510529</v>
      </c>
      <c r="Q177" s="22">
        <f t="shared" si="162"/>
        <v>716.93271641798253</v>
      </c>
      <c r="R177" s="62">
        <f t="shared" si="109"/>
        <v>1010.2660497513159</v>
      </c>
      <c r="S177" s="62">
        <f ca="1">AVERAGE(OFFSET($R$3,0,0,'Données projet'!$E$9+1,1))-AVERAGE(OFFSET($H$3,0,0,'Données projet'!$E$9+1,1))</f>
        <v>308.00850473946429</v>
      </c>
      <c r="T177" s="62">
        <f t="shared" si="142"/>
        <v>70.709140667951715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271.76512254565102</v>
      </c>
      <c r="AO177" s="62">
        <f t="shared" si="144"/>
        <v>99.160986083974535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-7.1054273576010019E-14</v>
      </c>
      <c r="BE177" s="14">
        <f>BD177*VLOOKUP('Données projet'!$B$11,Paramètres!$A$1:$I$89,3,0)*VLOOKUP('Données projet'!$B$11,Paramètres!$A$1:$I$89,5,0)</f>
        <v>-8.1854523159563538E-14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43.16958872930951</v>
      </c>
      <c r="BJ177" s="62">
        <f t="shared" si="146"/>
        <v>69.202870643733547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-3.3253400033572693E-14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49.695493809293282</v>
      </c>
      <c r="CE177" s="62">
        <f t="shared" si="148"/>
        <v>59.252884227831601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77.804999999999936</v>
      </c>
      <c r="D178" s="12">
        <f t="shared" si="140"/>
        <v>21.59962931936149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767.33398071086015</v>
      </c>
      <c r="H178" s="70">
        <f t="shared" si="110"/>
        <v>466.46306273122116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2.4127212380638152</v>
      </c>
      <c r="N178" s="14">
        <f>IF('Données projet'!$A$36&gt;35,N177+M178-V177,IF(A178&lt;'Données projet'!$A$36,$K$205^A178,IF(A178='Données projet'!$A$36,'Données projet'!$B$36,N177+M178-V177)))</f>
        <v>307.80086478575822</v>
      </c>
      <c r="O178" s="14">
        <f>N178*VLOOKUP('Données projet'!$B$9,Paramètres!$A$1:$I$89,3,0)*VLOOKUP('Données projet'!$B$9,Paramètres!$A$1:$I$89,5,0)</f>
        <v>336.11854434604794</v>
      </c>
      <c r="P178" s="14">
        <f t="shared" si="141"/>
        <v>78.697478015892642</v>
      </c>
      <c r="Q178" s="22">
        <f t="shared" si="162"/>
        <v>722.47123894704646</v>
      </c>
      <c r="R178" s="62">
        <f t="shared" si="109"/>
        <v>1015.8045722803797</v>
      </c>
      <c r="S178" s="62">
        <f ca="1">AVERAGE(OFFSET($R$3,0,0,'Données projet'!$E$9+1,1))-AVERAGE(OFFSET($H$3,0,0,'Données projet'!$E$9+1,1))</f>
        <v>308.00850473946429</v>
      </c>
      <c r="T178" s="62">
        <f t="shared" si="142"/>
        <v>70.709140667951715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271.76512254565102</v>
      </c>
      <c r="AO178" s="62">
        <f t="shared" si="144"/>
        <v>99.160986083974535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-7.1054273576010019E-14</v>
      </c>
      <c r="BE178" s="14">
        <f>BD178*VLOOKUP('Données projet'!$B$11,Paramètres!$A$1:$I$89,3,0)*VLOOKUP('Données projet'!$B$11,Paramètres!$A$1:$I$89,5,0)</f>
        <v>-8.1854523159563538E-14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43.16958872930951</v>
      </c>
      <c r="BJ178" s="62">
        <f t="shared" si="146"/>
        <v>69.202870643733547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-3.3253400033572693E-14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49.695493809293282</v>
      </c>
      <c r="CE178" s="62">
        <f t="shared" si="148"/>
        <v>59.252884227831601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78.24959999999993</v>
      </c>
      <c r="D179" s="12">
        <f t="shared" si="140"/>
        <v>21.708652740239774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771.60756501237665</v>
      </c>
      <c r="H179" s="70">
        <f t="shared" si="110"/>
        <v>467.42729018925081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2.4127212380638152</v>
      </c>
      <c r="N179" s="14">
        <f>IF('Données projet'!$A$36&gt;35,N178+M179-V178,IF(A179&lt;'Données projet'!$A$36,$K$205^A179,IF(A179='Données projet'!$A$36,'Données projet'!$B$36,N178+M179-V178)))</f>
        <v>310.21358602382202</v>
      </c>
      <c r="O179" s="14">
        <f>N179*VLOOKUP('Données projet'!$B$9,Paramètres!$A$1:$I$89,3,0)*VLOOKUP('Données projet'!$B$9,Paramètres!$A$1:$I$89,5,0)</f>
        <v>338.75323593801363</v>
      </c>
      <c r="P179" s="14">
        <f t="shared" si="141"/>
        <v>79.242302023867495</v>
      </c>
      <c r="Q179" s="22">
        <f t="shared" si="162"/>
        <v>728.0088952836096</v>
      </c>
      <c r="R179" s="62">
        <f t="shared" si="109"/>
        <v>1021.342228616943</v>
      </c>
      <c r="S179" s="62">
        <f ca="1">AVERAGE(OFFSET($R$3,0,0,'Données projet'!$E$9+1,1))-AVERAGE(OFFSET($H$3,0,0,'Données projet'!$E$9+1,1))</f>
        <v>308.00850473946429</v>
      </c>
      <c r="T179" s="62">
        <f t="shared" si="142"/>
        <v>70.709140667951715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271.76512254565102</v>
      </c>
      <c r="AO179" s="62">
        <f t="shared" si="144"/>
        <v>99.160986083974535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-7.1054273576010019E-14</v>
      </c>
      <c r="BE179" s="14">
        <f>BD179*VLOOKUP('Données projet'!$B$11,Paramètres!$A$1:$I$89,3,0)*VLOOKUP('Données projet'!$B$11,Paramètres!$A$1:$I$89,5,0)</f>
        <v>-8.1854523159563538E-14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43.16958872930951</v>
      </c>
      <c r="BJ179" s="62">
        <f t="shared" si="146"/>
        <v>69.202870643733547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-3.3253400033572693E-14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49.695493809293282</v>
      </c>
      <c r="CE179" s="62">
        <f t="shared" si="148"/>
        <v>59.252884227831601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78.694199999999924</v>
      </c>
      <c r="D180" s="12">
        <f t="shared" si="140"/>
        <v>21.817604080419979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775.88059290148703</v>
      </c>
      <c r="H180" s="70">
        <f t="shared" si="110"/>
        <v>468.3913921067313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2.4127212380638152</v>
      </c>
      <c r="N180" s="14">
        <f>IF('Données projet'!$A$36&gt;35,N179+M180-V179,IF(A180&lt;'Données projet'!$A$36,$K$205^A180,IF(A180='Données projet'!$A$36,'Données projet'!$B$36,N179+M180-V179)))</f>
        <v>312.62630726188581</v>
      </c>
      <c r="O180" s="14">
        <f>N180*VLOOKUP('Données projet'!$B$9,Paramètres!$A$1:$I$89,3,0)*VLOOKUP('Données projet'!$B$9,Paramètres!$A$1:$I$89,5,0)</f>
        <v>341.38792752997932</v>
      </c>
      <c r="P180" s="14">
        <f t="shared" si="141"/>
        <v>79.786633012895365</v>
      </c>
      <c r="Q180" s="22">
        <f t="shared" si="162"/>
        <v>733.54569294550674</v>
      </c>
      <c r="R180" s="62">
        <f t="shared" si="109"/>
        <v>1026.87902627884</v>
      </c>
      <c r="S180" s="62">
        <f ca="1">AVERAGE(OFFSET($R$3,0,0,'Données projet'!$E$9+1,1))-AVERAGE(OFFSET($H$3,0,0,'Données projet'!$E$9+1,1))</f>
        <v>308.00850473946429</v>
      </c>
      <c r="T180" s="62">
        <f t="shared" si="142"/>
        <v>70.709140667951715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271.76512254565102</v>
      </c>
      <c r="AO180" s="62">
        <f t="shared" si="144"/>
        <v>99.160986083974535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-7.1054273576010019E-14</v>
      </c>
      <c r="BE180" s="14">
        <f>BD180*VLOOKUP('Données projet'!$B$11,Paramètres!$A$1:$I$89,3,0)*VLOOKUP('Données projet'!$B$11,Paramètres!$A$1:$I$89,5,0)</f>
        <v>-8.1854523159563538E-14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43.16958872930951</v>
      </c>
      <c r="BJ180" s="62">
        <f t="shared" si="146"/>
        <v>69.202870643733547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-3.3253400033572693E-14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49.695493809293282</v>
      </c>
      <c r="CE180" s="62">
        <f t="shared" si="148"/>
        <v>59.252884227831601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79.138799999999918</v>
      </c>
      <c r="D181" s="12">
        <f t="shared" si="140"/>
        <v>21.926483794395306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780.15306788655971</v>
      </c>
      <c r="H181" s="70">
        <f t="shared" si="110"/>
        <v>469.35536927523833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2.4127212380638152</v>
      </c>
      <c r="N181" s="14">
        <f>IF('Données projet'!$A$36&gt;35,N180+M181-V180,IF(A181&lt;'Données projet'!$A$36,$K$205^A181,IF(A181='Données projet'!$A$36,'Données projet'!$B$36,N180+M181-V180)))</f>
        <v>315.03902849994961</v>
      </c>
      <c r="O181" s="14">
        <f>N181*VLOOKUP('Données projet'!$B$9,Paramètres!$A$1:$I$89,3,0)*VLOOKUP('Données projet'!$B$9,Paramètres!$A$1:$I$89,5,0)</f>
        <v>344.02261912194496</v>
      </c>
      <c r="P181" s="14">
        <f t="shared" si="141"/>
        <v>80.330475228963252</v>
      </c>
      <c r="Q181" s="22">
        <f t="shared" si="162"/>
        <v>739.08163932783179</v>
      </c>
      <c r="R181" s="62">
        <f t="shared" si="109"/>
        <v>1032.4149726611652</v>
      </c>
      <c r="S181" s="62">
        <f ca="1">AVERAGE(OFFSET($R$3,0,0,'Données projet'!$E$9+1,1))-AVERAGE(OFFSET($H$3,0,0,'Données projet'!$E$9+1,1))</f>
        <v>308.00850473946429</v>
      </c>
      <c r="T181" s="62">
        <f t="shared" si="142"/>
        <v>70.709140667951715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271.76512254565102</v>
      </c>
      <c r="AO181" s="62">
        <f t="shared" si="144"/>
        <v>99.160986083974535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-7.1054273576010019E-14</v>
      </c>
      <c r="BE181" s="14">
        <f>BD181*VLOOKUP('Données projet'!$B$11,Paramètres!$A$1:$I$89,3,0)*VLOOKUP('Données projet'!$B$11,Paramètres!$A$1:$I$89,5,0)</f>
        <v>-8.1854523159563538E-14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43.16958872930951</v>
      </c>
      <c r="BJ181" s="62">
        <f t="shared" si="146"/>
        <v>69.202870643733547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-3.3253400033572693E-14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49.695493809293282</v>
      </c>
      <c r="CE181" s="62">
        <f t="shared" si="148"/>
        <v>59.252884227831601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79.583399999999912</v>
      </c>
      <c r="D182" s="12">
        <f t="shared" si="140"/>
        <v>22.035292331256752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784.42499343426209</v>
      </c>
      <c r="H182" s="70">
        <f t="shared" si="110"/>
        <v>470.31922247693865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2.4127212380638152</v>
      </c>
      <c r="N182" s="14">
        <f>IF('Données projet'!$A$36&gt;35,N181+M182-V181,IF(A182&lt;'Données projet'!$A$36,$K$205^A182,IF(A182='Données projet'!$A$36,'Données projet'!$B$36,N181+M182-V181)))</f>
        <v>317.4517497380134</v>
      </c>
      <c r="O182" s="14">
        <f>N182*VLOOKUP('Données projet'!$B$9,Paramètres!$A$1:$I$89,3,0)*VLOOKUP('Données projet'!$B$9,Paramètres!$A$1:$I$89,5,0)</f>
        <v>346.65731071391065</v>
      </c>
      <c r="P182" s="14">
        <f t="shared" si="141"/>
        <v>80.873832849266222</v>
      </c>
      <c r="Q182" s="22">
        <f t="shared" si="162"/>
        <v>744.61674170586639</v>
      </c>
      <c r="R182" s="62">
        <f t="shared" si="109"/>
        <v>1037.9500750391996</v>
      </c>
      <c r="S182" s="62">
        <f ca="1">AVERAGE(OFFSET($R$3,0,0,'Données projet'!$E$9+1,1))-AVERAGE(OFFSET($H$3,0,0,'Données projet'!$E$9+1,1))</f>
        <v>308.00850473946429</v>
      </c>
      <c r="T182" s="62">
        <f t="shared" si="142"/>
        <v>70.709140667951715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271.76512254565102</v>
      </c>
      <c r="AO182" s="62">
        <f t="shared" si="144"/>
        <v>99.160986083974535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-7.1054273576010019E-14</v>
      </c>
      <c r="BE182" s="14">
        <f>BD182*VLOOKUP('Données projet'!$B$11,Paramètres!$A$1:$I$89,3,0)*VLOOKUP('Données projet'!$B$11,Paramètres!$A$1:$I$89,5,0)</f>
        <v>-8.1854523159563538E-14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43.16958872930951</v>
      </c>
      <c r="BJ182" s="62">
        <f t="shared" si="146"/>
        <v>69.202870643733547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-3.3253400033572693E-14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49.695493809293282</v>
      </c>
      <c r="CE182" s="62">
        <f t="shared" si="148"/>
        <v>59.252884227831601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80.027999999999906</v>
      </c>
      <c r="D183" s="12">
        <f t="shared" si="140"/>
        <v>22.144030134787137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788.69637297028601</v>
      </c>
      <c r="H183" s="70">
        <f t="shared" si="110"/>
        <v>471.28295248475405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2.4127212380638152</v>
      </c>
      <c r="N183" s="14">
        <f>IF('Données projet'!$A$36&gt;35,N182+M183-V182,IF(A183&lt;'Données projet'!$A$36,$K$205^A183,IF(A183='Données projet'!$A$36,'Données projet'!$B$36,N182+M183-V182)))</f>
        <v>319.8644709760772</v>
      </c>
      <c r="O183" s="14">
        <f>N183*VLOOKUP('Données projet'!$B$9,Paramètres!$A$1:$I$89,3,0)*VLOOKUP('Données projet'!$B$9,Paramètres!$A$1:$I$89,5,0)</f>
        <v>349.29200230587628</v>
      </c>
      <c r="P183" s="14">
        <f t="shared" si="141"/>
        <v>81.416709983835787</v>
      </c>
      <c r="Q183" s="22">
        <f t="shared" si="162"/>
        <v>750.15100723791522</v>
      </c>
      <c r="R183" s="62">
        <f t="shared" si="109"/>
        <v>1043.4843405712486</v>
      </c>
      <c r="S183" s="62">
        <f ca="1">AVERAGE(OFFSET($R$3,0,0,'Données projet'!$E$9+1,1))-AVERAGE(OFFSET($H$3,0,0,'Données projet'!$E$9+1,1))</f>
        <v>308.00850473946429</v>
      </c>
      <c r="T183" s="62">
        <f t="shared" si="142"/>
        <v>70.709140667951715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271.76512254565102</v>
      </c>
      <c r="AO183" s="62">
        <f t="shared" si="144"/>
        <v>99.160986083974535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-7.1054273576010019E-14</v>
      </c>
      <c r="BE183" s="14">
        <f>BD183*VLOOKUP('Données projet'!$B$11,Paramètres!$A$1:$I$89,3,0)*VLOOKUP('Données projet'!$B$11,Paramètres!$A$1:$I$89,5,0)</f>
        <v>-8.1854523159563538E-14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43.16958872930951</v>
      </c>
      <c r="BJ183" s="62">
        <f t="shared" si="146"/>
        <v>69.202870643733547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-3.3253400033572693E-14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49.695493809293282</v>
      </c>
      <c r="CE183" s="62">
        <f t="shared" si="148"/>
        <v>59.252884227831601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80.4725999999999</v>
      </c>
      <c r="D184" s="12">
        <f t="shared" si="140"/>
        <v>22.252697643553002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792.96720988005757</v>
      </c>
      <c r="H184" s="70">
        <f t="shared" si="110"/>
        <v>472.24656006252127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2.4127212380638152</v>
      </c>
      <c r="N184" s="14">
        <f>IF('Données projet'!$A$36&gt;35,N183+M184-V183,IF(A184&lt;'Données projet'!$A$36,$K$205^A184,IF(A184='Données projet'!$A$36,'Données projet'!$B$36,N183+M184-V183)))</f>
        <v>322.277192214141</v>
      </c>
      <c r="O184" s="14">
        <f>N184*VLOOKUP('Données projet'!$B$9,Paramètres!$A$1:$I$89,3,0)*VLOOKUP('Données projet'!$B$9,Paramètres!$A$1:$I$89,5,0)</f>
        <v>351.92669389784197</v>
      </c>
      <c r="P184" s="14">
        <f t="shared" si="141"/>
        <v>81.959110677118503</v>
      </c>
      <c r="Q184" s="22">
        <f t="shared" si="162"/>
        <v>755.68444296805626</v>
      </c>
      <c r="R184" s="62">
        <f t="shared" si="109"/>
        <v>1049.0177763013896</v>
      </c>
      <c r="S184" s="62">
        <f ca="1">AVERAGE(OFFSET($R$3,0,0,'Données projet'!$E$9+1,1))-AVERAGE(OFFSET($H$3,0,0,'Données projet'!$E$9+1,1))</f>
        <v>308.00850473946429</v>
      </c>
      <c r="T184" s="62">
        <f t="shared" si="142"/>
        <v>70.709140667951715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271.76512254565102</v>
      </c>
      <c r="AO184" s="62">
        <f t="shared" si="144"/>
        <v>99.160986083974535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-7.1054273576010019E-14</v>
      </c>
      <c r="BE184" s="14">
        <f>BD184*VLOOKUP('Données projet'!$B$11,Paramètres!$A$1:$I$89,3,0)*VLOOKUP('Données projet'!$B$11,Paramètres!$A$1:$I$89,5,0)</f>
        <v>-8.1854523159563538E-14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43.16958872930951</v>
      </c>
      <c r="BJ184" s="62">
        <f t="shared" si="146"/>
        <v>69.202870643733547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-3.3253400033572693E-14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49.695493809293282</v>
      </c>
      <c r="CE184" s="62">
        <f t="shared" si="148"/>
        <v>59.252884227831601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80.917199999999895</v>
      </c>
      <c r="D185" s="12">
        <f t="shared" si="140"/>
        <v>22.361295290994427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797.23750750942997</v>
      </c>
      <c r="H185" s="70">
        <f t="shared" si="110"/>
        <v>473.21004596514842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2.4127212380638152</v>
      </c>
      <c r="N185" s="14">
        <f>IF('Données projet'!$A$36&gt;35,N184+M185-V184,IF(A185&lt;'Données projet'!$A$36,$K$205^A185,IF(A185='Données projet'!$A$36,'Données projet'!$B$36,N184+M185-V184)))</f>
        <v>324.68991345220479</v>
      </c>
      <c r="O185" s="14">
        <f>N185*VLOOKUP('Données projet'!$B$9,Paramètres!$A$1:$I$89,3,0)*VLOOKUP('Données projet'!$B$9,Paramètres!$A$1:$I$89,5,0)</f>
        <v>354.56138548980761</v>
      </c>
      <c r="P185" s="14">
        <f t="shared" si="141"/>
        <v>82.501038909505269</v>
      </c>
      <c r="Q185" s="22">
        <f t="shared" si="162"/>
        <v>761.21705582880315</v>
      </c>
      <c r="R185" s="62">
        <f t="shared" si="109"/>
        <v>1054.5503891621365</v>
      </c>
      <c r="S185" s="62">
        <f ca="1">AVERAGE(OFFSET($R$3,0,0,'Données projet'!$E$9+1,1))-AVERAGE(OFFSET($H$3,0,0,'Données projet'!$E$9+1,1))</f>
        <v>308.00850473946429</v>
      </c>
      <c r="T185" s="62">
        <f t="shared" si="142"/>
        <v>70.709140667951715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271.76512254565102</v>
      </c>
      <c r="AO185" s="62">
        <f t="shared" si="144"/>
        <v>99.160986083974535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-7.1054273576010019E-14</v>
      </c>
      <c r="BE185" s="14">
        <f>BD185*VLOOKUP('Données projet'!$B$11,Paramètres!$A$1:$I$89,3,0)*VLOOKUP('Données projet'!$B$11,Paramètres!$A$1:$I$89,5,0)</f>
        <v>-8.1854523159563538E-14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43.16958872930951</v>
      </c>
      <c r="BJ185" s="62">
        <f t="shared" si="146"/>
        <v>69.202870643733547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-3.3253400033572693E-14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49.695493809293282</v>
      </c>
      <c r="CE185" s="62">
        <f t="shared" si="148"/>
        <v>59.252884227831601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81.361799999999889</v>
      </c>
      <c r="D186" s="12">
        <f t="shared" si="140"/>
        <v>22.469823505512647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801.50726916535996</v>
      </c>
      <c r="H186" s="70">
        <f t="shared" si="110"/>
        <v>474.17341093876763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2.4127212380638152</v>
      </c>
      <c r="N186" s="14">
        <f>IF('Données projet'!$A$36&gt;35,N185+M186-V185,IF(A186&lt;'Données projet'!$A$36,$K$205^A186,IF(A186='Données projet'!$A$36,'Données projet'!$B$36,N185+M186-V185)))</f>
        <v>327.10263469026859</v>
      </c>
      <c r="O186" s="14">
        <f>N186*VLOOKUP('Données projet'!$B$9,Paramètres!$A$1:$I$89,3,0)*VLOOKUP('Données projet'!$B$9,Paramètres!$A$1:$I$89,5,0)</f>
        <v>357.1960770817733</v>
      </c>
      <c r="P186" s="14">
        <f t="shared" si="141"/>
        <v>83.04249859881395</v>
      </c>
      <c r="Q186" s="22">
        <f t="shared" si="162"/>
        <v>766.74885264368947</v>
      </c>
      <c r="R186" s="62">
        <f t="shared" si="109"/>
        <v>1060.0821859770228</v>
      </c>
      <c r="S186" s="62">
        <f ca="1">AVERAGE(OFFSET($R$3,0,0,'Données projet'!$E$9+1,1))-AVERAGE(OFFSET($H$3,0,0,'Données projet'!$E$9+1,1))</f>
        <v>308.00850473946429</v>
      </c>
      <c r="T186" s="62">
        <f t="shared" si="142"/>
        <v>70.709140667951715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271.76512254565102</v>
      </c>
      <c r="AO186" s="62">
        <f t="shared" si="144"/>
        <v>99.160986083974535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-7.1054273576010019E-14</v>
      </c>
      <c r="BE186" s="14">
        <f>BD186*VLOOKUP('Données projet'!$B$11,Paramètres!$A$1:$I$89,3,0)*VLOOKUP('Données projet'!$B$11,Paramètres!$A$1:$I$89,5,0)</f>
        <v>-8.1854523159563538E-14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43.16958872930951</v>
      </c>
      <c r="BJ186" s="62">
        <f t="shared" si="146"/>
        <v>69.202870643733547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-3.3253400033572693E-14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49.695493809293282</v>
      </c>
      <c r="CE186" s="62">
        <f t="shared" si="148"/>
        <v>59.252884227831601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81.806399999999883</v>
      </c>
      <c r="D187" s="12">
        <f t="shared" si="140"/>
        <v>22.578282710555992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805.77649811657182</v>
      </c>
      <c r="H187" s="70">
        <f t="shared" si="110"/>
        <v>475.13665572088479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2.4127212380638152</v>
      </c>
      <c r="N187" s="14">
        <f>IF('Données projet'!$A$36&gt;35,N186+M187-V186,IF(A187&lt;'Données projet'!$A$36,$K$205^A187,IF(A187='Données projet'!$A$36,'Données projet'!$B$36,N186+M187-V186)))</f>
        <v>329.51535592833238</v>
      </c>
      <c r="O187" s="14">
        <f>N187*VLOOKUP('Données projet'!$B$9,Paramètres!$A$1:$I$89,3,0)*VLOOKUP('Données projet'!$B$9,Paramètres!$A$1:$I$89,5,0)</f>
        <v>359.83076867373893</v>
      </c>
      <c r="P187" s="14">
        <f t="shared" si="141"/>
        <v>83.583493601727511</v>
      </c>
      <c r="Q187" s="22">
        <f t="shared" si="162"/>
        <v>772.27984012977083</v>
      </c>
      <c r="R187" s="62">
        <f t="shared" si="109"/>
        <v>1065.6131734631042</v>
      </c>
      <c r="S187" s="62">
        <f ca="1">AVERAGE(OFFSET($R$3,0,0,'Données projet'!$E$9+1,1))-AVERAGE(OFFSET($H$3,0,0,'Données projet'!$E$9+1,1))</f>
        <v>308.00850473946429</v>
      </c>
      <c r="T187" s="62">
        <f t="shared" si="142"/>
        <v>70.709140667951715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271.76512254565102</v>
      </c>
      <c r="AO187" s="62">
        <f t="shared" si="144"/>
        <v>99.160986083974535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-7.1054273576010019E-14</v>
      </c>
      <c r="BE187" s="14">
        <f>BD187*VLOOKUP('Données projet'!$B$11,Paramètres!$A$1:$I$89,3,0)*VLOOKUP('Données projet'!$B$11,Paramètres!$A$1:$I$89,5,0)</f>
        <v>-8.1854523159563538E-14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43.16958872930951</v>
      </c>
      <c r="BJ187" s="62">
        <f t="shared" si="146"/>
        <v>69.202870643733547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-3.3253400033572693E-14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49.695493809293282</v>
      </c>
      <c r="CE187" s="62">
        <f t="shared" si="148"/>
        <v>59.252884227831601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82.250999999999877</v>
      </c>
      <c r="D188" s="12">
        <f t="shared" si="140"/>
        <v>22.68667332470369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810.04519759420293</v>
      </c>
      <c r="H188" s="70">
        <f t="shared" si="110"/>
        <v>476.09978104052539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2.4127212380638152</v>
      </c>
      <c r="N188" s="14">
        <f>IF('Données projet'!$A$36&gt;35,N187+M188-V187,IF(A188&lt;'Données projet'!$A$36,$K$205^A188,IF(A188='Données projet'!$A$36,'Données projet'!$B$36,N187+M188-V187)))</f>
        <v>331.92807716639618</v>
      </c>
      <c r="O188" s="14">
        <f>N188*VLOOKUP('Données projet'!$B$9,Paramètres!$A$1:$I$89,3,0)*VLOOKUP('Données projet'!$B$9,Paramètres!$A$1:$I$89,5,0)</f>
        <v>362.46546026570462</v>
      </c>
      <c r="P188" s="14">
        <f t="shared" si="141"/>
        <v>84.124027715188419</v>
      </c>
      <c r="Q188" s="22">
        <f t="shared" si="162"/>
        <v>777.8100249000554</v>
      </c>
      <c r="R188" s="62">
        <f t="shared" si="109"/>
        <v>1071.1433582333887</v>
      </c>
      <c r="S188" s="62">
        <f ca="1">AVERAGE(OFFSET($R$3,0,0,'Données projet'!$E$9+1,1))-AVERAGE(OFFSET($H$3,0,0,'Données projet'!$E$9+1,1))</f>
        <v>308.00850473946429</v>
      </c>
      <c r="T188" s="62">
        <f t="shared" si="142"/>
        <v>70.709140667951715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271.76512254565102</v>
      </c>
      <c r="AO188" s="62">
        <f t="shared" si="144"/>
        <v>99.160986083974535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-7.1054273576010019E-14</v>
      </c>
      <c r="BE188" s="14">
        <f>BD188*VLOOKUP('Données projet'!$B$11,Paramètres!$A$1:$I$89,3,0)*VLOOKUP('Données projet'!$B$11,Paramètres!$A$1:$I$89,5,0)</f>
        <v>-8.1854523159563538E-14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43.16958872930951</v>
      </c>
      <c r="BJ188" s="62">
        <f t="shared" si="146"/>
        <v>69.202870643733547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-3.3253400033572693E-14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49.695493809293282</v>
      </c>
      <c r="CE188" s="62">
        <f t="shared" si="148"/>
        <v>59.252884227831601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82.695599999999871</v>
      </c>
      <c r="D189" s="12">
        <f t="shared" si="140"/>
        <v>22.794995761747828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814.31337079243849</v>
      </c>
      <c r="H189" s="70">
        <f t="shared" si="110"/>
        <v>477.06278761837723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2.4127212380638152</v>
      </c>
      <c r="N189" s="14">
        <f>IF('Données projet'!$A$36&gt;35,N188+M189-V188,IF(A189&lt;'Données projet'!$A$36,$K$205^A189,IF(A189='Données projet'!$A$36,'Données projet'!$B$36,N188+M189-V188)))</f>
        <v>334.34079840445997</v>
      </c>
      <c r="O189" s="14">
        <f>N189*VLOOKUP('Données projet'!$B$9,Paramètres!$A$1:$I$89,3,0)*VLOOKUP('Données projet'!$B$9,Paramètres!$A$1:$I$89,5,0)</f>
        <v>365.10015185767026</v>
      </c>
      <c r="P189" s="14">
        <f t="shared" si="141"/>
        <v>84.664104677751112</v>
      </c>
      <c r="Q189" s="22">
        <f t="shared" si="162"/>
        <v>783.33941346585891</v>
      </c>
      <c r="R189" s="62">
        <f t="shared" si="109"/>
        <v>1076.6727467991923</v>
      </c>
      <c r="S189" s="62">
        <f ca="1">AVERAGE(OFFSET($R$3,0,0,'Données projet'!$E$9+1,1))-AVERAGE(OFFSET($H$3,0,0,'Données projet'!$E$9+1,1))</f>
        <v>308.00850473946429</v>
      </c>
      <c r="T189" s="62">
        <f t="shared" si="142"/>
        <v>70.709140667951715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271.76512254565102</v>
      </c>
      <c r="AO189" s="62">
        <f t="shared" si="144"/>
        <v>99.160986083974535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-7.1054273576010019E-14</v>
      </c>
      <c r="BE189" s="14">
        <f>BD189*VLOOKUP('Données projet'!$B$11,Paramètres!$A$1:$I$89,3,0)*VLOOKUP('Données projet'!$B$11,Paramètres!$A$1:$I$89,5,0)</f>
        <v>-8.1854523159563538E-14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43.16958872930951</v>
      </c>
      <c r="BJ189" s="62">
        <f t="shared" si="146"/>
        <v>69.202870643733547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-3.3253400033572693E-14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49.695493809293282</v>
      </c>
      <c r="CE189" s="62">
        <f t="shared" si="148"/>
        <v>59.252884227831601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83.140199999999865</v>
      </c>
      <c r="D190" s="12">
        <f t="shared" si="140"/>
        <v>22.903250430773564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818.58102086912822</v>
      </c>
      <c r="H190" s="70">
        <f t="shared" si="110"/>
        <v>478.02567616693034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2.4127212380638152</v>
      </c>
      <c r="N190" s="14">
        <f>IF('Données projet'!$A$36&gt;35,N189+M190-V189,IF(A190&lt;'Données projet'!$A$36,$K$205^A190,IF(A190='Données projet'!$A$36,'Données projet'!$B$36,N189+M190-V189)))</f>
        <v>336.75351964252377</v>
      </c>
      <c r="O190" s="14">
        <f>N190*VLOOKUP('Données projet'!$B$9,Paramètres!$A$1:$I$89,3,0)*VLOOKUP('Données projet'!$B$9,Paramètres!$A$1:$I$89,5,0)</f>
        <v>367.73484344963595</v>
      </c>
      <c r="P190" s="14">
        <f t="shared" si="141"/>
        <v>85.203728170894834</v>
      </c>
      <c r="Q190" s="22">
        <f t="shared" si="162"/>
        <v>788.86801223909106</v>
      </c>
      <c r="R190" s="62">
        <f t="shared" si="109"/>
        <v>1082.2013455724243</v>
      </c>
      <c r="S190" s="62">
        <f ca="1">AVERAGE(OFFSET($R$3,0,0,'Données projet'!$E$9+1,1))-AVERAGE(OFFSET($H$3,0,0,'Données projet'!$E$9+1,1))</f>
        <v>308.00850473946429</v>
      </c>
      <c r="T190" s="62">
        <f t="shared" si="142"/>
        <v>70.709140667951715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271.76512254565102</v>
      </c>
      <c r="AO190" s="62">
        <f t="shared" si="144"/>
        <v>99.160986083974535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-7.1054273576010019E-14</v>
      </c>
      <c r="BE190" s="14">
        <f>BD190*VLOOKUP('Données projet'!$B$11,Paramètres!$A$1:$I$89,3,0)*VLOOKUP('Données projet'!$B$11,Paramètres!$A$1:$I$89,5,0)</f>
        <v>-8.1854523159563538E-14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43.16958872930951</v>
      </c>
      <c r="BJ190" s="62">
        <f t="shared" si="146"/>
        <v>69.202870643733547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-3.3253400033572693E-14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49.695493809293282</v>
      </c>
      <c r="CE190" s="62">
        <f t="shared" si="148"/>
        <v>59.252884227831601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83.584799999999859</v>
      </c>
      <c r="D191" s="12">
        <f t="shared" si="140"/>
        <v>23.011437736237575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822.84815094639441</v>
      </c>
      <c r="H191" s="70">
        <f t="shared" si="110"/>
        <v>478.98844739061349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2.4127212380638152</v>
      </c>
      <c r="N191" s="14">
        <f>IF('Données projet'!$A$36&gt;35,N190+M191-V190,IF(A191&lt;'Données projet'!$A$36,$K$205^A191,IF(A191='Données projet'!$A$36,'Données projet'!$B$36,N190+M191-V190)))</f>
        <v>339.16624088058757</v>
      </c>
      <c r="O191" s="14">
        <f>N191*VLOOKUP('Données projet'!$B$9,Paramètres!$A$1:$I$89,3,0)*VLOOKUP('Données projet'!$B$9,Paramètres!$A$1:$I$89,5,0)</f>
        <v>370.36953504160164</v>
      </c>
      <c r="P191" s="14">
        <f t="shared" si="141"/>
        <v>85.742901820297348</v>
      </c>
      <c r="Q191" s="22">
        <f t="shared" si="162"/>
        <v>794.39582753447394</v>
      </c>
      <c r="R191" s="62">
        <f t="shared" si="109"/>
        <v>1087.7291608678072</v>
      </c>
      <c r="S191" s="62">
        <f ca="1">AVERAGE(OFFSET($R$3,0,0,'Données projet'!$E$9+1,1))-AVERAGE(OFFSET($H$3,0,0,'Données projet'!$E$9+1,1))</f>
        <v>308.00850473946429</v>
      </c>
      <c r="T191" s="62">
        <f t="shared" si="142"/>
        <v>70.709140667951715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271.76512254565102</v>
      </c>
      <c r="AO191" s="62">
        <f t="shared" si="144"/>
        <v>99.160986083974535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-7.1054273576010019E-14</v>
      </c>
      <c r="BE191" s="14">
        <f>BD191*VLOOKUP('Données projet'!$B$11,Paramètres!$A$1:$I$89,3,0)*VLOOKUP('Données projet'!$B$11,Paramètres!$A$1:$I$89,5,0)</f>
        <v>-8.1854523159563538E-14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43.16958872930951</v>
      </c>
      <c r="BJ191" s="62">
        <f t="shared" si="146"/>
        <v>69.202870643733547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-3.3253400033572693E-14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49.695493809293282</v>
      </c>
      <c r="CE191" s="62">
        <f t="shared" si="148"/>
        <v>59.252884227831601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84.029399999999853</v>
      </c>
      <c r="D192" s="12">
        <f t="shared" si="140"/>
        <v>23.11955807804474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827.11476411122146</v>
      </c>
      <c r="H192" s="70">
        <f t="shared" si="110"/>
        <v>479.95110198592761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2.4127212380638152</v>
      </c>
      <c r="N192" s="14">
        <f>IF('Données projet'!$A$36&gt;35,N191+M192-V191,IF(A192&lt;'Données projet'!$A$36,$K$205^A192,IF(A192='Données projet'!$A$36,'Données projet'!$B$36,N191+M192-V191)))</f>
        <v>341.57896211865136</v>
      </c>
      <c r="O192" s="14">
        <f>N192*VLOOKUP('Données projet'!$B$9,Paramètres!$A$1:$I$89,3,0)*VLOOKUP('Données projet'!$B$9,Paramètres!$A$1:$I$89,5,0)</f>
        <v>373.00422663356727</v>
      </c>
      <c r="P192" s="14">
        <f t="shared" si="141"/>
        <v>86.281629197071737</v>
      </c>
      <c r="Q192" s="22">
        <f t="shared" si="162"/>
        <v>799.92286557169609</v>
      </c>
      <c r="R192" s="62">
        <f t="shared" si="109"/>
        <v>1093.2561989050294</v>
      </c>
      <c r="S192" s="62">
        <f ca="1">AVERAGE(OFFSET($R$3,0,0,'Données projet'!$E$9+1,1))-AVERAGE(OFFSET($H$3,0,0,'Données projet'!$E$9+1,1))</f>
        <v>308.00850473946429</v>
      </c>
      <c r="T192" s="62">
        <f t="shared" si="142"/>
        <v>70.709140667951715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271.76512254565102</v>
      </c>
      <c r="AO192" s="62">
        <f t="shared" si="144"/>
        <v>99.160986083974535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-7.1054273576010019E-14</v>
      </c>
      <c r="BE192" s="14">
        <f>BD192*VLOOKUP('Données projet'!$B$11,Paramètres!$A$1:$I$89,3,0)*VLOOKUP('Données projet'!$B$11,Paramètres!$A$1:$I$89,5,0)</f>
        <v>-8.1854523159563538E-14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43.16958872930951</v>
      </c>
      <c r="BJ192" s="62">
        <f t="shared" si="146"/>
        <v>69.202870643733547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-3.3253400033572693E-14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49.695493809293282</v>
      </c>
      <c r="CE192" s="62">
        <f t="shared" si="148"/>
        <v>59.252884227831601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84.473999999999847</v>
      </c>
      <c r="D193" s="12">
        <f t="shared" si="140"/>
        <v>23.227611851623131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831.38086341603696</v>
      </c>
      <c r="H193" s="70">
        <f t="shared" si="110"/>
        <v>480.91364064157665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2.4127212380638152</v>
      </c>
      <c r="N193" s="14">
        <f>IF('Données projet'!$A$36&gt;35,N192+M193-V192,IF(A193&lt;'Données projet'!$A$36,$K$205^A193,IF(A193='Données projet'!$A$36,'Données projet'!$B$36,N192+M193-V192)))</f>
        <v>343.99168335671516</v>
      </c>
      <c r="O193" s="14">
        <f>N193*VLOOKUP('Données projet'!$B$9,Paramètres!$A$1:$I$89,3,0)*VLOOKUP('Données projet'!$B$9,Paramètres!$A$1:$I$89,5,0)</f>
        <v>375.6389182255329</v>
      </c>
      <c r="P193" s="14">
        <f t="shared" si="141"/>
        <v>86.819913818966768</v>
      </c>
      <c r="Q193" s="22">
        <f t="shared" si="162"/>
        <v>805.44913247750355</v>
      </c>
      <c r="R193" s="62">
        <f t="shared" si="109"/>
        <v>1098.7824658108368</v>
      </c>
      <c r="S193" s="62">
        <f ca="1">AVERAGE(OFFSET($R$3,0,0,'Données projet'!$E$9+1,1))-AVERAGE(OFFSET($H$3,0,0,'Données projet'!$E$9+1,1))</f>
        <v>308.00850473946429</v>
      </c>
      <c r="T193" s="62">
        <f t="shared" si="142"/>
        <v>70.709140667951715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271.76512254565102</v>
      </c>
      <c r="AO193" s="62">
        <f t="shared" si="144"/>
        <v>99.160986083974535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-7.1054273576010019E-14</v>
      </c>
      <c r="BE193" s="14">
        <f>BD193*VLOOKUP('Données projet'!$B$11,Paramètres!$A$1:$I$89,3,0)*VLOOKUP('Données projet'!$B$11,Paramètres!$A$1:$I$89,5,0)</f>
        <v>-8.1854523159563538E-14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43.16958872930951</v>
      </c>
      <c r="BJ193" s="62">
        <f t="shared" si="146"/>
        <v>69.202870643733547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-3.3253400033572693E-14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49.695493809293282</v>
      </c>
      <c r="CE193" s="62">
        <f t="shared" si="148"/>
        <v>59.252884227831601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84.918599999999842</v>
      </c>
      <c r="D194" s="12">
        <f t="shared" si="140"/>
        <v>23.335599447997488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835.64645187927772</v>
      </c>
      <c r="H194" s="70">
        <f t="shared" si="110"/>
        <v>481.87606403859536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2.4127212380638152</v>
      </c>
      <c r="N194" s="14">
        <f>IF('Données projet'!$A$36&gt;35,N193+M194-V193,IF(A194&lt;'Données projet'!$A$36,$K$205^A194,IF(A194='Données projet'!$A$36,'Données projet'!$B$36,N193+M194-V193)))</f>
        <v>346.40440459477895</v>
      </c>
      <c r="O194" s="14">
        <f>N194*VLOOKUP('Données projet'!$B$9,Paramètres!$A$1:$I$89,3,0)*VLOOKUP('Données projet'!$B$9,Paramètres!$A$1:$I$89,5,0)</f>
        <v>378.2736098174986</v>
      </c>
      <c r="P194" s="14">
        <f t="shared" si="141"/>
        <v>87.357759151533344</v>
      </c>
      <c r="Q194" s="22">
        <f t="shared" si="162"/>
        <v>810.97463428773062</v>
      </c>
      <c r="R194" s="62">
        <f t="shared" si="109"/>
        <v>1104.3079676210639</v>
      </c>
      <c r="S194" s="62">
        <f ca="1">AVERAGE(OFFSET($R$3,0,0,'Données projet'!$E$9+1,1))-AVERAGE(OFFSET($H$3,0,0,'Données projet'!$E$9+1,1))</f>
        <v>308.00850473946429</v>
      </c>
      <c r="T194" s="62">
        <f t="shared" si="142"/>
        <v>70.709140667951715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271.76512254565102</v>
      </c>
      <c r="AO194" s="62">
        <f t="shared" si="144"/>
        <v>99.160986083974535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-7.1054273576010019E-14</v>
      </c>
      <c r="BE194" s="14">
        <f>BD194*VLOOKUP('Données projet'!$B$11,Paramètres!$A$1:$I$89,3,0)*VLOOKUP('Données projet'!$B$11,Paramètres!$A$1:$I$89,5,0)</f>
        <v>-8.1854523159563538E-14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43.16958872930951</v>
      </c>
      <c r="BJ194" s="62">
        <f t="shared" si="146"/>
        <v>69.202870643733547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-3.3253400033572693E-14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49.695493809293282</v>
      </c>
      <c r="CE194" s="62">
        <f t="shared" si="148"/>
        <v>59.252884227831601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85.363199999999836</v>
      </c>
      <c r="D195" s="12">
        <f t="shared" si="140"/>
        <v>23.443521253860997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839.91153248594321</v>
      </c>
      <c r="H195" s="70">
        <f t="shared" si="110"/>
        <v>482.83837285047423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2.4127212380638152</v>
      </c>
      <c r="N195" s="14">
        <f>IF('Données projet'!$A$36&gt;35,N194+M195-V194,IF(A195&lt;'Données projet'!$A$36,$K$205^A195,IF(A195='Données projet'!$A$36,'Données projet'!$B$36,N194+M195-V194)))</f>
        <v>348.81712583284275</v>
      </c>
      <c r="O195" s="14">
        <f>N195*VLOOKUP('Données projet'!$B$9,Paramètres!$A$1:$I$89,3,0)*VLOOKUP('Données projet'!$B$9,Paramètres!$A$1:$I$89,5,0)</f>
        <v>380.90830140946429</v>
      </c>
      <c r="P195" s="14">
        <f t="shared" si="141"/>
        <v>87.895168609256544</v>
      </c>
      <c r="Q195" s="22">
        <f t="shared" si="162"/>
        <v>816.49937694927212</v>
      </c>
      <c r="R195" s="62">
        <f t="shared" ref="R195:R203" si="191">Q195+(I195+J195)*44/12</f>
        <v>1109.8327102826054</v>
      </c>
      <c r="S195" s="62">
        <f ca="1">AVERAGE(OFFSET($R$3,0,0,'Données projet'!$E$9+1,1))-AVERAGE(OFFSET($H$3,0,0,'Données projet'!$E$9+1,1))</f>
        <v>308.00850473946429</v>
      </c>
      <c r="T195" s="62">
        <f t="shared" si="142"/>
        <v>70.709140667951715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271.76512254565102</v>
      </c>
      <c r="AO195" s="62">
        <f t="shared" si="144"/>
        <v>99.160986083974535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-7.1054273576010019E-14</v>
      </c>
      <c r="BE195" s="14">
        <f>BD195*VLOOKUP('Données projet'!$B$11,Paramètres!$A$1:$I$89,3,0)*VLOOKUP('Données projet'!$B$11,Paramètres!$A$1:$I$89,5,0)</f>
        <v>-8.1854523159563538E-14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43.16958872930951</v>
      </c>
      <c r="BJ195" s="62">
        <f t="shared" si="146"/>
        <v>69.202870643733547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-3.3253400033572693E-14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49.695493809293282</v>
      </c>
      <c r="CE195" s="62">
        <f t="shared" si="148"/>
        <v>59.252884227831601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85.80779999999983</v>
      </c>
      <c r="D196" s="12">
        <f t="shared" si="140"/>
        <v>23.551377651645595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844.17610818814012</v>
      </c>
      <c r="H196" s="70">
        <f t="shared" ref="H196:H203" si="192">(B196+E196+F196)*44/12+(C196+D196)*0.475*44/12</f>
        <v>483.80056774328239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2.4127212380638152</v>
      </c>
      <c r="N196" s="14">
        <f>IF('Données projet'!$A$36&gt;35,N195+M196-V195,IF(A196&lt;'Données projet'!$A$36,$K$205^A196,IF(A196='Données projet'!$A$36,'Données projet'!$B$36,N195+M196-V195)))</f>
        <v>351.22984707090654</v>
      </c>
      <c r="O196" s="14">
        <f>N196*VLOOKUP('Données projet'!$B$9,Paramètres!$A$1:$I$89,3,0)*VLOOKUP('Données projet'!$B$9,Paramètres!$A$1:$I$89,5,0)</f>
        <v>383.54299300142998</v>
      </c>
      <c r="P196" s="14">
        <f t="shared" si="141"/>
        <v>88.43214555665628</v>
      </c>
      <c r="Q196" s="22">
        <f t="shared" si="162"/>
        <v>822.02336632200013</v>
      </c>
      <c r="R196" s="62">
        <f t="shared" si="191"/>
        <v>1115.3566996553334</v>
      </c>
      <c r="S196" s="62">
        <f ca="1">AVERAGE(OFFSET($R$3,0,0,'Données projet'!$E$9+1,1))-AVERAGE(OFFSET($H$3,0,0,'Données projet'!$E$9+1,1))</f>
        <v>308.00850473946429</v>
      </c>
      <c r="T196" s="62">
        <f t="shared" si="142"/>
        <v>70.709140667951715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271.76512254565102</v>
      </c>
      <c r="AO196" s="62">
        <f t="shared" si="144"/>
        <v>99.160986083974535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-7.1054273576010019E-14</v>
      </c>
      <c r="BE196" s="14">
        <f>BD196*VLOOKUP('Données projet'!$B$11,Paramètres!$A$1:$I$89,3,0)*VLOOKUP('Données projet'!$B$11,Paramètres!$A$1:$I$89,5,0)</f>
        <v>-8.1854523159563538E-14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43.16958872930951</v>
      </c>
      <c r="BJ196" s="62">
        <f t="shared" si="146"/>
        <v>69.202870643733547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-3.3253400033572693E-14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49.695493809293282</v>
      </c>
      <c r="CE196" s="62">
        <f t="shared" si="148"/>
        <v>59.252884227831601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86.252399999999824</v>
      </c>
      <c r="D197" s="12">
        <f t="shared" ref="D197:D203" si="202">IFERROR(EXP(-1.0587+0.8836*LN(C197)+0.284),0)</f>
        <v>23.659169019590752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848.44018190561144</v>
      </c>
      <c r="H197" s="70">
        <f t="shared" si="192"/>
        <v>484.76264937578685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2.4127212380638152</v>
      </c>
      <c r="N197" s="14">
        <f>IF('Données projet'!$A$36&gt;35,N196+M197-V196,IF(A197&lt;'Données projet'!$A$36,$K$205^A197,IF(A197='Données projet'!$A$36,'Données projet'!$B$36,N196+M197-V196)))</f>
        <v>353.64256830897034</v>
      </c>
      <c r="O197" s="14">
        <f>N197*VLOOKUP('Données projet'!$B$9,Paramètres!$A$1:$I$89,3,0)*VLOOKUP('Données projet'!$B$9,Paramètres!$A$1:$I$89,5,0)</f>
        <v>386.17768459339555</v>
      </c>
      <c r="P197" s="14">
        <f t="shared" ref="P197:P203" si="203">EXP(-1.0587+0.8836*LN(O197)+0.284)</f>
        <v>88.968693309356624</v>
      </c>
      <c r="Q197" s="22">
        <f t="shared" si="162"/>
        <v>827.54660818062666</v>
      </c>
      <c r="R197" s="62">
        <f t="shared" si="191"/>
        <v>1120.8799415139599</v>
      </c>
      <c r="S197" s="62">
        <f ca="1">AVERAGE(OFFSET($R$3,0,0,'Données projet'!$E$9+1,1))-AVERAGE(OFFSET($H$3,0,0,'Données projet'!$E$9+1,1))</f>
        <v>308.00850473946429</v>
      </c>
      <c r="T197" s="62">
        <f t="shared" ref="T197:T203" si="204">$T$3</f>
        <v>70.709140667951715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271.76512254565102</v>
      </c>
      <c r="AO197" s="62">
        <f t="shared" ref="AO197:AO203" si="205">$AO$3</f>
        <v>99.160986083974535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-7.1054273576010019E-14</v>
      </c>
      <c r="BE197" s="14">
        <f>BD197*VLOOKUP('Données projet'!$B$11,Paramètres!$A$1:$I$89,3,0)*VLOOKUP('Données projet'!$B$11,Paramètres!$A$1:$I$89,5,0)</f>
        <v>-8.1854523159563538E-14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43.16958872930951</v>
      </c>
      <c r="BJ197" s="62">
        <f t="shared" ref="BJ197:BJ203" si="206">$BJ$3</f>
        <v>69.202870643733547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-3.3253400033572693E-14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49.695493809293282</v>
      </c>
      <c r="CE197" s="62">
        <f t="shared" ref="CE197:CE203" si="207">$CE$3</f>
        <v>59.252884227831601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86.696999999999818</v>
      </c>
      <c r="D198" s="12">
        <f t="shared" si="202"/>
        <v>23.766895731810834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852.70375652625773</v>
      </c>
      <c r="H198" s="70">
        <f t="shared" si="192"/>
        <v>485.7246183995702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2.4127212380638152</v>
      </c>
      <c r="N198" s="14">
        <f>IF('Données projet'!$A$36&gt;35,N197+M198-V197,IF(A198&lt;'Données projet'!$A$36,$K$205^A198,IF(A198='Données projet'!$A$36,'Données projet'!$B$36,N197+M198-V197)))</f>
        <v>356.05528954703414</v>
      </c>
      <c r="O198" s="14">
        <f>N198*VLOOKUP('Données projet'!$B$9,Paramètres!$A$1:$I$89,3,0)*VLOOKUP('Données projet'!$B$9,Paramètres!$A$1:$I$89,5,0)</f>
        <v>388.81237618536125</v>
      </c>
      <c r="P198" s="14">
        <f t="shared" si="203"/>
        <v>89.504815135124872</v>
      </c>
      <c r="Q198" s="22">
        <f t="shared" si="162"/>
        <v>833.06910821651343</v>
      </c>
      <c r="R198" s="62">
        <f t="shared" si="191"/>
        <v>1126.4024415498468</v>
      </c>
      <c r="S198" s="62">
        <f ca="1">AVERAGE(OFFSET($R$3,0,0,'Données projet'!$E$9+1,1))-AVERAGE(OFFSET($H$3,0,0,'Données projet'!$E$9+1,1))</f>
        <v>308.00850473946429</v>
      </c>
      <c r="T198" s="62">
        <f t="shared" si="204"/>
        <v>70.709140667951715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271.76512254565102</v>
      </c>
      <c r="AO198" s="62">
        <f t="shared" si="205"/>
        <v>99.160986083974535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-7.1054273576010019E-14</v>
      </c>
      <c r="BE198" s="14">
        <f>BD198*VLOOKUP('Données projet'!$B$11,Paramètres!$A$1:$I$89,3,0)*VLOOKUP('Données projet'!$B$11,Paramètres!$A$1:$I$89,5,0)</f>
        <v>-8.1854523159563538E-14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43.16958872930951</v>
      </c>
      <c r="BJ198" s="62">
        <f t="shared" si="206"/>
        <v>69.202870643733547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-3.3253400033572693E-14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49.695493809293282</v>
      </c>
      <c r="CE198" s="62">
        <f t="shared" si="207"/>
        <v>59.252884227831601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87.141599999999812</v>
      </c>
      <c r="D199" s="12">
        <f t="shared" si="202"/>
        <v>23.874558158360912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856.96683490664418</v>
      </c>
      <c r="H199" s="70">
        <f t="shared" si="192"/>
        <v>486.6864754591449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2.4127212380638152</v>
      </c>
      <c r="N199" s="14">
        <f>IF('Données projet'!$A$36&gt;35,N198+M199-V198,IF(A199&lt;'Données projet'!$A$36,$K$205^A199,IF(A199='Données projet'!$A$36,'Données projet'!$B$36,N198+M199-V198)))</f>
        <v>358.46801078509793</v>
      </c>
      <c r="O199" s="14">
        <f>N199*VLOOKUP('Données projet'!$B$9,Paramètres!$A$1:$I$89,3,0)*VLOOKUP('Données projet'!$B$9,Paramètres!$A$1:$I$89,5,0)</f>
        <v>391.44706777732694</v>
      </c>
      <c r="P199" s="14">
        <f t="shared" si="203"/>
        <v>90.040514254881558</v>
      </c>
      <c r="Q199" s="22">
        <f t="shared" si="162"/>
        <v>838.59087203942988</v>
      </c>
      <c r="R199" s="62">
        <f t="shared" si="191"/>
        <v>1131.9242053727633</v>
      </c>
      <c r="S199" s="62">
        <f ca="1">AVERAGE(OFFSET($R$3,0,0,'Données projet'!$E$9+1,1))-AVERAGE(OFFSET($H$3,0,0,'Données projet'!$E$9+1,1))</f>
        <v>308.00850473946429</v>
      </c>
      <c r="T199" s="62">
        <f t="shared" si="204"/>
        <v>70.709140667951715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271.76512254565102</v>
      </c>
      <c r="AO199" s="62">
        <f t="shared" si="205"/>
        <v>99.160986083974535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-7.1054273576010019E-14</v>
      </c>
      <c r="BE199" s="14">
        <f>BD199*VLOOKUP('Données projet'!$B$11,Paramètres!$A$1:$I$89,3,0)*VLOOKUP('Données projet'!$B$11,Paramètres!$A$1:$I$89,5,0)</f>
        <v>-8.1854523159563538E-14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43.16958872930951</v>
      </c>
      <c r="BJ199" s="62">
        <f t="shared" si="206"/>
        <v>69.202870643733547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-3.3253400033572693E-14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49.695493809293282</v>
      </c>
      <c r="CE199" s="62">
        <f t="shared" si="207"/>
        <v>59.252884227831601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87.586199999999806</v>
      </c>
      <c r="D200" s="12">
        <f t="shared" si="202"/>
        <v>23.982156665301407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861.22941987250067</v>
      </c>
      <c r="H200" s="70">
        <f t="shared" si="192"/>
        <v>487.64822119206622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2.4127212380638152</v>
      </c>
      <c r="N200" s="14">
        <f>IF('Données projet'!$A$36&gt;35,N199+M200-V199,IF(A200&lt;'Données projet'!$A$36,$K$205^A200,IF(A200='Données projet'!$A$36,'Données projet'!$B$36,N199+M200-V199)))</f>
        <v>360.88073202316173</v>
      </c>
      <c r="O200" s="14">
        <f>N200*VLOOKUP('Données projet'!$B$9,Paramètres!$A$1:$I$89,3,0)*VLOOKUP('Données projet'!$B$9,Paramètres!$A$1:$I$89,5,0)</f>
        <v>394.08175936929263</v>
      </c>
      <c r="P200" s="14">
        <f t="shared" si="203"/>
        <v>90.575793843683329</v>
      </c>
      <c r="Q200" s="22">
        <f t="shared" si="162"/>
        <v>844.1119051792665</v>
      </c>
      <c r="R200" s="62">
        <f t="shared" si="191"/>
        <v>1137.4452385125999</v>
      </c>
      <c r="S200" s="62">
        <f ca="1">AVERAGE(OFFSET($R$3,0,0,'Données projet'!$E$9+1,1))-AVERAGE(OFFSET($H$3,0,0,'Données projet'!$E$9+1,1))</f>
        <v>308.00850473946429</v>
      </c>
      <c r="T200" s="62">
        <f t="shared" si="204"/>
        <v>70.709140667951715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271.76512254565102</v>
      </c>
      <c r="AO200" s="62">
        <f t="shared" si="205"/>
        <v>99.160986083974535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-7.1054273576010019E-14</v>
      </c>
      <c r="BE200" s="14">
        <f>BD200*VLOOKUP('Données projet'!$B$11,Paramètres!$A$1:$I$89,3,0)*VLOOKUP('Données projet'!$B$11,Paramètres!$A$1:$I$89,5,0)</f>
        <v>-8.1854523159563538E-14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43.16958872930951</v>
      </c>
      <c r="BJ200" s="62">
        <f t="shared" si="206"/>
        <v>69.202870643733547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-3.3253400033572693E-14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49.695493809293282</v>
      </c>
      <c r="CE200" s="62">
        <f t="shared" si="207"/>
        <v>59.252884227831601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88.0307999999998</v>
      </c>
      <c r="D201" s="12">
        <f t="shared" si="202"/>
        <v>24.089691614761197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865.4915142192076</v>
      </c>
      <c r="H201" s="70">
        <f t="shared" si="192"/>
        <v>488.60985622904207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2.4127212380638152</v>
      </c>
      <c r="N201" s="14">
        <f>IF('Données projet'!$A$36&gt;35,N200+M201-V200,IF(A201&lt;'Données projet'!$A$36,$K$205^A201,IF(A201='Données projet'!$A$36,'Données projet'!$B$36,N200+M201-V200)))</f>
        <v>363.29345326122552</v>
      </c>
      <c r="O201" s="14">
        <f>N201*VLOOKUP('Données projet'!$B$9,Paramètres!$A$1:$I$89,3,0)*VLOOKUP('Données projet'!$B$9,Paramètres!$A$1:$I$89,5,0)</f>
        <v>396.71645096125826</v>
      </c>
      <c r="P201" s="14">
        <f t="shared" si="203"/>
        <v>91.110657031677604</v>
      </c>
      <c r="Q201" s="22">
        <f t="shared" si="162"/>
        <v>849.63221308769653</v>
      </c>
      <c r="R201" s="62">
        <f t="shared" si="191"/>
        <v>1142.9655464210298</v>
      </c>
      <c r="S201" s="62">
        <f ca="1">AVERAGE(OFFSET($R$3,0,0,'Données projet'!$E$9+1,1))-AVERAGE(OFFSET($H$3,0,0,'Données projet'!$E$9+1,1))</f>
        <v>308.00850473946429</v>
      </c>
      <c r="T201" s="62">
        <f t="shared" si="204"/>
        <v>70.709140667951715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271.76512254565102</v>
      </c>
      <c r="AO201" s="62">
        <f t="shared" si="205"/>
        <v>99.160986083974535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-7.1054273576010019E-14</v>
      </c>
      <c r="BE201" s="14">
        <f>BD201*VLOOKUP('Données projet'!$B$11,Paramètres!$A$1:$I$89,3,0)*VLOOKUP('Données projet'!$B$11,Paramètres!$A$1:$I$89,5,0)</f>
        <v>-8.1854523159563538E-14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43.16958872930951</v>
      </c>
      <c r="BJ201" s="62">
        <f t="shared" si="206"/>
        <v>69.202870643733547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-3.3253400033572693E-14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49.695493809293282</v>
      </c>
      <c r="CE201" s="62">
        <f t="shared" si="207"/>
        <v>59.252884227831601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88.475399999999794</v>
      </c>
      <c r="D202" s="12">
        <f t="shared" si="202"/>
        <v>24.197163364999493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869.75312071227529</v>
      </c>
      <c r="H202" s="70">
        <f t="shared" si="192"/>
        <v>489.57138119404044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2.4127212380638152</v>
      </c>
      <c r="N202" s="14">
        <f>IF('Données projet'!$A$36&gt;35,N201+M202-V201,IF(A202&lt;'Données projet'!$A$36,$K$205^A202,IF(A202='Données projet'!$A$36,'Données projet'!$B$36,N201+M202-V201)))</f>
        <v>365.70617449928932</v>
      </c>
      <c r="O202" s="14">
        <f>N202*VLOOKUP('Données projet'!$B$9,Paramètres!$A$1:$I$89,3,0)*VLOOKUP('Données projet'!$B$9,Paramètres!$A$1:$I$89,5,0)</f>
        <v>399.35114255322389</v>
      </c>
      <c r="P202" s="14">
        <f t="shared" si="203"/>
        <v>91.645106905032222</v>
      </c>
      <c r="Q202" s="22">
        <f t="shared" si="162"/>
        <v>855.15180113979602</v>
      </c>
      <c r="R202" s="62">
        <f t="shared" si="191"/>
        <v>1148.4851344731294</v>
      </c>
      <c r="S202" s="62">
        <f ca="1">AVERAGE(OFFSET($R$3,0,0,'Données projet'!$E$9+1,1))-AVERAGE(OFFSET($H$3,0,0,'Données projet'!$E$9+1,1))</f>
        <v>308.00850473946429</v>
      </c>
      <c r="T202" s="62">
        <f t="shared" si="204"/>
        <v>70.709140667951715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271.76512254565102</v>
      </c>
      <c r="AO202" s="62">
        <f t="shared" si="205"/>
        <v>99.160986083974535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-7.1054273576010019E-14</v>
      </c>
      <c r="BE202" s="14">
        <f>BD202*VLOOKUP('Données projet'!$B$11,Paramètres!$A$1:$I$89,3,0)*VLOOKUP('Données projet'!$B$11,Paramètres!$A$1:$I$89,5,0)</f>
        <v>-8.1854523159563538E-14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43.16958872930951</v>
      </c>
      <c r="BJ202" s="62">
        <f t="shared" si="206"/>
        <v>69.202870643733547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-3.3253400033572693E-14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49.695493809293282</v>
      </c>
      <c r="CE202" s="62">
        <f t="shared" si="207"/>
        <v>59.252884227831601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88.919999999999789</v>
      </c>
      <c r="D203" s="12">
        <f t="shared" si="202"/>
        <v>24.304572270466434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874.01424208780952</v>
      </c>
      <c r="H203" s="70">
        <f t="shared" si="192"/>
        <v>490.53279670439531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>
        <f>VLOOKUP(A203,'Données projet'!$A$35:$I$55,2,0)</f>
        <v>368.11889573735397</v>
      </c>
      <c r="L203" s="13">
        <f>VLOOKUP(A203,'Données projet'!$A$35:$I$55,9,0)</f>
        <v>2.4127212380638152</v>
      </c>
      <c r="M203" s="13">
        <f t="array" ref="M203">INDEX(L:L,MIN(IF(ISNUMBER(L203:L399),ROW(L203:L399),"")))</f>
        <v>2.4127212380638152</v>
      </c>
      <c r="N203" s="14">
        <f>IF('Données projet'!$A$36&gt;35,N202+M203-V202,IF(A203&lt;'Données projet'!$A$36,$K$205^A203,IF(A203='Données projet'!$A$36,'Données projet'!$B$36,N202+M203-V202)))</f>
        <v>368.11889573735311</v>
      </c>
      <c r="O203" s="14">
        <f>N203*VLOOKUP('Données projet'!$B$9,Paramètres!$A$1:$I$89,3,0)*VLOOKUP('Données projet'!$B$9,Paramètres!$A$1:$I$89,5,0)</f>
        <v>401.98583414518959</v>
      </c>
      <c r="P203" s="14">
        <f t="shared" si="203"/>
        <v>92.179146506838819</v>
      </c>
      <c r="Q203" s="22">
        <f t="shared" si="162"/>
        <v>860.67067463561614</v>
      </c>
      <c r="R203" s="62">
        <f t="shared" si="191"/>
        <v>1154.0040079689495</v>
      </c>
      <c r="S203" s="62">
        <f ca="1">AVERAGE(OFFSET($R$3,0,0,'Données projet'!$E$9+1,1))-AVERAGE(OFFSET($H$3,0,0,'Données projet'!$E$9+1,1))</f>
        <v>308.00850473946429</v>
      </c>
      <c r="T203" s="62">
        <f t="shared" si="204"/>
        <v>70.709140667951715</v>
      </c>
      <c r="U203" s="16">
        <f>IF(ISNA(VLOOKUP(A203,'Données projet'!$A$35:$I$55,3,0)),0,VLOOKUP(A203,'Données projet'!$A$35:$I$55,3,0))</f>
        <v>8</v>
      </c>
      <c r="V203" s="16">
        <f>IF(ISNA(VLOOKUP(A203,'Données projet'!$A$35:$I$55,4,0)),0,VLOOKUP(A203,'Données projet'!$A$35:$I$55,4,0))</f>
        <v>368.11889573735397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271.76512254565102</v>
      </c>
      <c r="AO203" s="62">
        <f t="shared" si="205"/>
        <v>99.160986083974535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-7.1054273576010019E-14</v>
      </c>
      <c r="BE203" s="14">
        <f>BD203*VLOOKUP('Données projet'!$B$11,Paramètres!$A$1:$I$89,3,0)*VLOOKUP('Données projet'!$B$11,Paramètres!$A$1:$I$89,5,0)</f>
        <v>-8.1854523159563538E-14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43.16958872930951</v>
      </c>
      <c r="BJ203" s="62">
        <f t="shared" si="206"/>
        <v>69.202870643733547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-3.3253400033572693E-14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49.695493809293282</v>
      </c>
      <c r="CE203" s="62">
        <f t="shared" si="207"/>
        <v>59.252884227831601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1.1598749277334361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1.2457309396155174</v>
      </c>
      <c r="BV205" s="88">
        <f>EXP(LN('Données projet'!B114)/'Données projet'!A114)</f>
        <v>1.1193761124691008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E1" zoomScale="90" zoomScaleNormal="90" workbookViewId="0">
      <selection activeCell="L24" sqref="L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Chêne-liège</v>
      </c>
      <c r="B6" s="155">
        <f>'Données projet'!D9</f>
        <v>3.7343000000000002</v>
      </c>
      <c r="C6" s="156">
        <f ca="1">IF(OR('Données projet'!B9="",'Données projet'!C9="",'Données projet'!C9=0%),0,Calculateur!S3)</f>
        <v>308.00850473946429</v>
      </c>
      <c r="D6" s="156">
        <f>IF(OR('Données projet'!B9="",'Données projet'!C9="",'Données projet'!C9=0%),0,Calculateur!T3)</f>
        <v>70.709140667951715</v>
      </c>
      <c r="E6" s="156">
        <f ca="1">MIN(C6,D6)</f>
        <v>70.709140667951715</v>
      </c>
      <c r="F6" s="156">
        <f ca="1">E6*B6</f>
        <v>264.04914399633208</v>
      </c>
      <c r="G6" s="156">
        <f ca="1">F6*(100%-'Données projet'!$C$24)*(100%-'Données projet'!$C$25)*(100%-'Données projet'!$C$26)*(100%-'Données projet'!$C$27)</f>
        <v>225.76201811686391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0.9595643707466297</v>
      </c>
      <c r="K6" s="160">
        <f>J6*(100%-'Données projet'!$C$24)*(100%-'Données projet'!$C$25)*(100%-'Données projet'!$C$26)*(100%-'Données projet'!$C$27)</f>
        <v>0.82042753698836834</v>
      </c>
      <c r="L6" s="161">
        <f ca="1">G6+I6+K6</f>
        <v>226.58244565385229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Cormier</v>
      </c>
      <c r="B7" s="163">
        <f>'Données projet'!D10</f>
        <v>8.6899999999999991E-2</v>
      </c>
      <c r="C7" s="156">
        <f ca="1">IF(OR('Données projet'!B10="",'Données projet'!C10="",'Données projet'!C10=0%),0,Calculateur!AN3)</f>
        <v>271.76512254565102</v>
      </c>
      <c r="D7" s="156">
        <f>IF(OR('Données projet'!B10="",'Données projet'!C10="",'Données projet'!C10=0%),0,Calculateur!AO3)</f>
        <v>99.160986083974535</v>
      </c>
      <c r="E7" s="156">
        <f t="shared" ref="E7:E15" ca="1" si="0">MIN(C7,D7)</f>
        <v>99.160986083974535</v>
      </c>
      <c r="F7" s="156">
        <f t="shared" ref="F7:F15" ca="1" si="1">E7*B7</f>
        <v>8.6170896906973855</v>
      </c>
      <c r="G7" s="156">
        <f ca="1">F7*(100%-'Données projet'!$C$24)*(100%-'Données projet'!$C$25)*(100%-'Données projet'!$C$26)*(100%-'Données projet'!$C$27)</f>
        <v>7.3676116855462643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7.3676116855462643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pignon</v>
      </c>
      <c r="B8" s="163">
        <f>'Données projet'!D11</f>
        <v>1.2730500000000002</v>
      </c>
      <c r="C8" s="156">
        <f ca="1">IF(OR('Données projet'!B11="",'Données projet'!C11="",'Données projet'!C11=0%),0,Calculateur!BI3)</f>
        <v>43.16958872930951</v>
      </c>
      <c r="D8" s="156">
        <f>IF(OR('Données projet'!B11="",'Données projet'!C11="",'Données projet'!C11=0%),0,Calculateur!BJ3)</f>
        <v>69.202870643733547</v>
      </c>
      <c r="E8" s="156">
        <f t="shared" ca="1" si="0"/>
        <v>43.16958872930951</v>
      </c>
      <c r="F8" s="156">
        <f t="shared" ca="1" si="1"/>
        <v>54.957044931847484</v>
      </c>
      <c r="G8" s="156">
        <f ca="1">F8*(100%-'Données projet'!$C$24)*(100%-'Données projet'!$C$25)*(100%-'Données projet'!$C$26)*(100%-'Données projet'!$C$27)</f>
        <v>46.988273416729598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5.6565855000000012</v>
      </c>
      <c r="K8" s="160">
        <f>J8*(100%-'Données projet'!$C$24)*(100%-'Données projet'!$C$25)*(100%-'Données projet'!$C$26)*(100%-'Données projet'!$C$27)</f>
        <v>4.8363806025000002</v>
      </c>
      <c r="L8" s="161">
        <f t="shared" ca="1" si="2"/>
        <v>51.824654019229598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d'Alep</v>
      </c>
      <c r="B9" s="163">
        <f>'Données projet'!D12</f>
        <v>0.38069999999999993</v>
      </c>
      <c r="C9" s="156">
        <f ca="1">IF(OR('Données projet'!B12="",'Données projet'!C12="",'Données projet'!C12=0%),0,Calculateur!CD3)</f>
        <v>49.695493809293282</v>
      </c>
      <c r="D9" s="156">
        <f>IF(OR('Données projet'!B12="",'Données projet'!C12="",'Données projet'!C12=0%),0,Calculateur!CE3)</f>
        <v>59.252884227831601</v>
      </c>
      <c r="E9" s="156">
        <f t="shared" ca="1" si="0"/>
        <v>49.695493809293282</v>
      </c>
      <c r="F9" s="156">
        <f t="shared" ca="1" si="1"/>
        <v>18.91907449319795</v>
      </c>
      <c r="G9" s="156">
        <f ca="1">F9*(100%-'Données projet'!$C$24)*(100%-'Données projet'!$C$25)*(100%-'Données projet'!$C$26)*(100%-'Données projet'!$C$27)</f>
        <v>16.175808691684246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16.175808691684246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346.54235311207492</v>
      </c>
      <c r="G16" s="175">
        <f t="shared" ca="1" si="3"/>
        <v>296.29371191082402</v>
      </c>
      <c r="H16" s="176">
        <f t="shared" si="3"/>
        <v>0</v>
      </c>
      <c r="I16" s="176">
        <f t="shared" si="3"/>
        <v>0</v>
      </c>
      <c r="J16" s="177">
        <f t="shared" si="3"/>
        <v>6.6161498707466304</v>
      </c>
      <c r="K16" s="177">
        <f t="shared" si="3"/>
        <v>5.6568081394883682</v>
      </c>
      <c r="L16" s="178">
        <f t="shared" ca="1" si="3"/>
        <v>301.95052005031238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Chêne-liège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Cormier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pignon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d'Alep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H7" zoomScale="80" zoomScaleNormal="80" workbookViewId="0">
      <selection activeCell="I20" sqref="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Chêne-liège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42.848386568657638</v>
      </c>
      <c r="U10" s="190">
        <f>'Données projet'!D9</f>
        <v>3.7343000000000002</v>
      </c>
      <c r="V10" s="189">
        <f>U10*T10</f>
        <v>160.00872996333823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Cormier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319.24592908365872</v>
      </c>
      <c r="U11" s="190">
        <f>'Données projet'!D10</f>
        <v>8.6899999999999991E-2</v>
      </c>
      <c r="V11" s="189">
        <f t="shared" ref="V11" si="0">U11*T11</f>
        <v>27.742471237369941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pignon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68.096620794734861</v>
      </c>
      <c r="U12" s="190">
        <f>'Données projet'!D11</f>
        <v>1.2730500000000002</v>
      </c>
      <c r="V12" s="189">
        <f t="shared" ref="V12:V19" si="1">U12*T12</f>
        <v>86.690403102737235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d'Alep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248.7708598500397</v>
      </c>
      <c r="U13" s="190">
        <f>'Données projet'!D12</f>
        <v>0.38069999999999993</v>
      </c>
      <c r="V13" s="189">
        <f t="shared" si="1"/>
        <v>94.707066344910089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Chêne-liège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1</v>
      </c>
      <c r="I15" s="204">
        <v>9586.2000000000007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25.000000000000014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15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375.00000000000023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20874.21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1.0278385461763968</v>
      </c>
      <c r="C23" s="206">
        <v>10</v>
      </c>
      <c r="D23" s="194">
        <f>B23*C23</f>
        <v>10.278385461763968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-100229.16437241386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386.6396137987947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48</v>
      </c>
      <c r="B25" s="193">
        <f>'Données projet'!D38</f>
        <v>6.362820291174998</v>
      </c>
      <c r="C25" s="206">
        <v>15</v>
      </c>
      <c r="D25" s="194">
        <f t="shared" si="2"/>
        <v>95.44230436762497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-100615.80398621265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63</v>
      </c>
      <c r="B26" s="193">
        <f>'Données projet'!D39</f>
        <v>9.9751172933277701</v>
      </c>
      <c r="C26" s="206">
        <v>15</v>
      </c>
      <c r="D26" s="194">
        <f t="shared" si="2"/>
        <v>149.62675939991655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78</v>
      </c>
      <c r="B27" s="193">
        <f>'Données projet'!D40</f>
        <v>13.671224099885858</v>
      </c>
      <c r="C27" s="206">
        <v>20</v>
      </c>
      <c r="D27" s="194">
        <f t="shared" si="2"/>
        <v>273.42448199771718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108</v>
      </c>
      <c r="B28" s="193">
        <f>'Données projet'!D41</f>
        <v>22.424438836562977</v>
      </c>
      <c r="C28" s="206">
        <v>20</v>
      </c>
      <c r="D28" s="194">
        <f t="shared" si="2"/>
        <v>448.48877673125958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138</v>
      </c>
      <c r="B29" s="193">
        <f>'Données projet'!D42</f>
        <v>30.285689672340869</v>
      </c>
      <c r="C29" s="206">
        <v>25</v>
      </c>
      <c r="D29" s="194">
        <f t="shared" si="2"/>
        <v>757.1422418085217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168</v>
      </c>
      <c r="B30" s="193">
        <f>'Données projet'!D43</f>
        <v>36.363977014913992</v>
      </c>
      <c r="C30" s="206">
        <v>25</v>
      </c>
      <c r="D30" s="194">
        <f t="shared" si="2"/>
        <v>909.09942537284985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200</v>
      </c>
      <c r="B31" s="193">
        <f>'Données projet'!D44</f>
        <v>368.11889573735397</v>
      </c>
      <c r="C31" s="206">
        <v>30</v>
      </c>
      <c r="D31" s="194">
        <f t="shared" si="2"/>
        <v>11043.566872120618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Cormier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04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28</v>
      </c>
      <c r="C58" s="204">
        <v>15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28</v>
      </c>
      <c r="C60" s="204">
        <v>20</v>
      </c>
      <c r="D60" s="191">
        <f t="shared" si="4"/>
        <v>560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28</v>
      </c>
      <c r="C62" s="204">
        <v>30</v>
      </c>
      <c r="D62" s="191">
        <f t="shared" si="4"/>
        <v>840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28</v>
      </c>
      <c r="C64" s="204">
        <v>35</v>
      </c>
      <c r="D64" s="191">
        <f t="shared" si="4"/>
        <v>980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28</v>
      </c>
      <c r="C66" s="204">
        <v>40</v>
      </c>
      <c r="D66" s="191">
        <f t="shared" si="4"/>
        <v>1120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95</v>
      </c>
      <c r="B67" s="193">
        <f>'Données projet'!D75</f>
        <v>28</v>
      </c>
      <c r="C67" s="204">
        <v>45</v>
      </c>
      <c r="D67" s="191">
        <f t="shared" si="4"/>
        <v>1260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105</v>
      </c>
      <c r="B68" s="193">
        <f>'Données projet'!D76</f>
        <v>28</v>
      </c>
      <c r="C68" s="204">
        <v>50</v>
      </c>
      <c r="D68" s="191">
        <f t="shared" si="4"/>
        <v>1400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115</v>
      </c>
      <c r="B69" s="193">
        <f>'Données projet'!D77</f>
        <v>26</v>
      </c>
      <c r="C69" s="204">
        <v>55</v>
      </c>
      <c r="D69" s="191">
        <f t="shared" si="4"/>
        <v>1430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125</v>
      </c>
      <c r="B70" s="193">
        <f>'Données projet'!D78</f>
        <v>23</v>
      </c>
      <c r="C70" s="204">
        <v>60</v>
      </c>
      <c r="D70" s="191">
        <f t="shared" si="4"/>
        <v>1380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135</v>
      </c>
      <c r="B71" s="193">
        <f>'Données projet'!D79</f>
        <v>19</v>
      </c>
      <c r="C71" s="204">
        <v>65</v>
      </c>
      <c r="D71" s="191">
        <f t="shared" si="4"/>
        <v>1235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145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232</v>
      </c>
      <c r="C73" s="204">
        <v>70</v>
      </c>
      <c r="D73" s="191">
        <f t="shared" si="4"/>
        <v>16240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pignon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10.333333333333334</v>
      </c>
      <c r="C87" s="204">
        <v>10</v>
      </c>
      <c r="D87" s="191">
        <f t="shared" si="6"/>
        <v>103.33333333333334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6.041666666666667</v>
      </c>
      <c r="C88" s="204">
        <v>10</v>
      </c>
      <c r="D88" s="191">
        <f t="shared" si="6"/>
        <v>60.416666666666671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50</v>
      </c>
      <c r="B89" s="193">
        <f>'Données projet'!D92</f>
        <v>6.291666666666667</v>
      </c>
      <c r="C89" s="204">
        <v>10</v>
      </c>
      <c r="D89" s="191">
        <f t="shared" si="6"/>
        <v>62.916666666666671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60</v>
      </c>
      <c r="B90" s="193">
        <f>'Données projet'!D93</f>
        <v>6.7083333333333339</v>
      </c>
      <c r="C90" s="204">
        <v>15</v>
      </c>
      <c r="D90" s="191">
        <f t="shared" si="6"/>
        <v>100.62500000000001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70</v>
      </c>
      <c r="B91" s="193">
        <f>'Données projet'!D94</f>
        <v>6.541666666666667</v>
      </c>
      <c r="C91" s="204">
        <v>15</v>
      </c>
      <c r="D91" s="191">
        <f t="shared" si="6"/>
        <v>98.125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80</v>
      </c>
      <c r="B92" s="193">
        <f>'Données projet'!D95</f>
        <v>6.7083333333333339</v>
      </c>
      <c r="C92" s="204">
        <v>15</v>
      </c>
      <c r="D92" s="191">
        <f t="shared" si="6"/>
        <v>100.62500000000001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90</v>
      </c>
      <c r="B93" s="193">
        <f>'Données projet'!D96</f>
        <v>6.416666666666667</v>
      </c>
      <c r="C93" s="204">
        <v>15</v>
      </c>
      <c r="D93" s="191">
        <f t="shared" si="6"/>
        <v>96.25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100</v>
      </c>
      <c r="B94" s="193">
        <f>'Données projet'!D97</f>
        <v>6.083333333333333</v>
      </c>
      <c r="C94" s="204">
        <v>20</v>
      </c>
      <c r="D94" s="191">
        <f t="shared" si="6"/>
        <v>121.66666666666666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110</v>
      </c>
      <c r="B95" s="193">
        <f>'Données projet'!D98</f>
        <v>5.791666666666667</v>
      </c>
      <c r="C95" s="204">
        <v>20</v>
      </c>
      <c r="D95" s="191">
        <f t="shared" si="6"/>
        <v>115.83333333333334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120</v>
      </c>
      <c r="B96" s="193">
        <f>'Données projet'!D99</f>
        <v>5.5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130</v>
      </c>
      <c r="B97" s="193">
        <f>'Données projet'!D100</f>
        <v>5.2083333333333339</v>
      </c>
      <c r="C97" s="204">
        <v>30</v>
      </c>
      <c r="D97" s="191">
        <f t="shared" si="6"/>
        <v>156.25000000000003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140</v>
      </c>
      <c r="B98" s="193">
        <f>'Données projet'!D101</f>
        <v>4.916666666666667</v>
      </c>
      <c r="C98" s="204">
        <v>35</v>
      </c>
      <c r="D98" s="191">
        <f t="shared" si="6"/>
        <v>172.08333333333334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150</v>
      </c>
      <c r="B99" s="193">
        <f>'Données projet'!D102</f>
        <v>62.458333333333336</v>
      </c>
      <c r="C99" s="204">
        <v>40</v>
      </c>
      <c r="D99" s="191">
        <f t="shared" si="6"/>
        <v>2498.3333333333335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d'Alep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40</v>
      </c>
      <c r="B116" s="193">
        <f>'Données projet'!D114</f>
        <v>41</v>
      </c>
      <c r="C116" s="204">
        <v>10</v>
      </c>
      <c r="D116" s="191">
        <f>B116*C116</f>
        <v>410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55</v>
      </c>
      <c r="B117" s="193">
        <f>'Données projet'!D115</f>
        <v>47</v>
      </c>
      <c r="C117" s="204">
        <v>15</v>
      </c>
      <c r="D117" s="191">
        <f t="shared" ref="D117:D135" si="8">B117*C117</f>
        <v>705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70</v>
      </c>
      <c r="B118" s="193">
        <f>'Données projet'!D116</f>
        <v>42</v>
      </c>
      <c r="C118" s="204">
        <v>20</v>
      </c>
      <c r="D118" s="191">
        <f t="shared" si="8"/>
        <v>840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90</v>
      </c>
      <c r="B119" s="193">
        <f>'Données projet'!D117</f>
        <v>135</v>
      </c>
      <c r="C119" s="204">
        <v>30</v>
      </c>
      <c r="D119" s="191">
        <f t="shared" si="8"/>
        <v>4050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str">
        <f>IF(O123+1&lt;=MIN('Données projet'!$E$9:$E$18),O123+1,"STOP")</f>
        <v>STOP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CamilleS3</cp:lastModifiedBy>
  <dcterms:created xsi:type="dcterms:W3CDTF">2021-02-01T08:22:39Z</dcterms:created>
  <dcterms:modified xsi:type="dcterms:W3CDTF">2022-08-11T15:02:20Z</dcterms:modified>
</cp:coreProperties>
</file>