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54-001 HAZOTTE/g. Carbone - LBC/2. Dossier reboisement/"/>
    </mc:Choice>
  </mc:AlternateContent>
  <xr:revisionPtr revIDLastSave="142" documentId="11_E66B9A50DB3D11F8A9B0B03C7B64090AAF248D4A" xr6:coauthVersionLast="47" xr6:coauthVersionMax="47" xr10:uidLastSave="{86434D9D-D101-C64F-9AAC-728CA9262347}"/>
  <bookViews>
    <workbookView xWindow="340" yWindow="500" windowWidth="18120" windowHeight="1446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6" i="1" l="1"/>
  <c r="F96" i="1"/>
  <c r="D96" i="1"/>
  <c r="G95" i="1"/>
  <c r="F95" i="1"/>
  <c r="G94" i="1"/>
  <c r="F94" i="1"/>
  <c r="G93" i="1"/>
  <c r="F93" i="1"/>
  <c r="G92" i="1"/>
  <c r="F92" i="1"/>
  <c r="G91" i="1"/>
  <c r="F91" i="1"/>
  <c r="G90" i="1"/>
  <c r="F90" i="1"/>
  <c r="F89" i="1"/>
  <c r="G88" i="1"/>
  <c r="F88" i="1"/>
  <c r="D72" i="1"/>
  <c r="D4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A18" i="2"/>
  <c r="FS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W20" i="2"/>
  <c r="HH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V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X38" i="2"/>
  <c r="FS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B62" i="2"/>
  <c r="HI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C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HG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EV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G140" i="2"/>
  <c r="EX140" i="2"/>
  <c r="FR140" i="2"/>
  <c r="HH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EA144" i="2"/>
  <c r="EB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A145" i="2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HG154" i="2"/>
  <c r="HJ154" i="2" s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D154" i="2"/>
  <c r="DI154" i="2"/>
  <c r="EY154" i="2"/>
  <c r="EX155" i="2"/>
  <c r="EW155" i="2"/>
  <c r="EA155" i="2"/>
  <c r="AC154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HG156" i="2"/>
  <c r="EY155" i="2"/>
  <c r="FS156" i="2"/>
  <c r="EB156" i="2"/>
  <c r="DH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CN156" i="2"/>
  <c r="HH157" i="2"/>
  <c r="EX157" i="2"/>
  <c r="EA157" i="2"/>
  <c r="ED157" i="2" s="1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D159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HG161" i="2"/>
  <c r="EA161" i="2"/>
  <c r="EX161" i="2"/>
  <c r="ED160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C162" i="2"/>
  <c r="DI161" i="2"/>
  <c r="HH162" i="2"/>
  <c r="HG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V163" i="2"/>
  <c r="EB163" i="2"/>
  <c r="HH163" i="2"/>
  <c r="HG163" i="2"/>
  <c r="EA163" i="2"/>
  <c r="ED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EA164" i="2"/>
  <c r="EX164" i="2"/>
  <c r="FR164" i="2"/>
  <c r="FS164" i="2"/>
  <c r="HG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DG167" i="2"/>
  <c r="HH167" i="2"/>
  <c r="EB167" i="2"/>
  <c r="EA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EV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Y171" i="2"/>
  <c r="ED171" i="2"/>
  <c r="EV172" i="2"/>
  <c r="EA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W173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B175" i="2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D177" i="2"/>
  <c r="FQ178" i="2"/>
  <c r="EB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V179" i="2"/>
  <c r="EA179" i="2"/>
  <c r="DF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Y184" i="2"/>
  <c r="ED184" i="2"/>
  <c r="EV185" i="2"/>
  <c r="EB185" i="2"/>
  <c r="EA185" i="2"/>
  <c r="HI185" i="2"/>
  <c r="EW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B186" i="2"/>
  <c r="EW186" i="2"/>
  <c r="ED185" i="2"/>
  <c r="EA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V189" i="2"/>
  <c r="HH189" i="2"/>
  <c r="EC189" i="2"/>
  <c r="FS189" i="2"/>
  <c r="HI189" i="2"/>
  <c r="HJ189" i="2" s="1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EY191" i="2"/>
  <c r="EW192" i="2"/>
  <c r="EV192" i="2"/>
  <c r="EB192" i="2"/>
  <c r="EA192" i="2"/>
  <c r="HH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D192" i="2"/>
  <c r="DI192" i="2"/>
  <c r="FQ193" i="2"/>
  <c r="EX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I194" i="2"/>
  <c r="EB194" i="2"/>
  <c r="EA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D194" i="2"/>
  <c r="FQ195" i="2"/>
  <c r="EY194" i="2"/>
  <c r="DH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FS197" i="2"/>
  <c r="EY196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A199" i="2"/>
  <c r="EB199" i="2"/>
  <c r="HG199" i="2"/>
  <c r="HJ199" i="2" s="1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HJ200" i="2" l="1"/>
  <c r="EB201" i="2"/>
  <c r="ED200" i="2"/>
  <c r="FS201" i="2"/>
  <c r="EA201" i="2"/>
  <c r="ED201" i="2" s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EW202" i="2"/>
  <c r="FS202" i="2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120" i="2" a="1"/>
  <c r="FY120" i="2" s="1"/>
  <c r="FY66" i="2" a="1"/>
  <c r="FY66" i="2" s="1"/>
  <c r="FY69" i="2" a="1"/>
  <c r="FY69" i="2" s="1"/>
  <c r="FY102" i="2" a="1"/>
  <c r="FY102" i="2" s="1"/>
  <c r="FY110" i="2" a="1"/>
  <c r="FY110" i="2" s="1"/>
  <c r="FY191" i="2" a="1"/>
  <c r="FY191" i="2" s="1"/>
  <c r="FY173" i="2" a="1"/>
  <c r="FY173" i="2" s="1"/>
  <c r="FY186" i="2" a="1"/>
  <c r="FY186" i="2" s="1"/>
  <c r="FY152" i="2" a="1"/>
  <c r="FY152" i="2" s="1"/>
  <c r="FY111" i="2" a="1"/>
  <c r="FY111" i="2" s="1"/>
  <c r="FY92" i="2" a="1"/>
  <c r="FY92" i="2" s="1"/>
  <c r="FY116" i="2" a="1"/>
  <c r="FY116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04" i="2" a="1"/>
  <c r="FY104" i="2" s="1"/>
  <c r="FY172" i="2" a="1"/>
  <c r="FY172" i="2" s="1"/>
  <c r="FD21" i="2" a="1"/>
  <c r="FD21" i="2" s="1"/>
  <c r="FD144" i="2" a="1"/>
  <c r="FD14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EI34" i="2" a="1"/>
  <c r="EI34" i="2" s="1"/>
  <c r="EI139" i="2" a="1"/>
  <c r="EI139" i="2" s="1"/>
  <c r="EI35" i="2" a="1"/>
  <c r="EI35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HJ202" i="2"/>
  <c r="AX200" i="2"/>
  <c r="DN63" i="2" l="1" a="1"/>
  <c r="DN63" i="2" s="1"/>
  <c r="DN177" i="2" a="1"/>
  <c r="DN177" i="2" s="1"/>
  <c r="DN31" i="2" a="1"/>
  <c r="DN31" i="2" s="1"/>
  <c r="DN56" i="2" a="1"/>
  <c r="DN56" i="2" s="1"/>
  <c r="DN16" i="2" a="1"/>
  <c r="DN16" i="2" s="1"/>
  <c r="DN123" i="2" a="1"/>
  <c r="DN123" i="2" s="1"/>
  <c r="DN133" i="2" a="1"/>
  <c r="DN133" i="2" s="1"/>
  <c r="DN65" i="2" a="1"/>
  <c r="DN65" i="2" s="1"/>
  <c r="DN29" i="2" a="1"/>
  <c r="DN29" i="2" s="1"/>
  <c r="DN132" i="2" a="1"/>
  <c r="DN132" i="2" s="1"/>
  <c r="DN70" i="2" a="1"/>
  <c r="DN70" i="2" s="1"/>
  <c r="DN164" i="2" a="1"/>
  <c r="DN164" i="2" s="1"/>
  <c r="DN66" i="2" a="1"/>
  <c r="DN66" i="2" s="1"/>
  <c r="DN43" i="2" a="1"/>
  <c r="DN43" i="2" s="1"/>
  <c r="DN167" i="2" a="1"/>
  <c r="DN167" i="2" s="1"/>
  <c r="DN45" i="2" a="1"/>
  <c r="DN45" i="2" s="1"/>
  <c r="DN80" i="2" a="1"/>
  <c r="DN80" i="2" s="1"/>
  <c r="DN162" i="2" a="1"/>
  <c r="DN162" i="2" s="1"/>
  <c r="DN49" i="2" a="1"/>
  <c r="DN49" i="2" s="1"/>
  <c r="DN150" i="2" a="1"/>
  <c r="DN150" i="2" s="1"/>
  <c r="DN30" i="2" a="1"/>
  <c r="DN30" i="2" s="1"/>
  <c r="DN55" i="2" a="1"/>
  <c r="DN55" i="2" s="1"/>
  <c r="DN135" i="2" a="1"/>
  <c r="DN135" i="2" s="1"/>
  <c r="DN114" i="2" a="1"/>
  <c r="DN114" i="2" s="1"/>
  <c r="DN188" i="2" a="1"/>
  <c r="DN188" i="2" s="1"/>
  <c r="DN176" i="2" a="1"/>
  <c r="DN176" i="2" s="1"/>
  <c r="DN115" i="2" a="1"/>
  <c r="DN115" i="2" s="1"/>
  <c r="DN190" i="2" a="1"/>
  <c r="DN190" i="2" s="1"/>
  <c r="DN50" i="2" a="1"/>
  <c r="DN50" i="2" s="1"/>
  <c r="DN152" i="2" a="1"/>
  <c r="DN152" i="2" s="1"/>
  <c r="DN168" i="2" a="1"/>
  <c r="DN168" i="2" s="1"/>
  <c r="DN187" i="2" a="1"/>
  <c r="DN187" i="2" s="1"/>
  <c r="DN46" i="2" a="1"/>
  <c r="DN46" i="2" s="1"/>
  <c r="DN110" i="2" a="1"/>
  <c r="DN110" i="2" s="1"/>
  <c r="DN38" i="2" a="1"/>
  <c r="DN38" i="2" s="1"/>
  <c r="DN103" i="2" a="1"/>
  <c r="DN103" i="2" s="1"/>
  <c r="DN86" i="2" a="1"/>
  <c r="DN86" i="2" s="1"/>
  <c r="FY47" i="2" a="1"/>
  <c r="FY47" i="2" s="1"/>
  <c r="FY165" i="2" a="1"/>
  <c r="FY165" i="2" s="1"/>
  <c r="FY146" i="2" a="1"/>
  <c r="FY146" i="2" s="1"/>
  <c r="FY32" i="2" a="1"/>
  <c r="FY32" i="2" s="1"/>
  <c r="FY22" i="2" a="1"/>
  <c r="FY22" i="2" s="1"/>
  <c r="FY196" i="2" a="1"/>
  <c r="FY196" i="2" s="1"/>
  <c r="FY34" i="2" a="1"/>
  <c r="FY34" i="2" s="1"/>
  <c r="FY72" i="2" a="1"/>
  <c r="FY72" i="2" s="1"/>
  <c r="FY174" i="2" a="1"/>
  <c r="FY174" i="2" s="1"/>
  <c r="FY159" i="2" a="1"/>
  <c r="FY159" i="2" s="1"/>
  <c r="FY18" i="2" a="1"/>
  <c r="FY18" i="2" s="1"/>
  <c r="FY109" i="2" a="1"/>
  <c r="FY109" i="2" s="1"/>
  <c r="FY82" i="2" a="1"/>
  <c r="FY82" i="2" s="1"/>
  <c r="FY164" i="2" a="1"/>
  <c r="FY164" i="2" s="1"/>
  <c r="FY99" i="2" a="1"/>
  <c r="FY99" i="2" s="1"/>
  <c r="FY143" i="2" a="1"/>
  <c r="FY143" i="2" s="1"/>
  <c r="FY29" i="2" a="1"/>
  <c r="FY29" i="2" s="1"/>
  <c r="FY79" i="2" a="1"/>
  <c r="FY79" i="2" s="1"/>
  <c r="FS203" i="2"/>
  <c r="FD59" i="2" a="1"/>
  <c r="FD59" i="2" s="1"/>
  <c r="FD188" i="2" a="1"/>
  <c r="FD188" i="2" s="1"/>
  <c r="FD187" i="2" a="1"/>
  <c r="FD187" i="2" s="1"/>
  <c r="FD131" i="2" a="1"/>
  <c r="FD131" i="2" s="1"/>
  <c r="FD60" i="2" a="1"/>
  <c r="FD60" i="2" s="1"/>
  <c r="FD82" i="2" a="1"/>
  <c r="FD82" i="2" s="1"/>
  <c r="FD194" i="2" a="1"/>
  <c r="FD194" i="2" s="1"/>
  <c r="FD43" i="2" a="1"/>
  <c r="FD43" i="2" s="1"/>
  <c r="DN186" i="2" a="1"/>
  <c r="DN186" i="2" s="1"/>
  <c r="DN153" i="2" a="1"/>
  <c r="DN153" i="2" s="1"/>
  <c r="DN170" i="2" a="1"/>
  <c r="DN170" i="2" s="1"/>
  <c r="DN192" i="2" a="1"/>
  <c r="DN192" i="2" s="1"/>
  <c r="DN129" i="2" a="1"/>
  <c r="DN129" i="2" s="1"/>
  <c r="DN41" i="2" a="1"/>
  <c r="DN41" i="2" s="1"/>
  <c r="DN113" i="2" a="1"/>
  <c r="DN113" i="2" s="1"/>
  <c r="DN155" i="2" a="1"/>
  <c r="DN155" i="2" s="1"/>
  <c r="FY71" i="2" a="1"/>
  <c r="FY71" i="2" s="1"/>
  <c r="FY54" i="2" a="1"/>
  <c r="FY54" i="2" s="1"/>
  <c r="EI71" i="2" a="1"/>
  <c r="EI71" i="2" s="1"/>
  <c r="EI195" i="2" a="1"/>
  <c r="EI195" i="2" s="1"/>
  <c r="EI178" i="2" a="1"/>
  <c r="EI178" i="2" s="1"/>
  <c r="EI198" i="2" a="1"/>
  <c r="EI198" i="2" s="1"/>
  <c r="EY202" i="2"/>
  <c r="EI36" i="2" a="1"/>
  <c r="EI36" i="2" s="1"/>
  <c r="EI162" i="2" a="1"/>
  <c r="EI162" i="2" s="1"/>
  <c r="EI170" i="2" a="1"/>
  <c r="EI170" i="2" s="1"/>
  <c r="EI16" i="2" a="1"/>
  <c r="EI16" i="2" s="1"/>
  <c r="EI113" i="2" a="1"/>
  <c r="EI113" i="2" s="1"/>
  <c r="EI87" i="2" a="1"/>
  <c r="EI87" i="2" s="1"/>
  <c r="EI150" i="2" a="1"/>
  <c r="EI150" i="2" s="1"/>
  <c r="EI67" i="2" a="1"/>
  <c r="EI67" i="2" s="1"/>
  <c r="EI145" i="2" a="1"/>
  <c r="EI145" i="2" s="1"/>
  <c r="EI128" i="2" a="1"/>
  <c r="EI128" i="2" s="1"/>
  <c r="EI109" i="2" a="1"/>
  <c r="EI109" i="2" s="1"/>
  <c r="EI29" i="2" a="1"/>
  <c r="EI29" i="2" s="1"/>
  <c r="EI57" i="2" a="1"/>
  <c r="EI57" i="2" s="1"/>
  <c r="EI37" i="2" a="1"/>
  <c r="EI37" i="2" s="1"/>
  <c r="EI20" i="2" a="1"/>
  <c r="EI20" i="2" s="1"/>
  <c r="EI38" i="2" a="1"/>
  <c r="EI38" i="2" s="1"/>
  <c r="EI106" i="2" a="1"/>
  <c r="EI106" i="2" s="1"/>
  <c r="DN124" i="2" a="1"/>
  <c r="DN124" i="2" s="1"/>
  <c r="DN137" i="2" a="1"/>
  <c r="DN137" i="2" s="1"/>
  <c r="DN25" i="2" a="1"/>
  <c r="DN25" i="2" s="1"/>
  <c r="DN184" i="2" a="1"/>
  <c r="DN184" i="2" s="1"/>
  <c r="BP203" i="2"/>
  <c r="FR203" i="2"/>
  <c r="BC114" i="2" a="1"/>
  <c r="BC114" i="2" s="1"/>
  <c r="FY133" i="2" a="1"/>
  <c r="FY133" i="2" s="1"/>
  <c r="FY90" i="2" a="1"/>
  <c r="FY90" i="2" s="1"/>
  <c r="BC126" i="2" a="1"/>
  <c r="BC126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J66" i="2" l="1"/>
  <c r="FJ129" i="2"/>
  <c r="FJ6" i="2"/>
  <c r="FJ18" i="2"/>
  <c r="FJ187" i="2"/>
  <c r="FJ38" i="2"/>
  <c r="FJ109" i="2"/>
  <c r="FJ15" i="2"/>
  <c r="FJ75" i="2"/>
  <c r="FJ163" i="2"/>
  <c r="FJ196" i="2"/>
  <c r="FJ34" i="2"/>
  <c r="FJ169" i="2"/>
  <c r="FJ77" i="2"/>
  <c r="FJ54" i="2"/>
  <c r="FJ191" i="2"/>
  <c r="FJ73" i="2"/>
  <c r="FJ198" i="2"/>
  <c r="FJ85" i="2"/>
  <c r="FJ156" i="2"/>
  <c r="FJ199" i="2"/>
  <c r="FJ203" i="2"/>
  <c r="FJ131" i="2"/>
  <c r="FJ143" i="2"/>
  <c r="FJ170" i="2"/>
  <c r="FJ81" i="2"/>
  <c r="FJ152" i="2"/>
  <c r="FJ149" i="2"/>
  <c r="FJ65" i="2"/>
  <c r="FJ78" i="2"/>
  <c r="FJ114" i="2"/>
  <c r="FJ201" i="2"/>
  <c r="FJ128" i="2"/>
  <c r="FJ22" i="2"/>
  <c r="FJ151" i="2"/>
  <c r="FJ185" i="2"/>
  <c r="FJ147" i="2"/>
  <c r="FJ61" i="2"/>
  <c r="FJ86" i="2"/>
  <c r="FJ103" i="2"/>
  <c r="FJ189" i="2"/>
  <c r="FJ134" i="2"/>
  <c r="FJ91" i="2"/>
  <c r="FJ118" i="2"/>
  <c r="FJ50" i="2"/>
  <c r="FJ190" i="2"/>
  <c r="FJ40" i="2"/>
  <c r="FJ36" i="2"/>
  <c r="FJ68" i="2"/>
  <c r="FJ127" i="2"/>
  <c r="FJ154" i="2"/>
  <c r="FJ135" i="2"/>
  <c r="FJ171" i="2"/>
  <c r="FJ123" i="2"/>
  <c r="FJ46" i="2"/>
  <c r="FJ119" i="2"/>
  <c r="FJ102" i="2"/>
  <c r="FJ116" i="2"/>
  <c r="FJ53" i="2"/>
  <c r="FJ93" i="2"/>
  <c r="FJ144" i="2"/>
  <c r="FJ56" i="2"/>
  <c r="FJ157" i="2"/>
  <c r="FJ42" i="2"/>
  <c r="FJ76" i="2"/>
  <c r="FJ69" i="2"/>
  <c r="FJ27" i="2"/>
  <c r="FJ63" i="2"/>
  <c r="FJ130" i="2"/>
  <c r="FJ150" i="2"/>
  <c r="FJ132" i="2"/>
  <c r="FJ49" i="2"/>
  <c r="FJ64" i="2"/>
  <c r="FJ17" i="2"/>
  <c r="FJ45" i="2"/>
  <c r="FJ200" i="2"/>
  <c r="FJ120" i="2"/>
  <c r="FJ115" i="2"/>
  <c r="FJ24" i="2"/>
  <c r="FJ159" i="2"/>
  <c r="FJ32" i="2"/>
  <c r="FJ101" i="2"/>
  <c r="FJ146" i="2"/>
  <c r="FJ112" i="2"/>
  <c r="FJ9" i="2"/>
  <c r="FJ175" i="2"/>
  <c r="FJ174" i="2"/>
  <c r="FJ172" i="2"/>
  <c r="FJ142" i="2"/>
  <c r="FJ33" i="2"/>
  <c r="FJ7" i="2"/>
  <c r="FJ167" i="2"/>
  <c r="FJ97" i="2"/>
  <c r="FJ52" i="2"/>
  <c r="FJ168" i="2"/>
  <c r="FJ160" i="2"/>
  <c r="FJ148" i="2"/>
  <c r="FJ99" i="2"/>
  <c r="FJ23" i="2"/>
  <c r="FJ19" i="2"/>
  <c r="FJ181" i="2"/>
  <c r="FJ30" i="2"/>
  <c r="FJ20" i="2"/>
  <c r="FJ26" i="2"/>
  <c r="FJ113" i="2"/>
  <c r="FJ126" i="2"/>
  <c r="FJ164" i="2"/>
  <c r="FJ188" i="2"/>
  <c r="FJ179" i="2"/>
  <c r="FJ43" i="2"/>
  <c r="FJ95" i="2"/>
  <c r="FJ110" i="2"/>
  <c r="FJ161" i="2"/>
  <c r="FJ4" i="2"/>
  <c r="FJ178" i="2"/>
  <c r="FJ173" i="2"/>
  <c r="FJ177" i="2"/>
  <c r="FJ13" i="2"/>
  <c r="FJ139" i="2"/>
  <c r="FJ111" i="2"/>
  <c r="FJ29" i="2"/>
  <c r="FJ162" i="2"/>
  <c r="FJ194" i="2"/>
  <c r="FJ25" i="2"/>
  <c r="FJ141" i="2"/>
  <c r="FJ55" i="2"/>
  <c r="FJ51" i="2"/>
  <c r="FJ105" i="2"/>
  <c r="FJ92" i="2"/>
  <c r="FJ145" i="2"/>
  <c r="FJ89" i="2"/>
  <c r="FJ47" i="2"/>
  <c r="FJ5" i="2"/>
  <c r="FJ74" i="2"/>
  <c r="FJ12" i="2"/>
  <c r="FJ87" i="2"/>
  <c r="FJ136" i="2"/>
  <c r="FJ57" i="2"/>
  <c r="FJ10" i="2"/>
  <c r="FJ180" i="2"/>
  <c r="FJ121" i="2"/>
  <c r="FJ155" i="2"/>
  <c r="FJ11" i="2"/>
  <c r="FJ108" i="2"/>
  <c r="FJ8" i="2"/>
  <c r="FJ140" i="2"/>
  <c r="FJ16" i="2"/>
  <c r="FJ28" i="2"/>
  <c r="FJ195" i="2"/>
  <c r="FJ133" i="2"/>
  <c r="FJ80" i="2"/>
  <c r="FJ21" i="2"/>
  <c r="FJ107" i="2"/>
  <c r="FJ125" i="2"/>
  <c r="FJ193" i="2"/>
  <c r="FJ165" i="2"/>
  <c r="FJ3" i="2"/>
  <c r="C13" i="4" s="1"/>
  <c r="E13" i="4" s="1"/>
  <c r="F13" i="4" s="1"/>
  <c r="G13" i="4" s="1"/>
  <c r="L13" i="4" s="1"/>
  <c r="FJ39" i="2"/>
  <c r="FJ58" i="2"/>
  <c r="FJ71" i="2"/>
  <c r="FJ137" i="2"/>
  <c r="FJ124" i="2"/>
  <c r="FJ138" i="2"/>
  <c r="FJ176" i="2"/>
  <c r="FJ98" i="2"/>
  <c r="FJ83" i="2"/>
  <c r="FJ48" i="2"/>
  <c r="FJ88" i="2"/>
  <c r="FJ31" i="2"/>
  <c r="FJ44" i="2"/>
  <c r="FJ158" i="2"/>
  <c r="FJ94" i="2"/>
  <c r="FJ79" i="2"/>
  <c r="FJ153" i="2"/>
  <c r="FJ41" i="2"/>
  <c r="FJ35" i="2"/>
  <c r="FJ100" i="2"/>
  <c r="FJ104" i="2"/>
  <c r="FJ183" i="2"/>
  <c r="FJ106" i="2"/>
  <c r="FJ84" i="2"/>
  <c r="FJ60" i="2"/>
  <c r="FJ37" i="2"/>
  <c r="FJ117" i="2"/>
  <c r="FJ186" i="2"/>
  <c r="FJ70" i="2"/>
  <c r="FJ14" i="2"/>
  <c r="FJ72" i="2"/>
  <c r="FJ67" i="2"/>
  <c r="FJ184" i="2"/>
  <c r="FJ182" i="2"/>
  <c r="FJ197" i="2"/>
  <c r="FJ90" i="2"/>
  <c r="FJ59" i="2"/>
  <c r="FJ82" i="2"/>
  <c r="FJ122" i="2"/>
  <c r="FJ166" i="2"/>
  <c r="FJ192" i="2"/>
  <c r="FJ96" i="2"/>
  <c r="FJ202" i="2"/>
  <c r="FJ62" i="2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DT60" i="2" l="1"/>
  <c r="DT149" i="2"/>
  <c r="DT164" i="2"/>
  <c r="DT6" i="2"/>
  <c r="DT89" i="2"/>
  <c r="DT194" i="2"/>
  <c r="DT129" i="2"/>
  <c r="DT74" i="2"/>
  <c r="DT48" i="2"/>
  <c r="DT131" i="2"/>
  <c r="DT147" i="2"/>
  <c r="DT199" i="2"/>
  <c r="DT130" i="2"/>
  <c r="DT99" i="2"/>
  <c r="DT28" i="2"/>
  <c r="DT180" i="2"/>
  <c r="DT26" i="2"/>
  <c r="DT186" i="2"/>
  <c r="DT47" i="2"/>
  <c r="DT121" i="2"/>
  <c r="DT153" i="2"/>
  <c r="DT198" i="2"/>
  <c r="DT42" i="2"/>
  <c r="DT53" i="2"/>
  <c r="DT4" i="2"/>
  <c r="DT157" i="2"/>
  <c r="DT75" i="2"/>
  <c r="DT9" i="2"/>
  <c r="DT58" i="2"/>
  <c r="DT40" i="2"/>
  <c r="DT176" i="2"/>
  <c r="DT201" i="2"/>
  <c r="DT103" i="2"/>
  <c r="DT38" i="2"/>
  <c r="DT171" i="2"/>
  <c r="DT109" i="2"/>
  <c r="DT72" i="2"/>
  <c r="DT19" i="2"/>
  <c r="DT146" i="2"/>
  <c r="DT163" i="2"/>
  <c r="DT144" i="2"/>
  <c r="DT61" i="2"/>
  <c r="DT55" i="2"/>
  <c r="DT127" i="2"/>
  <c r="DT90" i="2"/>
  <c r="DT35" i="2"/>
  <c r="DT188" i="2"/>
  <c r="DT67" i="2"/>
  <c r="DT116" i="2"/>
  <c r="DT63" i="2"/>
  <c r="DT27" i="2"/>
  <c r="DT22" i="2"/>
  <c r="DT34" i="2"/>
  <c r="DT141" i="2"/>
  <c r="DT21" i="2"/>
  <c r="DT36" i="2"/>
  <c r="DT140" i="2"/>
  <c r="DT177" i="2"/>
  <c r="DT135" i="2"/>
  <c r="DT185" i="2"/>
  <c r="DT105" i="2"/>
  <c r="DT191" i="2"/>
  <c r="DT110" i="2"/>
  <c r="DT50" i="2"/>
  <c r="DT114" i="2"/>
  <c r="DT33" i="2"/>
  <c r="DT122" i="2"/>
  <c r="DT14" i="2"/>
  <c r="DT142" i="2"/>
  <c r="DT108" i="2"/>
  <c r="DT81" i="2"/>
  <c r="DT161" i="2"/>
  <c r="DT79" i="2"/>
  <c r="DT189" i="2"/>
  <c r="DT13" i="2"/>
  <c r="DT45" i="2"/>
  <c r="DT181" i="2"/>
  <c r="DT76" i="2"/>
  <c r="DT29" i="2"/>
  <c r="DT10" i="2"/>
  <c r="DT123" i="2"/>
  <c r="DT91" i="2"/>
  <c r="DT107" i="2"/>
  <c r="DT165" i="2"/>
  <c r="DT43" i="2"/>
  <c r="DT173" i="2"/>
  <c r="DT128" i="2"/>
  <c r="DT52" i="2"/>
  <c r="DT124" i="2"/>
  <c r="DT66" i="2"/>
  <c r="DT170" i="2"/>
  <c r="DT97" i="2"/>
  <c r="DT158" i="2"/>
  <c r="DT184" i="2"/>
  <c r="DT133" i="2"/>
  <c r="DT16" i="2"/>
  <c r="DT197" i="2"/>
  <c r="DT202" i="2"/>
  <c r="DT86" i="2"/>
  <c r="DT102" i="2"/>
  <c r="DT154" i="2"/>
  <c r="DT190" i="2"/>
  <c r="DT136" i="2"/>
  <c r="DT138" i="2"/>
  <c r="DT187" i="2"/>
  <c r="DT32" i="2"/>
  <c r="DT155" i="2"/>
  <c r="DT148" i="2"/>
  <c r="DT162" i="2"/>
  <c r="DT100" i="2"/>
  <c r="DT59" i="2"/>
  <c r="DT51" i="2"/>
  <c r="DT169" i="2"/>
  <c r="DT98" i="2"/>
  <c r="DT115" i="2"/>
  <c r="DT160" i="2"/>
  <c r="DT23" i="2"/>
  <c r="DT152" i="2"/>
  <c r="DT151" i="2"/>
  <c r="DT183" i="2"/>
  <c r="DT73" i="2"/>
  <c r="DT54" i="2"/>
  <c r="DT150" i="2"/>
  <c r="DT203" i="2"/>
  <c r="DT41" i="2"/>
  <c r="DT96" i="2"/>
  <c r="DT179" i="2"/>
  <c r="DT11" i="2"/>
  <c r="DT111" i="2"/>
  <c r="DT87" i="2"/>
  <c r="DT77" i="2"/>
  <c r="DT126" i="2"/>
  <c r="DT80" i="2"/>
  <c r="DT39" i="2"/>
  <c r="DT85" i="2"/>
  <c r="DT178" i="2"/>
  <c r="DT5" i="2"/>
  <c r="DT71" i="2"/>
  <c r="DT175" i="2"/>
  <c r="DT64" i="2"/>
  <c r="DT159" i="2"/>
  <c r="DT95" i="2"/>
  <c r="DT49" i="2"/>
  <c r="DT3" i="2"/>
  <c r="C11" i="4" s="1"/>
  <c r="E11" i="4" s="1"/>
  <c r="F11" i="4" s="1"/>
  <c r="G11" i="4" s="1"/>
  <c r="L11" i="4" s="1"/>
  <c r="DT139" i="2"/>
  <c r="DT117" i="2"/>
  <c r="DT46" i="2"/>
  <c r="DT62" i="2"/>
  <c r="DT112" i="2"/>
  <c r="DT195" i="2"/>
  <c r="DT134" i="2"/>
  <c r="DT17" i="2"/>
  <c r="DT37" i="2"/>
  <c r="DT143" i="2"/>
  <c r="DT166" i="2"/>
  <c r="DT31" i="2"/>
  <c r="DT118" i="2"/>
  <c r="DT24" i="2"/>
  <c r="DT168" i="2"/>
  <c r="DT94" i="2"/>
  <c r="DT125" i="2"/>
  <c r="DT44" i="2"/>
  <c r="DT68" i="2"/>
  <c r="DT57" i="2"/>
  <c r="DT84" i="2"/>
  <c r="DT120" i="2"/>
  <c r="DT69" i="2"/>
  <c r="DT93" i="2"/>
  <c r="DT137" i="2"/>
  <c r="DT20" i="2"/>
  <c r="DT8" i="2"/>
  <c r="DT145" i="2"/>
  <c r="DT88" i="2"/>
  <c r="DT7" i="2"/>
  <c r="DT182" i="2"/>
  <c r="DT167" i="2"/>
  <c r="DT65" i="2"/>
  <c r="DT119" i="2"/>
  <c r="DT156" i="2"/>
  <c r="DT174" i="2"/>
  <c r="DT104" i="2"/>
  <c r="DT25" i="2"/>
  <c r="DT15" i="2"/>
  <c r="DT106" i="2"/>
  <c r="DT70" i="2"/>
  <c r="DT78" i="2"/>
  <c r="DT12" i="2"/>
  <c r="DT192" i="2"/>
  <c r="DT200" i="2"/>
  <c r="DT172" i="2"/>
  <c r="DT30" i="2"/>
  <c r="DT82" i="2"/>
  <c r="DT193" i="2"/>
  <c r="DT113" i="2"/>
  <c r="DT83" i="2"/>
  <c r="DT101" i="2"/>
  <c r="DT132" i="2"/>
  <c r="DT18" i="2"/>
  <c r="DT56" i="2"/>
  <c r="DT196" i="2"/>
  <c r="DT92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<sst xmlns="http://schemas.openxmlformats.org/spreadsheetml/2006/main" count="1195" uniqueCount="334">
  <si>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</si>
  <si>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</si>
  <si>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</si>
  <si>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</si>
  <si>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</si>
  <si>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</si>
  <si>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</si>
  <si>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</si>
  <si>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</si>
  <si>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</si>
  <si>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</si>
  <si>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</si>
  <si>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</si>
  <si>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</si>
  <si>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</si>
  <si>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</si>
  <si>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</si>
  <si>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</si>
  <si>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</si>
  <si>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</si>
  <si>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</si>
  <si>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</si>
  <si>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</si>
  <si>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</si>
  <si>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</si>
  <si>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</si>
  <si>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</si>
  <si>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</si>
  <si>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</si>
  <si>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</si>
  <si>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</si>
  <si>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</si>
  <si>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</si>
  <si>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</si>
  <si>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</si>
  <si>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</si>
  <si>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</si>
  <si>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</si>
  <si>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</si>
  <si>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</si>
  <si>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</si>
  <si>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</si>
  <si>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</si>
  <si>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</si>
  <si>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</si>
  <si>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</si>
  <si>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</si>
  <si>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</si>
  <si>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</si>
  <si>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</si>
  <si>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</si>
  <si>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</si>
  <si>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</si>
  <si>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</si>
  <si>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</si>
  <si>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</si>
  <si>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</si>
  <si>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</si>
  <si>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</si>
  <si>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</si>
  <si>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</si>
  <si>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</si>
  <si>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</si>
  <si>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</si>
  <si>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</si>
  <si>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</si>
  <si>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</si>
  <si>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</si>
  <si>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</si>
  <si>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</si>
  <si>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</si>
  <si>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</si>
  <si>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</si>
  <si>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</si>
  <si>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</si>
  <si>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</si>
  <si>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</si>
  <si>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</si>
  <si>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</si>
  <si>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</si>
  <si>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</si>
  <si>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</si>
  <si>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</si>
  <si>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</si>
  <si>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</si>
  <si>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</si>
  <si>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</si>
  <si>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</si>
  <si>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</si>
  <si>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</si>
  <si>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</si>
  <si>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</si>
  <si>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</si>
  <si>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</si>
  <si>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</si>
  <si>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</si>
  <si>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</si>
  <si>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</si>
  <si>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</si>
  <si>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</si>
  <si>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</si>
  <si>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</si>
  <si>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</si>
  <si>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</si>
  <si>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</si>
  <si>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</si>
  <si>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</si>
  <si>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</si>
  <si>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</si>
  <si>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</si>
  <si>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</si>
  <si>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</si>
  <si>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</si>
  <si>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</si>
  <si>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</si>
  <si>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</si>
  <si>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</si>
  <si>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</si>
  <si>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</si>
  <si>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</si>
  <si>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</si>
  <si>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</si>
  <si>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</si>
  <si>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</si>
  <si>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</si>
  <si>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</si>
  <si>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</si>
  <si>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</si>
  <si>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</si>
  <si>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</si>
  <si>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</si>
  <si>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</si>
  <si>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</si>
  <si>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</si>
  <si>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</si>
  <si>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</si>
  <si>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</si>
  <si>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</si>
  <si>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</si>
  <si>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</si>
  <si>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</si>
  <si>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</si>
  <si>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</si>
  <si>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</si>
  <si>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</si>
  <si>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</si>
  <si>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</si>
  <si>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</si>
  <si>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</si>
  <si>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</si>
  <si>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</si>
  <si>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</si>
  <si>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</si>
  <si>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</si>
  <si>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</si>
  <si>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</si>
  <si>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</si>
  <si>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</si>
  <si>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</si>
  <si>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</si>
  <si>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</si>
  <si>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</si>
  <si>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</si>
  <si>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</si>
  <si>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</si>
  <si>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</si>
  <si>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</si>
  <si>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</si>
  <si>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</si>
  <si>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</si>
  <si>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</si>
  <si>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</si>
  <si>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</si>
  <si>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</si>
  <si>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</si>
  <si>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</si>
  <si>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</si>
  <si>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</si>
  <si>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</si>
  <si>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</si>
  <si>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</si>
  <si>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</si>
  <si>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</si>
  <si>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</si>
  <si>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</si>
  <si>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</si>
  <si>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</si>
  <si>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</si>
  <si>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</si>
  <si>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</si>
  <si>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</si>
  <si>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</si>
  <si>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</si>
  <si>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</si>
  <si>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</si>
  <si>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</si>
  <si>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</si>
  <si>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</si>
  <si>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</si>
  <si>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</si>
  <si>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</si>
  <si>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</si>
  <si>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</si>
  <si>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</si>
  <si>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</si>
  <si>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</si>
  <si>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</si>
  <si>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</si>
  <si>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</si>
  <si>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</si>
  <si>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</si>
  <si>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</si>
  <si>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</si>
  <si>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</si>
  <si>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</si>
  <si>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</si>
  <si>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</si>
  <si>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</si>
  <si>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</si>
  <si>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</si>
  <si>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</si>
  <si>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</si>
  <si>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</si>
  <si>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</si>
  <si>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</si>
  <si>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</si>
  <si>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</si>
  <si>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</si>
  <si>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</si>
  <si>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</si>
  <si>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</si>
  <si>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</si>
  <si>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</si>
  <si>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</si>
  <si>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</si>
  <si>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</si>
  <si>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</si>
  <si>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</si>
  <si>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</si>
  <si>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</si>
  <si>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</si>
  <si>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</si>
  <si>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</si>
  <si>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</si>
  <si>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</si>
  <si>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</si>
  <si>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</si>
  <si>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</si>
  <si>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</si>
  <si>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</si>
  <si>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</si>
  <si>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</si>
  <si>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</si>
  <si>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</si>
  <si>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</si>
  <si>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</si>
  <si>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</si>
  <si>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</si>
  <si>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</si>
  <si>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</si>
  <si>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</si>
  <si>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</si>
  <si>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</si>
  <si>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</si>
  <si>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</si>
  <si>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</si>
  <si>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</si>
  <si>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</si>
  <si>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</si>
  <si>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</si>
  <si>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</si>
  <si>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</si>
  <si>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</si>
  <si>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</si>
  <si>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</si>
  <si>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</si>
  <si>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</si>
  <si>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</si>
  <si>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</si>
  <si>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</si>
  <si>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</si>
  <si>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</si>
  <si>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</si>
  <si>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</si>
  <si>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</si>
  <si>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</si>
  <si>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</si>
  <si>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</si>
  <si>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</si>
  <si>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</si>
  <si>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</si>
  <si>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</si>
  <si>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</si>
  <si>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</si>
  <si>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</si>
  <si>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</si>
  <si>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</si>
  <si>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</si>
  <si>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</si>
  <si>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</si>
  <si>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</si>
  <si>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</si>
  <si>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</si>
  <si>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</si>
  <si>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</si>
  <si>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</si>
  <si>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</si>
  <si>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</si>
  <si>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</si>
  <si>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</si>
  <si>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</si>
  <si>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</si>
  <si>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</si>
  <si>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</si>
  <si>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</si>
  <si>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</si>
  <si>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</si>
  <si>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</si>
  <si>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</si>
  <si>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</si>
  <si>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</si>
  <si>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</si>
  <si>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</si>
  <si>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</si>
  <si>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Calabre et corse</t>
  </si>
  <si>
    <t>CF 1/3</t>
  </si>
  <si>
    <t>CR</t>
  </si>
  <si>
    <t>calabre</t>
  </si>
  <si>
    <t>CF 2/3</t>
  </si>
  <si>
    <t>CF 3/3</t>
  </si>
  <si>
    <t>CF 1/2</t>
  </si>
  <si>
    <t>CF2/2</t>
  </si>
  <si>
    <t>CF 3/5</t>
  </si>
  <si>
    <t>CF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</si>
</sst>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#,##0&quot; 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E2F0D9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" fontId="0" fillId="0" borderId="0" xfId="0" applyNumberFormat="1" applyProtection="1">
      <protection locked="0" hidden="1"/>
    </xf>
    <xf numFmtId="0" fontId="4" fillId="0" borderId="1" xfId="3" applyBorder="1" applyProtection="1">
      <protection locked="0"/>
    </xf>
    <xf numFmtId="1" fontId="4" fillId="0" borderId="1" xfId="3" applyNumberFormat="1" applyBorder="1" applyProtection="1">
      <protection locked="0"/>
    </xf>
    <xf numFmtId="0" fontId="32" fillId="21" borderId="1" xfId="3" applyFont="1" applyFill="1" applyBorder="1" applyAlignment="1" applyProtection="1">
      <alignment horizontal="center"/>
      <protection locked="0"/>
    </xf>
    <xf numFmtId="9" fontId="32" fillId="21" borderId="1" xfId="4" applyFont="1" applyFill="1" applyBorder="1" applyAlignment="1" applyProtection="1">
      <alignment horizontal="center"/>
      <protection locked="0" hidden="1"/>
    </xf>
    <xf numFmtId="0" fontId="4" fillId="0" borderId="0" xfId="3" applyProtection="1">
      <protection locked="0"/>
    </xf>
    <xf numFmtId="0" fontId="4" fillId="0" borderId="1" xfId="3" applyBorder="1" applyAlignment="1" applyProtection="1">
      <alignment horizontal="center"/>
      <protection locked="0"/>
    </xf>
    <xf numFmtId="0" fontId="33" fillId="0" borderId="1" xfId="0" applyFont="1" applyBorder="1"/>
    <xf numFmtId="1" fontId="33" fillId="0" borderId="6" xfId="0" applyNumberFormat="1" applyFont="1" applyBorder="1"/>
    <xf numFmtId="0" fontId="34" fillId="22" borderId="6" xfId="0" applyFont="1" applyFill="1" applyBorder="1" applyAlignment="1" applyProtection="1">
      <alignment horizontal="center"/>
      <protection locked="0"/>
    </xf>
    <xf numFmtId="9" fontId="34" fillId="22" borderId="6" xfId="0" applyNumberFormat="1" applyFont="1" applyFill="1" applyBorder="1" applyAlignment="1" applyProtection="1">
      <alignment horizontal="center"/>
      <protection locked="0" hidden="1"/>
    </xf>
    <xf numFmtId="0" fontId="33" fillId="0" borderId="10" xfId="0" applyFont="1" applyBorder="1"/>
    <xf numFmtId="1" fontId="33" fillId="0" borderId="31" xfId="0" applyNumberFormat="1" applyFont="1" applyBorder="1"/>
    <xf numFmtId="0" fontId="34" fillId="22" borderId="31" xfId="0" applyFont="1" applyFill="1" applyBorder="1" applyAlignment="1" applyProtection="1">
      <alignment horizontal="center"/>
      <protection locked="0"/>
    </xf>
    <xf numFmtId="9" fontId="34" fillId="22" borderId="31" xfId="0" applyNumberFormat="1" applyFont="1" applyFill="1" applyBorder="1" applyAlignment="1" applyProtection="1">
      <alignment horizontal="center"/>
      <protection locked="0" hidden="1"/>
    </xf>
    <xf numFmtId="0" fontId="32" fillId="21" borderId="1" xfId="3" applyFont="1" applyFill="1" applyBorder="1" applyAlignment="1" applyProtection="1">
      <alignment horizontal="center"/>
      <protection locked="0" hidden="1"/>
    </xf>
    <xf numFmtId="0" fontId="32" fillId="0" borderId="1" xfId="3" applyFont="1" applyBorder="1" applyAlignment="1" applyProtection="1">
      <alignment horizontal="center"/>
      <protection locked="0" hidden="1"/>
    </xf>
    <xf numFmtId="169" fontId="0" fillId="23" borderId="1" xfId="0" applyNumberFormat="1" applyFill="1" applyBorder="1" applyAlignment="1" applyProtection="1">
      <alignment horizontal="center"/>
      <protection locked="0"/>
    </xf>
    <xf numFmtId="169" fontId="0" fillId="23" borderId="1" xfId="0" applyNumberFormat="1" applyFill="1" applyBorder="1" applyAlignment="1" applyProtection="1">
      <alignment horizontal="center" vertical="center"/>
      <protection locked="0"/>
    </xf>
    <xf numFmtId="169" fontId="33" fillId="23" borderId="10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5">
    <cellStyle name="Lien hypertexte" xfId="2" builtinId="8"/>
    <cellStyle name="Normal" xfId="0" builtinId="0"/>
    <cellStyle name="Normal 2 2" xfId="3" xr:uid="{743311ED-C108-F646-B9E6-B0071F064CEE}"/>
    <cellStyle name="Pourcentage" xfId="1" builtinId="5"/>
    <cellStyle name="Pourcentage 2 2" xfId="4" xr:uid="{B1ACBF8A-A86A-BF42-93CB-0078EF93EC57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342.19321863218693</c:v>
                </c:pt>
                <c:pt idx="37">
                  <c:v>364.65346486081313</c:v>
                </c:pt>
                <c:pt idx="38">
                  <c:v>387.08350012671536</c:v>
                </c:pt>
                <c:pt idx="39">
                  <c:v>409.48531996489601</c:v>
                </c:pt>
                <c:pt idx="40">
                  <c:v>431.86068387305681</c:v>
                </c:pt>
                <c:pt idx="41">
                  <c:v>396.25118655434943</c:v>
                </c:pt>
                <c:pt idx="42">
                  <c:v>421.69323961894679</c:v>
                </c:pt>
                <c:pt idx="43">
                  <c:v>447.10225323882634</c:v>
                </c:pt>
                <c:pt idx="44">
                  <c:v>472.48036714392634</c:v>
                </c:pt>
                <c:pt idx="45">
                  <c:v>497.82947264900918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491.74823970258643</c:v>
                </c:pt>
                <c:pt idx="49">
                  <c:v>513.78528004261875</c:v>
                </c:pt>
                <c:pt idx="50">
                  <c:v>535.80237321728089</c:v>
                </c:pt>
                <c:pt idx="51">
                  <c:v>500.61617734977284</c:v>
                </c:pt>
                <c:pt idx="52">
                  <c:v>524.9227941200179</c:v>
                </c:pt>
                <c:pt idx="53">
                  <c:v>549.20570960219936</c:v>
                </c:pt>
                <c:pt idx="54">
                  <c:v>573.46611798533218</c:v>
                </c:pt>
                <c:pt idx="55">
                  <c:v>597.70510428718899</c:v>
                </c:pt>
                <c:pt idx="56">
                  <c:v>558.55867937490245</c:v>
                </c:pt>
                <c:pt idx="57">
                  <c:v>580.03291566489895</c:v>
                </c:pt>
                <c:pt idx="58">
                  <c:v>601.49057626451429</c:v>
                </c:pt>
                <c:pt idx="59">
                  <c:v>622.93233512534766</c:v>
                </c:pt>
                <c:pt idx="60">
                  <c:v>644.35881606732414</c:v>
                </c:pt>
                <c:pt idx="61">
                  <c:v>625.95816246291997</c:v>
                </c:pt>
                <c:pt idx="62">
                  <c:v>647.88645878177351</c:v>
                </c:pt>
                <c:pt idx="63">
                  <c:v>669.79945190168905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368.73383823272405</c:v>
                </c:pt>
                <c:pt idx="47">
                  <c:v>390.90393569861925</c:v>
                </c:pt>
                <c:pt idx="48">
                  <c:v>413.04676405305349</c:v>
                </c:pt>
                <c:pt idx="49">
                  <c:v>435.16398965501418</c:v>
                </c:pt>
                <c:pt idx="50">
                  <c:v>457.25709576545188</c:v>
                </c:pt>
                <c:pt idx="51">
                  <c:v>412.31545034855657</c:v>
                </c:pt>
                <c:pt idx="52">
                  <c:v>434.7193453314992</c:v>
                </c:pt>
                <c:pt idx="53">
                  <c:v>457.09846370599331</c:v>
                </c:pt>
                <c:pt idx="54">
                  <c:v>479.45418811198152</c:v>
                </c:pt>
                <c:pt idx="55">
                  <c:v>501.78776183351835</c:v>
                </c:pt>
                <c:pt idx="56">
                  <c:v>524.10030854720537</c:v>
                </c:pt>
                <c:pt idx="57">
                  <c:v>546.39284853374659</c:v>
                </c:pt>
                <c:pt idx="58">
                  <c:v>568.66631210732646</c:v>
                </c:pt>
                <c:pt idx="59">
                  <c:v>491.01965211248972</c:v>
                </c:pt>
                <c:pt idx="60">
                  <c:v>512.0762360302333</c:v>
                </c:pt>
                <c:pt idx="61">
                  <c:v>533.11454122394605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596.12767732798454</c:v>
                </c:pt>
                <c:pt idx="65">
                  <c:v>617.10045361481673</c:v>
                </c:pt>
                <c:pt idx="66">
                  <c:v>638.05846086868894</c:v>
                </c:pt>
                <c:pt idx="67">
                  <c:v>572.29782173470437</c:v>
                </c:pt>
                <c:pt idx="68">
                  <c:v>588.55481451870264</c:v>
                </c:pt>
                <c:pt idx="69">
                  <c:v>604.80245799974375</c:v>
                </c:pt>
                <c:pt idx="70">
                  <c:v>621.04103855425922</c:v>
                </c:pt>
                <c:pt idx="71">
                  <c:v>637.27082637167155</c:v>
                </c:pt>
                <c:pt idx="72">
                  <c:v>653.49207676674757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1.7983590495427</c:v>
                </c:pt>
                <c:pt idx="2">
                  <c:v>2.2250723216926933</c:v>
                </c:pt>
                <c:pt idx="3">
                  <c:v>2.7534322831541989</c:v>
                </c:pt>
                <c:pt idx="4">
                  <c:v>3.4077413288763059</c:v>
                </c:pt>
                <c:pt idx="5">
                  <c:v>4.2181322727099486</c:v>
                </c:pt>
                <c:pt idx="6">
                  <c:v>5.2219716087393548</c:v>
                </c:pt>
                <c:pt idx="7">
                  <c:v>6.4656015061107972</c:v>
                </c:pt>
                <c:pt idx="8">
                  <c:v>8.0065025257837785</c:v>
                </c:pt>
                <c:pt idx="9">
                  <c:v>9.9159789414746928</c:v>
                </c:pt>
                <c:pt idx="10">
                  <c:v>12.282493278818798</c:v>
                </c:pt>
                <c:pt idx="11">
                  <c:v>15.215807435341619</c:v>
                </c:pt>
                <c:pt idx="12">
                  <c:v>18.852125975900751</c:v>
                </c:pt>
                <c:pt idx="13">
                  <c:v>23.360484738699075</c:v>
                </c:pt>
                <c:pt idx="14">
                  <c:v>28.950687006421436</c:v>
                </c:pt>
                <c:pt idx="15">
                  <c:v>35.883163020991212</c:v>
                </c:pt>
                <c:pt idx="16">
                  <c:v>44.481220064987831</c:v>
                </c:pt>
                <c:pt idx="17">
                  <c:v>55.146264073708259</c:v>
                </c:pt>
                <c:pt idx="18">
                  <c:v>68.376715225181087</c:v>
                </c:pt>
                <c:pt idx="19">
                  <c:v>84.791515959444709</c:v>
                </c:pt>
                <c:pt idx="20">
                  <c:v>105.15934884007568</c:v>
                </c:pt>
                <c:pt idx="21">
                  <c:v>130.43495409245023</c:v>
                </c:pt>
                <c:pt idx="22">
                  <c:v>161.80427560803119</c:v>
                </c:pt>
                <c:pt idx="23">
                  <c:v>200.74058596732007</c:v>
                </c:pt>
                <c:pt idx="24">
                  <c:v>234.50882798734798</c:v>
                </c:pt>
                <c:pt idx="25">
                  <c:v>268.16596723194158</c:v>
                </c:pt>
                <c:pt idx="26">
                  <c:v>281.12183635781474</c:v>
                </c:pt>
                <c:pt idx="27">
                  <c:v>310.82280084580395</c:v>
                </c:pt>
                <c:pt idx="28">
                  <c:v>340.46077551603156</c:v>
                </c:pt>
                <c:pt idx="29">
                  <c:v>370.04200959807071</c:v>
                </c:pt>
                <c:pt idx="30">
                  <c:v>399.57167178295862</c:v>
                </c:pt>
                <c:pt idx="31">
                  <c:v>379.09668743989408</c:v>
                </c:pt>
                <c:pt idx="32">
                  <c:v>408.6114475460293</c:v>
                </c:pt>
                <c:pt idx="33">
                  <c:v>438.08017326114509</c:v>
                </c:pt>
                <c:pt idx="34">
                  <c:v>467.50639268287961</c:v>
                </c:pt>
                <c:pt idx="35">
                  <c:v>496.89315392930274</c:v>
                </c:pt>
                <c:pt idx="36">
                  <c:v>467.26924609904512</c:v>
                </c:pt>
                <c:pt idx="37">
                  <c:v>495.70893259379926</c:v>
                </c:pt>
                <c:pt idx="38">
                  <c:v>524.11406271004307</c:v>
                </c:pt>
                <c:pt idx="39">
                  <c:v>552.48677012222458</c:v>
                </c:pt>
                <c:pt idx="40">
                  <c:v>580.82895174144687</c:v>
                </c:pt>
                <c:pt idx="41">
                  <c:v>536.64922208458972</c:v>
                </c:pt>
                <c:pt idx="42">
                  <c:v>560.992549027368</c:v>
                </c:pt>
                <c:pt idx="43">
                  <c:v>585.31377902676002</c:v>
                </c:pt>
                <c:pt idx="44">
                  <c:v>609.61395836729616</c:v>
                </c:pt>
                <c:pt idx="45">
                  <c:v>633.89404321407972</c:v>
                </c:pt>
                <c:pt idx="46">
                  <c:v>584.36966457807512</c:v>
                </c:pt>
                <c:pt idx="47">
                  <c:v>602.06658285816218</c:v>
                </c:pt>
                <c:pt idx="48">
                  <c:v>619.75269577860945</c:v>
                </c:pt>
                <c:pt idx="49">
                  <c:v>637.42835487942023</c:v>
                </c:pt>
                <c:pt idx="50">
                  <c:v>655.09389063044614</c:v>
                </c:pt>
                <c:pt idx="51">
                  <c:v>620.45992059020114</c:v>
                </c:pt>
                <c:pt idx="52">
                  <c:v>635.30781662925813</c:v>
                </c:pt>
                <c:pt idx="53">
                  <c:v>650.14854272914761</c:v>
                </c:pt>
                <c:pt idx="54">
                  <c:v>664.98228551186753</c:v>
                </c:pt>
                <c:pt idx="55">
                  <c:v>679.80922259999909</c:v>
                </c:pt>
                <c:pt idx="56">
                  <c:v>645.43796637298954</c:v>
                </c:pt>
                <c:pt idx="57">
                  <c:v>654.62293835901619</c:v>
                </c:pt>
                <c:pt idx="58">
                  <c:v>663.80525525225971</c:v>
                </c:pt>
                <c:pt idx="59">
                  <c:v>672.98495895127326</c:v>
                </c:pt>
                <c:pt idx="60">
                  <c:v>682.16209011862327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141.53995794626874</c:v>
                </c:pt>
                <c:pt idx="22">
                  <c:v>150.91587256603665</c:v>
                </c:pt>
                <c:pt idx="23">
                  <c:v>160.27790884848653</c:v>
                </c:pt>
                <c:pt idx="24">
                  <c:v>169.62699271854879</c:v>
                </c:pt>
                <c:pt idx="25">
                  <c:v>178.96393954042514</c:v>
                </c:pt>
                <c:pt idx="26">
                  <c:v>188.28947252698083</c:v>
                </c:pt>
                <c:pt idx="27">
                  <c:v>197.60423730399938</c:v>
                </c:pt>
                <c:pt idx="28">
                  <c:v>206.90881357967535</c:v>
                </c:pt>
                <c:pt idx="29">
                  <c:v>216.20372460175963</c:v>
                </c:pt>
                <c:pt idx="30">
                  <c:v>225.48944490087396</c:v>
                </c:pt>
                <c:pt idx="31">
                  <c:v>191.22678192068182</c:v>
                </c:pt>
                <c:pt idx="32">
                  <c:v>201.44863583290206</c:v>
                </c:pt>
                <c:pt idx="33">
                  <c:v>211.65847739890424</c:v>
                </c:pt>
                <c:pt idx="34">
                  <c:v>221.85696824700872</c:v>
                </c:pt>
                <c:pt idx="35">
                  <c:v>232.04470414666477</c:v>
                </c:pt>
                <c:pt idx="36">
                  <c:v>242.22222423091566</c:v>
                </c:pt>
                <c:pt idx="37">
                  <c:v>252.39001858588486</c:v>
                </c:pt>
                <c:pt idx="38">
                  <c:v>262.5485345519366</c:v>
                </c:pt>
                <c:pt idx="39">
                  <c:v>272.698181997635</c:v>
                </c:pt>
                <c:pt idx="40">
                  <c:v>282.83933776674911</c:v>
                </c:pt>
                <c:pt idx="41">
                  <c:v>239.09948720478664</c:v>
                </c:pt>
                <c:pt idx="42">
                  <c:v>250.67926877807716</c:v>
                </c:pt>
                <c:pt idx="43">
                  <c:v>262.24692619519675</c:v>
                </c:pt>
                <c:pt idx="44">
                  <c:v>273.80306989453703</c:v>
                </c:pt>
                <c:pt idx="45">
                  <c:v>285.34825454721044</c:v>
                </c:pt>
                <c:pt idx="46">
                  <c:v>296.88298625047736</c:v>
                </c:pt>
                <c:pt idx="47">
                  <c:v>308.40772854397238</c:v>
                </c:pt>
                <c:pt idx="48">
                  <c:v>319.92290747907685</c:v>
                </c:pt>
                <c:pt idx="49">
                  <c:v>331.42891591987262</c:v>
                </c:pt>
                <c:pt idx="50">
                  <c:v>342.92611721533916</c:v>
                </c:pt>
                <c:pt idx="51">
                  <c:v>289.36149626663558</c:v>
                </c:pt>
                <c:pt idx="52">
                  <c:v>302.89711380319778</c:v>
                </c:pt>
                <c:pt idx="53">
                  <c:v>316.41927606814937</c:v>
                </c:pt>
                <c:pt idx="54">
                  <c:v>329.92863915898073</c:v>
                </c:pt>
                <c:pt idx="55">
                  <c:v>343.42580104652296</c:v>
                </c:pt>
                <c:pt idx="56">
                  <c:v>356.9113088550593</c:v>
                </c:pt>
                <c:pt idx="57">
                  <c:v>370.38566498431487</c:v>
                </c:pt>
                <c:pt idx="58">
                  <c:v>383.84933229384131</c:v>
                </c:pt>
                <c:pt idx="59">
                  <c:v>397.30273852191277</c:v>
                </c:pt>
                <c:pt idx="60">
                  <c:v>410.74628007457636</c:v>
                </c:pt>
                <c:pt idx="61">
                  <c:v>345.42437682332121</c:v>
                </c:pt>
                <c:pt idx="62">
                  <c:v>360.90485169292765</c:v>
                </c:pt>
                <c:pt idx="63">
                  <c:v>376.37081053726496</c:v>
                </c:pt>
                <c:pt idx="64">
                  <c:v>391.82293375011432</c:v>
                </c:pt>
                <c:pt idx="65">
                  <c:v>407.26184368889858</c:v>
                </c:pt>
                <c:pt idx="66">
                  <c:v>422.68811168338465</c:v>
                </c:pt>
                <c:pt idx="67">
                  <c:v>438.10226396786584</c:v>
                </c:pt>
                <c:pt idx="68">
                  <c:v>453.50478673498725</c:v>
                </c:pt>
                <c:pt idx="69">
                  <c:v>468.89613046728778</c:v>
                </c:pt>
                <c:pt idx="70">
                  <c:v>484.27671367046941</c:v>
                </c:pt>
                <c:pt idx="71">
                  <c:v>406.76401460432794</c:v>
                </c:pt>
                <c:pt idx="72">
                  <c:v>423.68293333202683</c:v>
                </c:pt>
                <c:pt idx="73">
                  <c:v>440.58731622566683</c:v>
                </c:pt>
                <c:pt idx="74">
                  <c:v>457.47779928386598</c:v>
                </c:pt>
                <c:pt idx="75">
                  <c:v>474.3549677300561</c:v>
                </c:pt>
                <c:pt idx="76">
                  <c:v>491.21936176570603</c:v>
                </c:pt>
                <c:pt idx="77">
                  <c:v>508.0714814925293</c:v>
                </c:pt>
                <c:pt idx="78">
                  <c:v>524.91179114784052</c:v>
                </c:pt>
                <c:pt idx="79">
                  <c:v>541.74072276829952</c:v>
                </c:pt>
                <c:pt idx="80">
                  <c:v>558.55867937490245</c:v>
                </c:pt>
                <c:pt idx="81">
                  <c:v>466.81149078498834</c:v>
                </c:pt>
                <c:pt idx="82">
                  <c:v>484.07832138643715</c:v>
                </c:pt>
                <c:pt idx="83">
                  <c:v>501.33207604940441</c:v>
                </c:pt>
                <c:pt idx="84">
                  <c:v>518.57326790936384</c:v>
                </c:pt>
                <c:pt idx="85">
                  <c:v>535.80237321728066</c:v>
                </c:pt>
                <c:pt idx="86">
                  <c:v>553.01983511602884</c:v>
                </c:pt>
                <c:pt idx="87">
                  <c:v>570.22606692225338</c:v>
                </c:pt>
                <c:pt idx="88">
                  <c:v>587.42145499171477</c:v>
                </c:pt>
                <c:pt idx="89">
                  <c:v>604.60636123185952</c:v>
                </c:pt>
                <c:pt idx="90">
                  <c:v>621.78112531404122</c:v>
                </c:pt>
                <c:pt idx="91">
                  <c:v>518.47421557137</c:v>
                </c:pt>
                <c:pt idx="92">
                  <c:v>536.79219379540177</c:v>
                </c:pt>
                <c:pt idx="93">
                  <c:v>555.09703728994884</c:v>
                </c:pt>
                <c:pt idx="94">
                  <c:v>573.38923985506744</c:v>
                </c:pt>
                <c:pt idx="95">
                  <c:v>591.66926123844587</c:v>
                </c:pt>
                <c:pt idx="96">
                  <c:v>609.93753048460724</c:v>
                </c:pt>
                <c:pt idx="97">
                  <c:v>628.19444886225506</c:v>
                </c:pt>
                <c:pt idx="98">
                  <c:v>646.44039243384543</c:v>
                </c:pt>
                <c:pt idx="99">
                  <c:v>664.67571432018474</c:v>
                </c:pt>
                <c:pt idx="100">
                  <c:v>682.90074670377828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103.97634269291849</c:v>
                </c:pt>
                <c:pt idx="22">
                  <c:v>110.65058636488233</c:v>
                </c:pt>
                <c:pt idx="23">
                  <c:v>117.31494327401042</c:v>
                </c:pt>
                <c:pt idx="24">
                  <c:v>123.97005543664547</c:v>
                </c:pt>
                <c:pt idx="25">
                  <c:v>130.61649014376766</c:v>
                </c:pt>
                <c:pt idx="26">
                  <c:v>137.25475210550681</c:v>
                </c:pt>
                <c:pt idx="27">
                  <c:v>143.88529311683052</c:v>
                </c:pt>
                <c:pt idx="28">
                  <c:v>150.5085198437738</c:v>
                </c:pt>
                <c:pt idx="29">
                  <c:v>157.12480016409424</c:v>
                </c:pt>
                <c:pt idx="30">
                  <c:v>163.73446838162991</c:v>
                </c:pt>
                <c:pt idx="31">
                  <c:v>138.88758525267161</c:v>
                </c:pt>
                <c:pt idx="32">
                  <c:v>146.02588616688584</c:v>
                </c:pt>
                <c:pt idx="33">
                  <c:v>153.15584611782299</c:v>
                </c:pt>
                <c:pt idx="34">
                  <c:v>160.27790884848659</c:v>
                </c:pt>
                <c:pt idx="35">
                  <c:v>167.39247537038258</c:v>
                </c:pt>
                <c:pt idx="36">
                  <c:v>174.49990976080679</c:v>
                </c:pt>
                <c:pt idx="37">
                  <c:v>181.60054396431892</c:v>
                </c:pt>
                <c:pt idx="38">
                  <c:v>188.6946818025452</c:v>
                </c:pt>
                <c:pt idx="39">
                  <c:v>195.78260234833928</c:v>
                </c:pt>
                <c:pt idx="40">
                  <c:v>202.86456278492429</c:v>
                </c:pt>
                <c:pt idx="41">
                  <c:v>170.31752090038557</c:v>
                </c:pt>
                <c:pt idx="42">
                  <c:v>177.42211899372208</c:v>
                </c:pt>
                <c:pt idx="43">
                  <c:v>184.52004510097296</c:v>
                </c:pt>
                <c:pt idx="44">
                  <c:v>191.61159248461999</c:v>
                </c:pt>
                <c:pt idx="45">
                  <c:v>198.69703089117783</c:v>
                </c:pt>
                <c:pt idx="46">
                  <c:v>205.77660922706232</c:v>
                </c:pt>
                <c:pt idx="47">
                  <c:v>212.85055784636108</c:v>
                </c:pt>
                <c:pt idx="48">
                  <c:v>219.91909051810026</c:v>
                </c:pt>
                <c:pt idx="49">
                  <c:v>226.98240612698837</c:v>
                </c:pt>
                <c:pt idx="50">
                  <c:v>234.04069015109368</c:v>
                </c:pt>
                <c:pt idx="51">
                  <c:v>196.37366466492736</c:v>
                </c:pt>
                <c:pt idx="52">
                  <c:v>204.46630715948697</c:v>
                </c:pt>
                <c:pt idx="53">
                  <c:v>212.55154199309553</c:v>
                </c:pt>
                <c:pt idx="54">
                  <c:v>220.62969104018194</c:v>
                </c:pt>
                <c:pt idx="55">
                  <c:v>228.70105064916831</c:v>
                </c:pt>
                <c:pt idx="56">
                  <c:v>236.76589451621024</c:v>
                </c:pt>
                <c:pt idx="57">
                  <c:v>244.82447614641561</c:v>
                </c:pt>
                <c:pt idx="58">
                  <c:v>252.87703097367589</c:v>
                </c:pt>
                <c:pt idx="59">
                  <c:v>260.92377819605798</c:v>
                </c:pt>
                <c:pt idx="60">
                  <c:v>268.96492237270337</c:v>
                </c:pt>
                <c:pt idx="61">
                  <c:v>223.92280251564239</c:v>
                </c:pt>
                <c:pt idx="62">
                  <c:v>231.48737106803355</c:v>
                </c:pt>
                <c:pt idx="63">
                  <c:v>239.04629192966533</c:v>
                </c:pt>
                <c:pt idx="64">
                  <c:v>246.59976910309135</c:v>
                </c:pt>
                <c:pt idx="65">
                  <c:v>254.14799305718159</c:v>
                </c:pt>
                <c:pt idx="66">
                  <c:v>261.69114200918898</c:v>
                </c:pt>
                <c:pt idx="67">
                  <c:v>269.22938305110239</c:v>
                </c:pt>
                <c:pt idx="68">
                  <c:v>276.76287314312361</c:v>
                </c:pt>
                <c:pt idx="69">
                  <c:v>284.29175999320995</c:v>
                </c:pt>
                <c:pt idx="70">
                  <c:v>291.81618283848496</c:v>
                </c:pt>
                <c:pt idx="71">
                  <c:v>242.4818333471508</c:v>
                </c:pt>
                <c:pt idx="72">
                  <c:v>250.23418898664318</c:v>
                </c:pt>
                <c:pt idx="73">
                  <c:v>257.98109941127854</c:v>
                </c:pt>
                <c:pt idx="74">
                  <c:v>265.7227513878176</c:v>
                </c:pt>
                <c:pt idx="75">
                  <c:v>273.45931989934911</c:v>
                </c:pt>
                <c:pt idx="76">
                  <c:v>281.19096920849364</c:v>
                </c:pt>
                <c:pt idx="77">
                  <c:v>288.91785379744584</c:v>
                </c:pt>
                <c:pt idx="78">
                  <c:v>296.64011920210413</c:v>
                </c:pt>
                <c:pt idx="79">
                  <c:v>304.35790275472783</c:v>
                </c:pt>
                <c:pt idx="80">
                  <c:v>312.07133424726516</c:v>
                </c:pt>
                <c:pt idx="81">
                  <c:v>259.35732887941612</c:v>
                </c:pt>
                <c:pt idx="82">
                  <c:v>267.7010248022313</c:v>
                </c:pt>
                <c:pt idx="83">
                  <c:v>276.03886393285296</c:v>
                </c:pt>
                <c:pt idx="84">
                  <c:v>284.37104830099867</c:v>
                </c:pt>
                <c:pt idx="85">
                  <c:v>292.69776711916074</c:v>
                </c:pt>
                <c:pt idx="86">
                  <c:v>301.0191979452822</c:v>
                </c:pt>
                <c:pt idx="87">
                  <c:v>309.33550771004423</c:v>
                </c:pt>
                <c:pt idx="88">
                  <c:v>317.64685362782365</c:v>
                </c:pt>
                <c:pt idx="89">
                  <c:v>325.95338400725745</c:v>
                </c:pt>
                <c:pt idx="90">
                  <c:v>334.25523897480889</c:v>
                </c:pt>
                <c:pt idx="91">
                  <c:v>277.1783518573211</c:v>
                </c:pt>
                <c:pt idx="92">
                  <c:v>285.50977809311968</c:v>
                </c:pt>
                <c:pt idx="93">
                  <c:v>293.83576371776206</c:v>
                </c:pt>
                <c:pt idx="94">
                  <c:v>302.15648477841569</c:v>
                </c:pt>
                <c:pt idx="95">
                  <c:v>310.47210682600922</c:v>
                </c:pt>
                <c:pt idx="96">
                  <c:v>318.78278581158628</c:v>
                </c:pt>
                <c:pt idx="97">
                  <c:v>327.08866888423671</c:v>
                </c:pt>
                <c:pt idx="98">
                  <c:v>335.38989510368827</c:v>
                </c:pt>
                <c:pt idx="99">
                  <c:v>343.68659607861946</c:v>
                </c:pt>
                <c:pt idx="100">
                  <c:v>351.97889654007889</c:v>
                </c:pt>
                <c:pt idx="101">
                  <c:v>2.282709528541206E-12</c:v>
                </c:pt>
                <c:pt idx="102">
                  <c:v>2.282709528541206E-12</c:v>
                </c:pt>
                <c:pt idx="103">
                  <c:v>2.282709528541206E-12</c:v>
                </c:pt>
                <c:pt idx="104">
                  <c:v>2.282709528541206E-12</c:v>
                </c:pt>
                <c:pt idx="105">
                  <c:v>2.282709528541206E-12</c:v>
                </c:pt>
                <c:pt idx="106">
                  <c:v>2.282709528541206E-12</c:v>
                </c:pt>
                <c:pt idx="107">
                  <c:v>2.282709528541206E-12</c:v>
                </c:pt>
                <c:pt idx="108">
                  <c:v>2.282709528541206E-12</c:v>
                </c:pt>
                <c:pt idx="109">
                  <c:v>2.282709528541206E-12</c:v>
                </c:pt>
                <c:pt idx="110">
                  <c:v>2.282709528541206E-12</c:v>
                </c:pt>
                <c:pt idx="111">
                  <c:v>2.282709528541206E-12</c:v>
                </c:pt>
                <c:pt idx="112">
                  <c:v>2.282709528541206E-12</c:v>
                </c:pt>
                <c:pt idx="113">
                  <c:v>2.282709528541206E-12</c:v>
                </c:pt>
                <c:pt idx="114">
                  <c:v>2.282709528541206E-12</c:v>
                </c:pt>
                <c:pt idx="115">
                  <c:v>2.282709528541206E-12</c:v>
                </c:pt>
                <c:pt idx="116">
                  <c:v>2.282709528541206E-12</c:v>
                </c:pt>
                <c:pt idx="117">
                  <c:v>2.282709528541206E-12</c:v>
                </c:pt>
                <c:pt idx="118">
                  <c:v>2.282709528541206E-12</c:v>
                </c:pt>
                <c:pt idx="119">
                  <c:v>2.282709528541206E-12</c:v>
                </c:pt>
                <c:pt idx="120">
                  <c:v>2.282709528541206E-12</c:v>
                </c:pt>
                <c:pt idx="121">
                  <c:v>2.282709528541206E-12</c:v>
                </c:pt>
                <c:pt idx="122">
                  <c:v>2.282709528541206E-12</c:v>
                </c:pt>
                <c:pt idx="123">
                  <c:v>2.282709528541206E-12</c:v>
                </c:pt>
                <c:pt idx="124">
                  <c:v>2.282709528541206E-12</c:v>
                </c:pt>
                <c:pt idx="125">
                  <c:v>2.282709528541206E-12</c:v>
                </c:pt>
                <c:pt idx="126">
                  <c:v>2.282709528541206E-12</c:v>
                </c:pt>
                <c:pt idx="127">
                  <c:v>2.282709528541206E-12</c:v>
                </c:pt>
                <c:pt idx="128">
                  <c:v>2.282709528541206E-12</c:v>
                </c:pt>
                <c:pt idx="129">
                  <c:v>2.282709528541206E-12</c:v>
                </c:pt>
                <c:pt idx="130">
                  <c:v>2.282709528541206E-12</c:v>
                </c:pt>
                <c:pt idx="131">
                  <c:v>2.282709528541206E-12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8.9705016768752994</c:v>
                </c:pt>
                <c:pt idx="2">
                  <c:v>17.546609126217092</c:v>
                </c:pt>
                <c:pt idx="3">
                  <c:v>25.995347037417329</c:v>
                </c:pt>
                <c:pt idx="4">
                  <c:v>34.365571401744887</c:v>
                </c:pt>
                <c:pt idx="5">
                  <c:v>42.679425356048093</c:v>
                </c:pt>
                <c:pt idx="6">
                  <c:v>50.949540270087056</c:v>
                </c:pt>
                <c:pt idx="7">
                  <c:v>59.184059099547028</c:v>
                </c:pt>
                <c:pt idx="8">
                  <c:v>67.388653734546565</c:v>
                </c:pt>
                <c:pt idx="9">
                  <c:v>75.567493086474954</c:v>
                </c:pt>
                <c:pt idx="10">
                  <c:v>83.723765293139451</c:v>
                </c:pt>
                <c:pt idx="11">
                  <c:v>91.859983966983052</c:v>
                </c:pt>
                <c:pt idx="12">
                  <c:v>99.97817948681525</c:v>
                </c:pt>
                <c:pt idx="13">
                  <c:v>108.08002453818297</c:v>
                </c:pt>
                <c:pt idx="14">
                  <c:v>116.16691985204095</c:v>
                </c:pt>
                <c:pt idx="15">
                  <c:v>124.24005471606147</c:v>
                </c:pt>
                <c:pt idx="16">
                  <c:v>132.30045087509458</c:v>
                </c:pt>
                <c:pt idx="17">
                  <c:v>140.3489951372336</c:v>
                </c:pt>
                <c:pt idx="18">
                  <c:v>148.38646408650956</c:v>
                </c:pt>
                <c:pt idx="19">
                  <c:v>156.41354314643351</c:v>
                </c:pt>
                <c:pt idx="20">
                  <c:v>164.43084151566924</c:v>
                </c:pt>
                <c:pt idx="21">
                  <c:v>172.43890403168166</c:v>
                </c:pt>
                <c:pt idx="22">
                  <c:v>180.43822071061652</c:v>
                </c:pt>
                <c:pt idx="23">
                  <c:v>188.42923450362585</c:v>
                </c:pt>
                <c:pt idx="24">
                  <c:v>196.41234766620448</c:v>
                </c:pt>
                <c:pt idx="25">
                  <c:v>204.3879270360575</c:v>
                </c:pt>
                <c:pt idx="26">
                  <c:v>212.35630844273882</c:v>
                </c:pt>
                <c:pt idx="27">
                  <c:v>220.31780041980201</c:v>
                </c:pt>
                <c:pt idx="28">
                  <c:v>228.27268735154249</c:v>
                </c:pt>
                <c:pt idx="29">
                  <c:v>236.22123215757321</c:v>
                </c:pt>
                <c:pt idx="30">
                  <c:v>244.16367859671081</c:v>
                </c:pt>
                <c:pt idx="31">
                  <c:v>252.10025325504773</c:v>
                </c:pt>
                <c:pt idx="32">
                  <c:v>260.0311672702926</c:v>
                </c:pt>
                <c:pt idx="33">
                  <c:v>267.95661783451357</c:v>
                </c:pt>
                <c:pt idx="34">
                  <c:v>275.87678950961254</c:v>
                </c:pt>
                <c:pt idx="35">
                  <c:v>283.79185538368898</c:v>
                </c:pt>
                <c:pt idx="36">
                  <c:v>291.70197809153416</c:v>
                </c:pt>
                <c:pt idx="37">
                  <c:v>232.52077446178714</c:v>
                </c:pt>
                <c:pt idx="38">
                  <c:v>251.79743575844546</c:v>
                </c:pt>
                <c:pt idx="39">
                  <c:v>271.04066120050413</c:v>
                </c:pt>
                <c:pt idx="40">
                  <c:v>290.25315809891384</c:v>
                </c:pt>
                <c:pt idx="41">
                  <c:v>309.43724602075218</c:v>
                </c:pt>
                <c:pt idx="42">
                  <c:v>328.5949334270008</c:v>
                </c:pt>
                <c:pt idx="43">
                  <c:v>257.61010240052866</c:v>
                </c:pt>
                <c:pt idx="44">
                  <c:v>275.75590966526011</c:v>
                </c:pt>
                <c:pt idx="45">
                  <c:v>293.87490695294508</c:v>
                </c:pt>
                <c:pt idx="46">
                  <c:v>311.96897948224768</c:v>
                </c:pt>
                <c:pt idx="47">
                  <c:v>330.03977592523006</c:v>
                </c:pt>
                <c:pt idx="48">
                  <c:v>348.08874968614617</c:v>
                </c:pt>
                <c:pt idx="49">
                  <c:v>276.11854562923963</c:v>
                </c:pt>
                <c:pt idx="50">
                  <c:v>293.15063733120456</c:v>
                </c:pt>
                <c:pt idx="51">
                  <c:v>310.16064520628476</c:v>
                </c:pt>
                <c:pt idx="52">
                  <c:v>327.14995064741169</c:v>
                </c:pt>
                <c:pt idx="53">
                  <c:v>344.11977986113669</c:v>
                </c:pt>
                <c:pt idx="54">
                  <c:v>361.07122825453945</c:v>
                </c:pt>
                <c:pt idx="55">
                  <c:v>310.43191023675962</c:v>
                </c:pt>
                <c:pt idx="56">
                  <c:v>326.96931790120061</c:v>
                </c:pt>
                <c:pt idx="57">
                  <c:v>343.4882604011907</c:v>
                </c:pt>
                <c:pt idx="58">
                  <c:v>359.98975059125655</c:v>
                </c:pt>
                <c:pt idx="59">
                  <c:v>376.4747009018493</c:v>
                </c:pt>
                <c:pt idx="60">
                  <c:v>392.94393734930185</c:v>
                </c:pt>
                <c:pt idx="61">
                  <c:v>409.39821107402508</c:v>
                </c:pt>
                <c:pt idx="62">
                  <c:v>425.83820792683758</c:v>
                </c:pt>
                <c:pt idx="63">
                  <c:v>359.44898511635239</c:v>
                </c:pt>
                <c:pt idx="64">
                  <c:v>377.28502432944293</c:v>
                </c:pt>
                <c:pt idx="65">
                  <c:v>395.10271202061523</c:v>
                </c:pt>
                <c:pt idx="66">
                  <c:v>412.90299192267599</c:v>
                </c:pt>
                <c:pt idx="67">
                  <c:v>430.68671978962089</c:v>
                </c:pt>
                <c:pt idx="68">
                  <c:v>448.45467496742816</c:v>
                </c:pt>
                <c:pt idx="69">
                  <c:v>466.20757003567542</c:v>
                </c:pt>
                <c:pt idx="70">
                  <c:v>483.94605890429256</c:v>
                </c:pt>
                <c:pt idx="71">
                  <c:v>385.92613449835807</c:v>
                </c:pt>
                <c:pt idx="72">
                  <c:v>402.11697226951833</c:v>
                </c:pt>
                <c:pt idx="73">
                  <c:v>418.29371114648802</c:v>
                </c:pt>
                <c:pt idx="74">
                  <c:v>434.45697298266236</c:v>
                </c:pt>
                <c:pt idx="75">
                  <c:v>450.60732960038746</c:v>
                </c:pt>
                <c:pt idx="76">
                  <c:v>466.74530850225375</c:v>
                </c:pt>
                <c:pt idx="77">
                  <c:v>482.87139775147739</c:v>
                </c:pt>
                <c:pt idx="78">
                  <c:v>498.98605016652118</c:v>
                </c:pt>
                <c:pt idx="79">
                  <c:v>422.4854566524977</c:v>
                </c:pt>
                <c:pt idx="80">
                  <c:v>436.3717527796673</c:v>
                </c:pt>
                <c:pt idx="81">
                  <c:v>450.24856913782986</c:v>
                </c:pt>
                <c:pt idx="82">
                  <c:v>464.1162390099027</c:v>
                </c:pt>
                <c:pt idx="83">
                  <c:v>477.97507414086618</c:v>
                </c:pt>
                <c:pt idx="84">
                  <c:v>491.82536672682346</c:v>
                </c:pt>
                <c:pt idx="85">
                  <c:v>505.66739116837579</c:v>
                </c:pt>
                <c:pt idx="86">
                  <c:v>519.50140562205922</c:v>
                </c:pt>
                <c:pt idx="87">
                  <c:v>533.32765337796343</c:v>
                </c:pt>
                <c:pt idx="88">
                  <c:v>462.65816365678046</c:v>
                </c:pt>
                <c:pt idx="89">
                  <c:v>475.77735351010136</c:v>
                </c:pt>
                <c:pt idx="90">
                  <c:v>488.88884929936859</c:v>
                </c:pt>
                <c:pt idx="91">
                  <c:v>501.99288641186837</c:v>
                </c:pt>
                <c:pt idx="92">
                  <c:v>515.08968694578687</c:v>
                </c:pt>
                <c:pt idx="93">
                  <c:v>528.17946078637067</c:v>
                </c:pt>
                <c:pt idx="94">
                  <c:v>541.26240656987477</c:v>
                </c:pt>
                <c:pt idx="95">
                  <c:v>554.33871254949077</c:v>
                </c:pt>
                <c:pt idx="96">
                  <c:v>567.40855737534116</c:v>
                </c:pt>
                <c:pt idx="97">
                  <c:v>580.47211079889223</c:v>
                </c:pt>
                <c:pt idx="98">
                  <c:v>504.14039309116305</c:v>
                </c:pt>
                <c:pt idx="99">
                  <c:v>517.87989315697916</c:v>
                </c:pt>
                <c:pt idx="100">
                  <c:v>531.61170588461948</c:v>
                </c:pt>
                <c:pt idx="101">
                  <c:v>545.33605775741557</c:v>
                </c:pt>
                <c:pt idx="102">
                  <c:v>559.05316293312819</c:v>
                </c:pt>
                <c:pt idx="103">
                  <c:v>572.7632242069983</c:v>
                </c:pt>
                <c:pt idx="104">
                  <c:v>586.46643387782899</c:v>
                </c:pt>
                <c:pt idx="105">
                  <c:v>600.16297452894207</c:v>
                </c:pt>
                <c:pt idx="106">
                  <c:v>613.85301973416733</c:v>
                </c:pt>
                <c:pt idx="107">
                  <c:v>627.53673469761077</c:v>
                </c:pt>
                <c:pt idx="108">
                  <c:v>543.62091435600803</c:v>
                </c:pt>
                <c:pt idx="109">
                  <c:v>558.19605227369834</c:v>
                </c:pt>
                <c:pt idx="110">
                  <c:v>572.76322420699819</c:v>
                </c:pt>
                <c:pt idx="111">
                  <c:v>587.32266120507222</c:v>
                </c:pt>
                <c:pt idx="112">
                  <c:v>601.87458193334146</c:v>
                </c:pt>
                <c:pt idx="113">
                  <c:v>616.41919362679619</c:v>
                </c:pt>
                <c:pt idx="114">
                  <c:v>630.95669294869867</c:v>
                </c:pt>
                <c:pt idx="115">
                  <c:v>645.48726676607725</c:v>
                </c:pt>
                <c:pt idx="116">
                  <c:v>660.01109285180166</c:v>
                </c:pt>
                <c:pt idx="117">
                  <c:v>674.52834052168362</c:v>
                </c:pt>
                <c:pt idx="118">
                  <c:v>591.35371612839936</c:v>
                </c:pt>
                <c:pt idx="119">
                  <c:v>604.37049483766395</c:v>
                </c:pt>
                <c:pt idx="120">
                  <c:v>617.38145168282813</c:v>
                </c:pt>
                <c:pt idx="121">
                  <c:v>630.38672659452925</c:v>
                </c:pt>
                <c:pt idx="122">
                  <c:v>643.38645326144604</c:v>
                </c:pt>
                <c:pt idx="123">
                  <c:v>656.38075953186183</c:v>
                </c:pt>
                <c:pt idx="124">
                  <c:v>669.36976778179371</c:v>
                </c:pt>
                <c:pt idx="125">
                  <c:v>682.35359525307842</c:v>
                </c:pt>
                <c:pt idx="126">
                  <c:v>695.33235436440111</c:v>
                </c:pt>
                <c:pt idx="127">
                  <c:v>708.30615299791043</c:v>
                </c:pt>
                <c:pt idx="128">
                  <c:v>721.27509476375678</c:v>
                </c:pt>
                <c:pt idx="129">
                  <c:v>734.23927924462521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2.751691354333492</c:v>
                </c:pt>
                <c:pt idx="2">
                  <c:v>3.710037021750018</c:v>
                </c:pt>
                <c:pt idx="3">
                  <c:v>5.0035331769911888</c:v>
                </c:pt>
                <c:pt idx="4">
                  <c:v>6.7498424700637782</c:v>
                </c:pt>
                <c:pt idx="5">
                  <c:v>9.108084706796939</c:v>
                </c:pt>
                <c:pt idx="6">
                  <c:v>12.293492378671379</c:v>
                </c:pt>
                <c:pt idx="7">
                  <c:v>16.597262852480984</c:v>
                </c:pt>
                <c:pt idx="8">
                  <c:v>22.413454999221045</c:v>
                </c:pt>
                <c:pt idx="9">
                  <c:v>30.275436708375679</c:v>
                </c:pt>
                <c:pt idx="10">
                  <c:v>40.905283723170648</c:v>
                </c:pt>
                <c:pt idx="11">
                  <c:v>55.280743789127342</c:v>
                </c:pt>
                <c:pt idx="12">
                  <c:v>74.726027691265656</c:v>
                </c:pt>
                <c:pt idx="13">
                  <c:v>101.03492589122233</c:v>
                </c:pt>
                <c:pt idx="14">
                  <c:v>136.63778751706764</c:v>
                </c:pt>
                <c:pt idx="15">
                  <c:v>184.82802465357409</c:v>
                </c:pt>
                <c:pt idx="16">
                  <c:v>167.45198863104181</c:v>
                </c:pt>
                <c:pt idx="17">
                  <c:v>184.57406084467752</c:v>
                </c:pt>
                <c:pt idx="18">
                  <c:v>201.65902172556949</c:v>
                </c:pt>
                <c:pt idx="19">
                  <c:v>218.71045882012939</c:v>
                </c:pt>
                <c:pt idx="20">
                  <c:v>235.73135400832163</c:v>
                </c:pt>
                <c:pt idx="21">
                  <c:v>252.72422306504282</c:v>
                </c:pt>
                <c:pt idx="22">
                  <c:v>269.69121563899404</c:v>
                </c:pt>
                <c:pt idx="23">
                  <c:v>286.6341887117332</c:v>
                </c:pt>
                <c:pt idx="24">
                  <c:v>303.55476175569521</c:v>
                </c:pt>
                <c:pt idx="25">
                  <c:v>320.45435893748851</c:v>
                </c:pt>
                <c:pt idx="26">
                  <c:v>289.4766469753875</c:v>
                </c:pt>
                <c:pt idx="27">
                  <c:v>310.69859535606139</c:v>
                </c:pt>
                <c:pt idx="28">
                  <c:v>331.8883798490761</c:v>
                </c:pt>
                <c:pt idx="29">
                  <c:v>353.04834173784343</c:v>
                </c:pt>
                <c:pt idx="30">
                  <c:v>374.18051881843195</c:v>
                </c:pt>
                <c:pt idx="31">
                  <c:v>395.28670001215704</c:v>
                </c:pt>
                <c:pt idx="32">
                  <c:v>416.36846770005076</c:v>
                </c:pt>
                <c:pt idx="33">
                  <c:v>437.42723103386999</c:v>
                </c:pt>
                <c:pt idx="34">
                  <c:v>458.46425249737496</c:v>
                </c:pt>
                <c:pt idx="35">
                  <c:v>479.48066933861418</c:v>
                </c:pt>
                <c:pt idx="36">
                  <c:v>426.60863768014588</c:v>
                </c:pt>
                <c:pt idx="37">
                  <c:v>451.92643642132202</c:v>
                </c:pt>
                <c:pt idx="38">
                  <c:v>477.21391692684892</c:v>
                </c:pt>
                <c:pt idx="39">
                  <c:v>502.47290995344275</c:v>
                </c:pt>
                <c:pt idx="40">
                  <c:v>527.70504735651855</c:v>
                </c:pt>
                <c:pt idx="41">
                  <c:v>552.91179236780033</c:v>
                </c:pt>
                <c:pt idx="42">
                  <c:v>578.09446406654558</c:v>
                </c:pt>
                <c:pt idx="43">
                  <c:v>603.25425736719342</c:v>
                </c:pt>
                <c:pt idx="44">
                  <c:v>628.39225950123728</c:v>
                </c:pt>
                <c:pt idx="45">
                  <c:v>653.50946372656438</c:v>
                </c:pt>
                <c:pt idx="46">
                  <c:v>575.74675353077407</c:v>
                </c:pt>
                <c:pt idx="47">
                  <c:v>604.63439023744979</c:v>
                </c:pt>
                <c:pt idx="48">
                  <c:v>633.49337261490382</c:v>
                </c:pt>
                <c:pt idx="49">
                  <c:v>662.32518765439261</c:v>
                </c:pt>
                <c:pt idx="50">
                  <c:v>691.13118251514391</c:v>
                </c:pt>
                <c:pt idx="51">
                  <c:v>719.91258306834868</c:v>
                </c:pt>
                <c:pt idx="52">
                  <c:v>748.6705093245738</c:v>
                </c:pt>
                <c:pt idx="53">
                  <c:v>777.40598837022935</c:v>
                </c:pt>
                <c:pt idx="54">
                  <c:v>806.1199652942305</c:v>
                </c:pt>
                <c:pt idx="55">
                  <c:v>834.81331247891751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2.2453918265601698</c:v>
                </c:pt>
                <c:pt idx="2">
                  <c:v>2.9777951721659686</c:v>
                </c:pt>
                <c:pt idx="3">
                  <c:v>3.9500796668551783</c:v>
                </c:pt>
                <c:pt idx="4">
                  <c:v>5.2411166469382451</c:v>
                </c:pt>
                <c:pt idx="5">
                  <c:v>6.955803238957059</c:v>
                </c:pt>
                <c:pt idx="6">
                  <c:v>9.2336788861178132</c:v>
                </c:pt>
                <c:pt idx="7">
                  <c:v>12.260403324381764</c:v>
                </c:pt>
                <c:pt idx="8">
                  <c:v>16.283048913693658</c:v>
                </c:pt>
                <c:pt idx="9">
                  <c:v>21.630478364922805</c:v>
                </c:pt>
                <c:pt idx="10">
                  <c:v>28.740503492899339</c:v>
                </c:pt>
                <c:pt idx="11">
                  <c:v>38.196087365621416</c:v>
                </c:pt>
                <c:pt idx="12">
                  <c:v>50.773608795368062</c:v>
                </c:pt>
                <c:pt idx="13">
                  <c:v>67.507218240717151</c:v>
                </c:pt>
                <c:pt idx="14">
                  <c:v>89.774662990732452</c:v>
                </c:pt>
                <c:pt idx="15">
                  <c:v>119.41176074745134</c:v>
                </c:pt>
                <c:pt idx="16">
                  <c:v>111.37162170978574</c:v>
                </c:pt>
                <c:pt idx="17">
                  <c:v>122.72479242130721</c:v>
                </c:pt>
                <c:pt idx="18">
                  <c:v>134.05242394386823</c:v>
                </c:pt>
                <c:pt idx="19">
                  <c:v>145.35698107316722</c:v>
                </c:pt>
                <c:pt idx="20">
                  <c:v>156.64051311970584</c:v>
                </c:pt>
                <c:pt idx="21">
                  <c:v>167.90474951227165</c:v>
                </c:pt>
                <c:pt idx="22">
                  <c:v>179.15116832198888</c:v>
                </c:pt>
                <c:pt idx="23">
                  <c:v>190.38104663244076</c:v>
                </c:pt>
                <c:pt idx="24">
                  <c:v>201.59549837545629</c:v>
                </c:pt>
                <c:pt idx="25">
                  <c:v>212.79550329024411</c:v>
                </c:pt>
                <c:pt idx="26">
                  <c:v>192.21572565242215</c:v>
                </c:pt>
                <c:pt idx="27">
                  <c:v>206.26723190219673</c:v>
                </c:pt>
                <c:pt idx="28">
                  <c:v>220.29662042487041</c:v>
                </c:pt>
                <c:pt idx="29">
                  <c:v>234.30549863763744</c:v>
                </c:pt>
                <c:pt idx="30">
                  <c:v>248.29526591150952</c:v>
                </c:pt>
                <c:pt idx="31">
                  <c:v>262.2671509559936</c:v>
                </c:pt>
                <c:pt idx="32">
                  <c:v>276.22224081018226</c:v>
                </c:pt>
                <c:pt idx="33">
                  <c:v>290.16150366236747</c:v>
                </c:pt>
                <c:pt idx="34">
                  <c:v>304.08580705137939</c:v>
                </c:pt>
                <c:pt idx="35">
                  <c:v>317.99593255730014</c:v>
                </c:pt>
                <c:pt idx="36">
                  <c:v>282.93254176400507</c:v>
                </c:pt>
                <c:pt idx="37">
                  <c:v>299.67985371950846</c:v>
                </c:pt>
                <c:pt idx="38">
                  <c:v>316.40632494677362</c:v>
                </c:pt>
                <c:pt idx="39">
                  <c:v>333.11321206854495</c:v>
                </c:pt>
                <c:pt idx="40">
                  <c:v>349.80163537196995</c:v>
                </c:pt>
                <c:pt idx="41">
                  <c:v>366.47259953479278</c:v>
                </c:pt>
                <c:pt idx="42">
                  <c:v>383.12701038185992</c:v>
                </c:pt>
                <c:pt idx="43">
                  <c:v>399.76568857522125</c:v>
                </c:pt>
                <c:pt idx="44">
                  <c:v>416.38938090579137</c:v>
                </c:pt>
                <c:pt idx="45">
                  <c:v>432.99876968765869</c:v>
                </c:pt>
                <c:pt idx="46">
                  <c:v>381.83324136000505</c:v>
                </c:pt>
                <c:pt idx="47">
                  <c:v>401.27039203732812</c:v>
                </c:pt>
                <c:pt idx="48">
                  <c:v>420.68717680703077</c:v>
                </c:pt>
                <c:pt idx="49">
                  <c:v>440.08466738466149</c:v>
                </c:pt>
                <c:pt idx="50">
                  <c:v>459.46383335228717</c:v>
                </c:pt>
                <c:pt idx="51">
                  <c:v>478.82555587711357</c:v>
                </c:pt>
                <c:pt idx="52">
                  <c:v>498.17063909607168</c:v>
                </c:pt>
                <c:pt idx="53">
                  <c:v>517.4998196404714</c:v>
                </c:pt>
                <c:pt idx="54">
                  <c:v>536.81377466406582</c:v>
                </c:pt>
                <c:pt idx="55">
                  <c:v>556.1131286561257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77" t="s">
        <v>291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</row>
    <row r="13" spans="2:13" ht="15" customHeight="1" x14ac:dyDescent="0.2"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</row>
    <row r="14" spans="2:13" ht="15" customHeight="1" x14ac:dyDescent="0.2"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</row>
    <row r="15" spans="2:13" ht="18.75" customHeight="1" x14ac:dyDescent="0.2"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</row>
    <row r="16" spans="2:13" ht="18.75" customHeight="1" x14ac:dyDescent="0.2"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</row>
    <row r="18" spans="2:13" ht="12" customHeight="1" x14ac:dyDescent="0.2">
      <c r="B18" s="277" t="s">
        <v>292</v>
      </c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</row>
    <row r="19" spans="2:13" ht="12" customHeight="1" x14ac:dyDescent="0.2"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</row>
    <row r="20" spans="2:13" ht="12" customHeight="1" x14ac:dyDescent="0.2"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</row>
    <row r="21" spans="2:13" ht="12" customHeight="1" x14ac:dyDescent="0.2"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</row>
    <row r="22" spans="2:13" ht="12" customHeight="1" x14ac:dyDescent="0.2"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</row>
    <row r="23" spans="2:13" ht="12" customHeight="1" x14ac:dyDescent="0.2"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</row>
    <row r="24" spans="2:13" ht="12" customHeight="1" x14ac:dyDescent="0.2"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</row>
    <row r="25" spans="2:13" ht="12" customHeight="1" x14ac:dyDescent="0.2"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</row>
    <row r="26" spans="2:13" ht="12" customHeight="1" x14ac:dyDescent="0.2"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2:13" ht="12" customHeight="1" x14ac:dyDescent="0.2"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</row>
    <row r="28" spans="2:13" ht="12" customHeight="1" x14ac:dyDescent="0.2"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</row>
    <row r="29" spans="2:13" ht="12" customHeight="1" x14ac:dyDescent="0.2"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</row>
    <row r="30" spans="2:13" ht="12" customHeight="1" x14ac:dyDescent="0.2"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</row>
    <row r="31" spans="2:13" ht="12" customHeight="1" x14ac:dyDescent="0.2"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B9" sqref="B9:D1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78" t="s">
        <v>190</v>
      </c>
      <c r="D1" s="278"/>
      <c r="E1" s="27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83" t="s">
        <v>192</v>
      </c>
      <c r="C3" s="284"/>
      <c r="D3" s="284"/>
      <c r="E3" s="284"/>
      <c r="F3" s="28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88" t="s">
        <v>231</v>
      </c>
      <c r="B5" s="288"/>
      <c r="C5" s="24">
        <v>15.56</v>
      </c>
      <c r="D5" s="289" t="s">
        <v>229</v>
      </c>
      <c r="E5" s="29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87" t="s">
        <v>226</v>
      </c>
      <c r="B7" s="28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35</v>
      </c>
      <c r="C9" s="32">
        <v>0.44987146529562988</v>
      </c>
      <c r="D9" s="33">
        <f t="shared" ref="D9:D18" si="0">C9*$C$5</f>
        <v>7.0000000000000009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35</v>
      </c>
      <c r="C10" s="32">
        <v>3.3419023136246791E-2</v>
      </c>
      <c r="D10" s="33">
        <f t="shared" si="0"/>
        <v>0.52000000000000013</v>
      </c>
      <c r="E10" s="34">
        <v>82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18</v>
      </c>
      <c r="C11" s="32">
        <v>9.640102827763497E-2</v>
      </c>
      <c r="D11" s="33">
        <f t="shared" si="0"/>
        <v>1.5000000000000002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164</v>
      </c>
      <c r="C12" s="32">
        <v>0.25128534704370181</v>
      </c>
      <c r="D12" s="33">
        <f t="shared" si="0"/>
        <v>3.91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164</v>
      </c>
      <c r="C13" s="32">
        <v>1.2853470437017997E-2</v>
      </c>
      <c r="D13" s="33">
        <f t="shared" si="0"/>
        <v>0.20000000000000004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12</v>
      </c>
      <c r="C14" s="32">
        <v>5.7840616966580976E-3</v>
      </c>
      <c r="D14" s="33">
        <f t="shared" si="0"/>
        <v>0.09</v>
      </c>
      <c r="E14" s="34">
        <v>129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22</v>
      </c>
      <c r="C15" s="32">
        <v>0.14717223650385605</v>
      </c>
      <c r="D15" s="33">
        <f t="shared" si="0"/>
        <v>2.29</v>
      </c>
      <c r="E15" s="34">
        <v>55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98</v>
      </c>
      <c r="C16" s="32">
        <v>3.2133676092544992E-3</v>
      </c>
      <c r="D16" s="33">
        <f t="shared" si="0"/>
        <v>5.000000000000001E-2</v>
      </c>
      <c r="E16" s="34">
        <v>55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15.560000000000002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86" t="s">
        <v>232</v>
      </c>
      <c r="B22" s="28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87" t="s">
        <v>227</v>
      </c>
      <c r="B30" s="28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laricio</v>
      </c>
      <c r="C32" s="257" t="s">
        <v>325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79" t="s">
        <v>186</v>
      </c>
      <c r="D34" s="279"/>
      <c r="E34" s="280" t="s">
        <v>187</v>
      </c>
      <c r="F34" s="281"/>
      <c r="G34" s="281"/>
      <c r="H34" s="28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258">
        <v>17</v>
      </c>
      <c r="B36" s="259">
        <v>118</v>
      </c>
      <c r="C36" s="260">
        <v>1</v>
      </c>
      <c r="D36" s="259">
        <v>15</v>
      </c>
      <c r="E36" s="261">
        <v>0</v>
      </c>
      <c r="F36" s="261">
        <v>0.56000000000000005</v>
      </c>
      <c r="G36" s="261">
        <v>0.44</v>
      </c>
      <c r="H36" s="261">
        <v>0</v>
      </c>
      <c r="I36" s="49">
        <f>IFERROR(B36/A36,"")</f>
        <v>6.9411764705882355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258">
        <v>20</v>
      </c>
      <c r="B37" s="259">
        <v>137</v>
      </c>
      <c r="C37" s="260">
        <v>2</v>
      </c>
      <c r="D37" s="259">
        <v>15</v>
      </c>
      <c r="E37" s="261">
        <v>0.7</v>
      </c>
      <c r="F37" s="261">
        <v>0.16800000000000001</v>
      </c>
      <c r="G37" s="261">
        <v>0.13200000000000001</v>
      </c>
      <c r="H37" s="261">
        <v>0</v>
      </c>
      <c r="I37" s="53">
        <f t="shared" ref="I37:I55" si="1">IF(A37&lt;&gt;0,(B37-(B36-D36))/(A37-A36),"")</f>
        <v>11.333333333333334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258">
        <v>25</v>
      </c>
      <c r="B38" s="259">
        <v>204</v>
      </c>
      <c r="C38" s="260">
        <v>3</v>
      </c>
      <c r="D38" s="259">
        <v>36</v>
      </c>
      <c r="E38" s="261">
        <v>0.7</v>
      </c>
      <c r="F38" s="261">
        <v>0.16800000000000001</v>
      </c>
      <c r="G38" s="261">
        <v>0.13200000000000001</v>
      </c>
      <c r="H38" s="261">
        <v>0</v>
      </c>
      <c r="I38" s="53">
        <f t="shared" si="1"/>
        <v>16.399999999999999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258">
        <v>30</v>
      </c>
      <c r="B39" s="259">
        <v>256</v>
      </c>
      <c r="C39" s="260">
        <v>4</v>
      </c>
      <c r="D39" s="259">
        <v>54</v>
      </c>
      <c r="E39" s="261">
        <v>0.7</v>
      </c>
      <c r="F39" s="261">
        <v>0.16800000000000001</v>
      </c>
      <c r="G39" s="261">
        <v>0.13200000000000001</v>
      </c>
      <c r="H39" s="261">
        <v>0</v>
      </c>
      <c r="I39" s="49">
        <f t="shared" si="1"/>
        <v>17.600000000000001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258">
        <v>35</v>
      </c>
      <c r="B40" s="259">
        <v>299</v>
      </c>
      <c r="C40" s="260">
        <v>5</v>
      </c>
      <c r="D40" s="259">
        <v>55</v>
      </c>
      <c r="E40" s="261">
        <v>0.7</v>
      </c>
      <c r="F40" s="261">
        <v>0.16800000000000001</v>
      </c>
      <c r="G40" s="261">
        <v>0.13200000000000001</v>
      </c>
      <c r="H40" s="261">
        <v>0</v>
      </c>
      <c r="I40" s="49">
        <f t="shared" si="1"/>
        <v>19.399999999999999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258">
        <v>40</v>
      </c>
      <c r="B41" s="259">
        <v>332</v>
      </c>
      <c r="C41" s="260">
        <v>6</v>
      </c>
      <c r="D41" s="259">
        <v>48</v>
      </c>
      <c r="E41" s="261">
        <v>0.7</v>
      </c>
      <c r="F41" s="261">
        <v>0.16800000000000001</v>
      </c>
      <c r="G41" s="261">
        <v>0.13200000000000001</v>
      </c>
      <c r="H41" s="261">
        <v>0</v>
      </c>
      <c r="I41" s="53">
        <f t="shared" si="1"/>
        <v>17.600000000000001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258">
        <v>45</v>
      </c>
      <c r="B42" s="259">
        <v>384</v>
      </c>
      <c r="C42" s="260">
        <v>7</v>
      </c>
      <c r="D42" s="259">
        <v>57</v>
      </c>
      <c r="E42" s="261">
        <v>0.7</v>
      </c>
      <c r="F42" s="261">
        <v>0.16800000000000001</v>
      </c>
      <c r="G42" s="261">
        <v>0.13200000000000001</v>
      </c>
      <c r="H42" s="261">
        <v>0</v>
      </c>
      <c r="I42" s="53">
        <f t="shared" si="1"/>
        <v>20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258">
        <v>50</v>
      </c>
      <c r="B43" s="259">
        <v>414</v>
      </c>
      <c r="C43" s="260">
        <v>8</v>
      </c>
      <c r="D43" s="259">
        <v>47</v>
      </c>
      <c r="E43" s="261">
        <v>0.7</v>
      </c>
      <c r="F43" s="261">
        <v>0.16800000000000001</v>
      </c>
      <c r="G43" s="261">
        <v>0.13200000000000001</v>
      </c>
      <c r="H43" s="261">
        <v>0</v>
      </c>
      <c r="I43" s="49">
        <f t="shared" si="1"/>
        <v>17.399999999999999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258">
        <v>55</v>
      </c>
      <c r="B44" s="259">
        <v>463</v>
      </c>
      <c r="C44" s="260">
        <v>9</v>
      </c>
      <c r="D44" s="259">
        <v>48</v>
      </c>
      <c r="E44" s="261">
        <v>0.7</v>
      </c>
      <c r="F44" s="261">
        <v>0.16800000000000001</v>
      </c>
      <c r="G44" s="261">
        <v>0.13200000000000001</v>
      </c>
      <c r="H44" s="261">
        <v>0</v>
      </c>
      <c r="I44" s="49">
        <f t="shared" si="1"/>
        <v>19.2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258">
        <v>60</v>
      </c>
      <c r="B45" s="259">
        <v>500</v>
      </c>
      <c r="C45" s="260">
        <v>10</v>
      </c>
      <c r="D45" s="259">
        <v>32</v>
      </c>
      <c r="E45" s="261">
        <v>0.7</v>
      </c>
      <c r="F45" s="261">
        <v>0.16800000000000001</v>
      </c>
      <c r="G45" s="261">
        <v>0.13200000000000001</v>
      </c>
      <c r="H45" s="261">
        <v>0</v>
      </c>
      <c r="I45" s="49">
        <f t="shared" si="1"/>
        <v>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258">
        <v>65</v>
      </c>
      <c r="B46" s="259">
        <v>555</v>
      </c>
      <c r="C46" s="260" t="s">
        <v>326</v>
      </c>
      <c r="D46" s="259">
        <f>527+28</f>
        <v>555</v>
      </c>
      <c r="E46" s="261">
        <v>0.7</v>
      </c>
      <c r="F46" s="261">
        <v>0.16800000000000001</v>
      </c>
      <c r="G46" s="261">
        <v>0.13200000000000001</v>
      </c>
      <c r="H46" s="261">
        <v>0</v>
      </c>
      <c r="I46" s="49">
        <f t="shared" si="1"/>
        <v>17.399999999999999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C57" s="23" t="s">
        <v>327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Pin laricio</v>
      </c>
      <c r="C58" s="257" t="s">
        <v>328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79" t="s">
        <v>186</v>
      </c>
      <c r="D60" s="279"/>
      <c r="E60" s="280" t="s">
        <v>187</v>
      </c>
      <c r="F60" s="281"/>
      <c r="G60" s="281"/>
      <c r="H60" s="28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258">
        <v>22</v>
      </c>
      <c r="B62" s="259">
        <v>123</v>
      </c>
      <c r="C62" s="260">
        <v>1</v>
      </c>
      <c r="D62" s="259">
        <v>16</v>
      </c>
      <c r="E62" s="261">
        <v>0</v>
      </c>
      <c r="F62" s="261">
        <v>0.56000000000000005</v>
      </c>
      <c r="G62" s="261">
        <v>0.44</v>
      </c>
      <c r="H62" s="261">
        <v>0</v>
      </c>
      <c r="I62" s="53">
        <f>IFERROR(B62/A62,"")</f>
        <v>5.5909090909090908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258">
        <v>25</v>
      </c>
      <c r="B63" s="259">
        <v>144</v>
      </c>
      <c r="C63" s="260">
        <v>2</v>
      </c>
      <c r="D63" s="259">
        <v>17</v>
      </c>
      <c r="E63" s="261">
        <v>0.7</v>
      </c>
      <c r="F63" s="261">
        <v>0.16800000000000001</v>
      </c>
      <c r="G63" s="261">
        <v>0.13200000000000001</v>
      </c>
      <c r="H63" s="261">
        <v>0</v>
      </c>
      <c r="I63" s="49">
        <f>IF(A63&lt;&gt;0,(B63-(B62-D62))/(A63-A62),"")</f>
        <v>12.333333333333334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258">
        <v>30</v>
      </c>
      <c r="B64" s="259">
        <v>194</v>
      </c>
      <c r="C64" s="260">
        <v>3</v>
      </c>
      <c r="D64" s="259">
        <v>34</v>
      </c>
      <c r="E64" s="261">
        <v>0.7</v>
      </c>
      <c r="F64" s="261">
        <v>0.16800000000000001</v>
      </c>
      <c r="G64" s="261">
        <v>0.13200000000000001</v>
      </c>
      <c r="H64" s="261">
        <v>0</v>
      </c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258">
        <v>35</v>
      </c>
      <c r="B65" s="259">
        <v>233</v>
      </c>
      <c r="C65" s="260">
        <v>4</v>
      </c>
      <c r="D65" s="259">
        <v>41</v>
      </c>
      <c r="E65" s="261">
        <v>0.7</v>
      </c>
      <c r="F65" s="261">
        <v>0.16800000000000001</v>
      </c>
      <c r="G65" s="261">
        <v>0.13200000000000001</v>
      </c>
      <c r="H65" s="261">
        <v>0</v>
      </c>
      <c r="I65" s="49">
        <f>IF(A65&lt;&gt;0,(B65-(B64-D64))/(A65-A64),"")</f>
        <v>14.6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258">
        <v>40</v>
      </c>
      <c r="B66" s="259">
        <v>264</v>
      </c>
      <c r="C66" s="260">
        <v>5</v>
      </c>
      <c r="D66" s="259">
        <v>41</v>
      </c>
      <c r="E66" s="261">
        <v>0.7</v>
      </c>
      <c r="F66" s="261">
        <v>0.16800000000000001</v>
      </c>
      <c r="G66" s="261">
        <v>0.13200000000000001</v>
      </c>
      <c r="H66" s="261">
        <v>0</v>
      </c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258">
        <v>45</v>
      </c>
      <c r="B67" s="259">
        <v>306</v>
      </c>
      <c r="C67" s="260">
        <v>6</v>
      </c>
      <c r="D67" s="259">
        <v>41</v>
      </c>
      <c r="E67" s="261">
        <v>0.7</v>
      </c>
      <c r="F67" s="261">
        <v>0.16800000000000001</v>
      </c>
      <c r="G67" s="261">
        <v>0.13200000000000001</v>
      </c>
      <c r="H67" s="261">
        <v>0</v>
      </c>
      <c r="I67" s="49">
        <f t="shared" si="2"/>
        <v>16.600000000000001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258">
        <v>50</v>
      </c>
      <c r="B68" s="259">
        <v>352</v>
      </c>
      <c r="C68" s="260">
        <v>7</v>
      </c>
      <c r="D68" s="259">
        <v>53</v>
      </c>
      <c r="E68" s="261">
        <v>0.7</v>
      </c>
      <c r="F68" s="261">
        <v>0.16800000000000001</v>
      </c>
      <c r="G68" s="261">
        <v>0.13200000000000001</v>
      </c>
      <c r="H68" s="261">
        <v>0</v>
      </c>
      <c r="I68" s="49">
        <f t="shared" si="2"/>
        <v>17.399999999999999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258">
        <v>58</v>
      </c>
      <c r="B69" s="259">
        <v>440</v>
      </c>
      <c r="C69" s="260">
        <v>8</v>
      </c>
      <c r="D69" s="259">
        <v>78</v>
      </c>
      <c r="E69" s="261">
        <v>0.7</v>
      </c>
      <c r="F69" s="261">
        <v>0.16800000000000001</v>
      </c>
      <c r="G69" s="261">
        <v>0.13200000000000001</v>
      </c>
      <c r="H69" s="261">
        <v>0</v>
      </c>
      <c r="I69" s="49">
        <f t="shared" si="2"/>
        <v>17.625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258">
        <v>66</v>
      </c>
      <c r="B70" s="259">
        <v>495</v>
      </c>
      <c r="C70" s="260">
        <v>9</v>
      </c>
      <c r="D70" s="259">
        <v>65</v>
      </c>
      <c r="E70" s="261">
        <v>0.7</v>
      </c>
      <c r="F70" s="261">
        <v>0.16800000000000001</v>
      </c>
      <c r="G70" s="261">
        <v>0.13200000000000001</v>
      </c>
      <c r="H70" s="261">
        <v>0</v>
      </c>
      <c r="I70" s="49">
        <f t="shared" si="2"/>
        <v>16.625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258">
        <v>74</v>
      </c>
      <c r="B71" s="259">
        <v>533</v>
      </c>
      <c r="C71" s="260">
        <v>10</v>
      </c>
      <c r="D71" s="259">
        <v>37</v>
      </c>
      <c r="E71" s="261">
        <v>0.7</v>
      </c>
      <c r="F71" s="261">
        <v>0.16800000000000001</v>
      </c>
      <c r="G71" s="261">
        <v>0.13200000000000001</v>
      </c>
      <c r="H71" s="261">
        <v>0</v>
      </c>
      <c r="I71" s="49">
        <f t="shared" si="2"/>
        <v>12.875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258">
        <v>82</v>
      </c>
      <c r="B72" s="259">
        <v>567</v>
      </c>
      <c r="C72" s="260" t="s">
        <v>326</v>
      </c>
      <c r="D72" s="259">
        <f>541+26</f>
        <v>567</v>
      </c>
      <c r="E72" s="261">
        <v>0.7</v>
      </c>
      <c r="F72" s="261">
        <v>0.16800000000000001</v>
      </c>
      <c r="G72" s="261">
        <v>0.13200000000000001</v>
      </c>
      <c r="H72" s="261">
        <v>0</v>
      </c>
      <c r="I72" s="49">
        <f t="shared" si="2"/>
        <v>8.875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Douglas</v>
      </c>
      <c r="C84" s="23" t="s">
        <v>329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79" t="s">
        <v>186</v>
      </c>
      <c r="D86" s="279"/>
      <c r="E86" s="280" t="s">
        <v>187</v>
      </c>
      <c r="F86" s="281"/>
      <c r="G86" s="281"/>
      <c r="H86" s="28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258">
        <v>23</v>
      </c>
      <c r="B88" s="258">
        <v>162</v>
      </c>
      <c r="C88" s="262"/>
      <c r="D88" s="263">
        <v>0</v>
      </c>
      <c r="E88" s="261">
        <v>0</v>
      </c>
      <c r="F88" s="261">
        <f>0.56</f>
        <v>0.56000000000000005</v>
      </c>
      <c r="G88" s="261">
        <f>0.44</f>
        <v>0.44</v>
      </c>
      <c r="H88" s="261">
        <v>0</v>
      </c>
      <c r="I88" s="53">
        <f>IFERROR(B88/A88,"")</f>
        <v>7.0434782608695654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258">
        <v>25</v>
      </c>
      <c r="B89" s="258">
        <v>218</v>
      </c>
      <c r="C89" s="260">
        <v>1</v>
      </c>
      <c r="D89" s="258">
        <v>14</v>
      </c>
      <c r="E89" s="261">
        <v>0</v>
      </c>
      <c r="F89" s="261">
        <f>0.56</f>
        <v>0.56000000000000005</v>
      </c>
      <c r="G89" s="261">
        <v>0.44</v>
      </c>
      <c r="H89" s="261">
        <v>0</v>
      </c>
      <c r="I89" s="53">
        <f t="shared" ref="I89:I107" si="3">IF(A89&lt;&gt;0,(B89-(B88-D88))/(A89-A88),"")</f>
        <v>28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258">
        <v>30</v>
      </c>
      <c r="B90" s="258">
        <v>328</v>
      </c>
      <c r="C90" s="260">
        <v>2</v>
      </c>
      <c r="D90" s="258">
        <v>42</v>
      </c>
      <c r="E90" s="261">
        <v>0.7</v>
      </c>
      <c r="F90" s="261">
        <f>0.3*0.56</f>
        <v>0.16800000000000001</v>
      </c>
      <c r="G90" s="261">
        <f>0.3*0.44</f>
        <v>0.13200000000000001</v>
      </c>
      <c r="H90" s="261">
        <v>0</v>
      </c>
      <c r="I90" s="53">
        <f t="shared" si="3"/>
        <v>24.8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258">
        <v>35</v>
      </c>
      <c r="B91" s="258">
        <v>410</v>
      </c>
      <c r="C91" s="260">
        <v>3</v>
      </c>
      <c r="D91" s="258">
        <v>49</v>
      </c>
      <c r="E91" s="261">
        <v>0.7</v>
      </c>
      <c r="F91" s="261">
        <f t="shared" ref="F91:F96" si="4">0.3*0.56</f>
        <v>0.16800000000000001</v>
      </c>
      <c r="G91" s="261">
        <f t="shared" ref="G91:G96" si="5">0.3*0.44</f>
        <v>0.13200000000000001</v>
      </c>
      <c r="H91" s="261">
        <v>0</v>
      </c>
      <c r="I91" s="53">
        <f t="shared" si="3"/>
        <v>24.8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258">
        <v>40</v>
      </c>
      <c r="B92" s="258">
        <v>481</v>
      </c>
      <c r="C92" s="260">
        <v>4</v>
      </c>
      <c r="D92" s="258">
        <v>58</v>
      </c>
      <c r="E92" s="261">
        <v>0.7</v>
      </c>
      <c r="F92" s="261">
        <f t="shared" si="4"/>
        <v>0.16800000000000001</v>
      </c>
      <c r="G92" s="261">
        <f t="shared" si="5"/>
        <v>0.13200000000000001</v>
      </c>
      <c r="H92" s="261">
        <v>0</v>
      </c>
      <c r="I92" s="53">
        <f t="shared" si="3"/>
        <v>24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258">
        <v>45</v>
      </c>
      <c r="B93" s="258">
        <v>526</v>
      </c>
      <c r="C93" s="260">
        <v>5</v>
      </c>
      <c r="D93" s="258">
        <v>57</v>
      </c>
      <c r="E93" s="261">
        <v>0.7</v>
      </c>
      <c r="F93" s="261">
        <f t="shared" si="4"/>
        <v>0.16800000000000001</v>
      </c>
      <c r="G93" s="261">
        <f t="shared" si="5"/>
        <v>0.13200000000000001</v>
      </c>
      <c r="H93" s="261">
        <v>0</v>
      </c>
      <c r="I93" s="53">
        <f t="shared" si="3"/>
        <v>20.6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258">
        <v>50</v>
      </c>
      <c r="B94" s="258">
        <v>544</v>
      </c>
      <c r="C94" s="260">
        <v>6</v>
      </c>
      <c r="D94" s="258">
        <v>42</v>
      </c>
      <c r="E94" s="261">
        <v>0.7</v>
      </c>
      <c r="F94" s="261">
        <f t="shared" si="4"/>
        <v>0.16800000000000001</v>
      </c>
      <c r="G94" s="261">
        <f t="shared" si="5"/>
        <v>0.13200000000000001</v>
      </c>
      <c r="H94" s="261">
        <v>0</v>
      </c>
      <c r="I94" s="53">
        <f t="shared" si="3"/>
        <v>15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258">
        <v>55</v>
      </c>
      <c r="B95" s="258">
        <v>565</v>
      </c>
      <c r="C95" s="260">
        <v>7</v>
      </c>
      <c r="D95" s="258">
        <v>37</v>
      </c>
      <c r="E95" s="261">
        <v>0.7</v>
      </c>
      <c r="F95" s="261">
        <f t="shared" si="4"/>
        <v>0.16800000000000001</v>
      </c>
      <c r="G95" s="261">
        <f t="shared" si="5"/>
        <v>0.13200000000000001</v>
      </c>
      <c r="H95" s="261">
        <v>0</v>
      </c>
      <c r="I95" s="53">
        <f t="shared" si="3"/>
        <v>12.6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258">
        <v>60</v>
      </c>
      <c r="B96" s="258">
        <v>567</v>
      </c>
      <c r="C96" s="260" t="s">
        <v>326</v>
      </c>
      <c r="D96" s="258">
        <f>544+23</f>
        <v>567</v>
      </c>
      <c r="E96" s="261">
        <v>0.7</v>
      </c>
      <c r="F96" s="261">
        <f t="shared" si="4"/>
        <v>0.16800000000000001</v>
      </c>
      <c r="G96" s="261">
        <f t="shared" si="5"/>
        <v>0.13200000000000001</v>
      </c>
      <c r="H96" s="261">
        <v>0</v>
      </c>
      <c r="I96" s="53">
        <f t="shared" si="3"/>
        <v>7.8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Cèdre de l'Atlas</v>
      </c>
      <c r="C110" s="23" t="s">
        <v>330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79" t="s">
        <v>186</v>
      </c>
      <c r="D112" s="279"/>
      <c r="E112" s="280" t="s">
        <v>187</v>
      </c>
      <c r="F112" s="281"/>
      <c r="G112" s="281"/>
      <c r="H112" s="28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264">
        <v>20</v>
      </c>
      <c r="B114" s="265">
        <v>158</v>
      </c>
      <c r="C114" s="266">
        <v>1</v>
      </c>
      <c r="D114" s="265">
        <v>32</v>
      </c>
      <c r="E114" s="267">
        <v>0</v>
      </c>
      <c r="F114" s="267">
        <v>0.56000000000000005</v>
      </c>
      <c r="G114" s="267">
        <v>0.44</v>
      </c>
      <c r="H114" s="267">
        <v>0</v>
      </c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268">
        <v>30</v>
      </c>
      <c r="B115" s="269">
        <v>218</v>
      </c>
      <c r="C115" s="270">
        <v>2</v>
      </c>
      <c r="D115" s="269">
        <v>44</v>
      </c>
      <c r="E115" s="271">
        <v>0.7</v>
      </c>
      <c r="F115" s="271">
        <v>0.17</v>
      </c>
      <c r="G115" s="271">
        <v>0.13</v>
      </c>
      <c r="H115" s="271">
        <v>0</v>
      </c>
      <c r="I115" s="53">
        <f t="shared" ref="I115:I133" si="6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268">
        <v>40</v>
      </c>
      <c r="B116" s="269">
        <v>275</v>
      </c>
      <c r="C116" s="270">
        <v>3</v>
      </c>
      <c r="D116" s="269">
        <v>55</v>
      </c>
      <c r="E116" s="271">
        <v>0.7</v>
      </c>
      <c r="F116" s="271">
        <v>0.17</v>
      </c>
      <c r="G116" s="271">
        <v>0.13</v>
      </c>
      <c r="H116" s="271">
        <v>0</v>
      </c>
      <c r="I116" s="53">
        <f t="shared" si="6"/>
        <v>10.1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268">
        <v>50</v>
      </c>
      <c r="B117" s="269">
        <v>335</v>
      </c>
      <c r="C117" s="270">
        <v>4</v>
      </c>
      <c r="D117" s="269">
        <v>67</v>
      </c>
      <c r="E117" s="271">
        <v>0.7</v>
      </c>
      <c r="F117" s="271">
        <v>0.17</v>
      </c>
      <c r="G117" s="271">
        <v>0.13</v>
      </c>
      <c r="H117" s="271">
        <v>0</v>
      </c>
      <c r="I117" s="53">
        <f t="shared" si="6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268">
        <v>60</v>
      </c>
      <c r="B118" s="269">
        <v>403</v>
      </c>
      <c r="C118" s="270">
        <v>5</v>
      </c>
      <c r="D118" s="269">
        <v>81</v>
      </c>
      <c r="E118" s="271">
        <v>0.7</v>
      </c>
      <c r="F118" s="271">
        <v>0.17</v>
      </c>
      <c r="G118" s="271">
        <v>0.13</v>
      </c>
      <c r="H118" s="271">
        <v>0</v>
      </c>
      <c r="I118" s="53">
        <f t="shared" si="6"/>
        <v>13.5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268">
        <v>70</v>
      </c>
      <c r="B119" s="269">
        <v>477</v>
      </c>
      <c r="C119" s="270">
        <v>6</v>
      </c>
      <c r="D119" s="269">
        <v>95</v>
      </c>
      <c r="E119" s="271">
        <v>0.7</v>
      </c>
      <c r="F119" s="271">
        <v>0.17</v>
      </c>
      <c r="G119" s="271">
        <v>0.13</v>
      </c>
      <c r="H119" s="271">
        <v>0</v>
      </c>
      <c r="I119" s="53">
        <f t="shared" si="6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268">
        <v>80</v>
      </c>
      <c r="B120" s="269">
        <v>552</v>
      </c>
      <c r="C120" s="270">
        <v>7</v>
      </c>
      <c r="D120" s="269">
        <v>110</v>
      </c>
      <c r="E120" s="271">
        <v>0.7</v>
      </c>
      <c r="F120" s="271">
        <v>0.17</v>
      </c>
      <c r="G120" s="271">
        <v>0.13</v>
      </c>
      <c r="H120" s="271">
        <v>0</v>
      </c>
      <c r="I120" s="53">
        <f t="shared" si="6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268">
        <v>90</v>
      </c>
      <c r="B121" s="269">
        <v>616</v>
      </c>
      <c r="C121" s="270">
        <v>8</v>
      </c>
      <c r="D121" s="269">
        <v>123</v>
      </c>
      <c r="E121" s="271">
        <v>0.7</v>
      </c>
      <c r="F121" s="271">
        <v>0.17</v>
      </c>
      <c r="G121" s="271">
        <v>0.13</v>
      </c>
      <c r="H121" s="271">
        <v>0</v>
      </c>
      <c r="I121" s="53">
        <f t="shared" si="6"/>
        <v>17.399999999999999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268">
        <v>100</v>
      </c>
      <c r="B122" s="269">
        <v>678</v>
      </c>
      <c r="C122" s="270" t="s">
        <v>326</v>
      </c>
      <c r="D122" s="269">
        <v>678</v>
      </c>
      <c r="E122" s="271">
        <v>0.7</v>
      </c>
      <c r="F122" s="271">
        <v>0.17</v>
      </c>
      <c r="G122" s="271">
        <v>0.13</v>
      </c>
      <c r="H122" s="271">
        <v>0</v>
      </c>
      <c r="I122" s="53">
        <f t="shared" si="6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Cèdre de l'Atlas</v>
      </c>
      <c r="C136" s="23" t="s">
        <v>331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79" t="s">
        <v>186</v>
      </c>
      <c r="D138" s="279"/>
      <c r="E138" s="280" t="s">
        <v>187</v>
      </c>
      <c r="F138" s="281"/>
      <c r="G138" s="281"/>
      <c r="H138" s="28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258">
        <v>20</v>
      </c>
      <c r="B140" s="259">
        <v>115</v>
      </c>
      <c r="C140" s="260">
        <v>1</v>
      </c>
      <c r="D140" s="259">
        <v>23</v>
      </c>
      <c r="E140" s="261">
        <v>0</v>
      </c>
      <c r="F140" s="261">
        <v>0.56000000000000005</v>
      </c>
      <c r="G140" s="261">
        <v>0.44</v>
      </c>
      <c r="H140" s="261">
        <v>0</v>
      </c>
      <c r="I140" s="57">
        <f>IFERROR(B140/A140,"")</f>
        <v>5.75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258">
        <v>30</v>
      </c>
      <c r="B141" s="259">
        <v>157</v>
      </c>
      <c r="C141" s="260">
        <v>2</v>
      </c>
      <c r="D141" s="259">
        <v>31.400000000000002</v>
      </c>
      <c r="E141" s="261">
        <v>0.7</v>
      </c>
      <c r="F141" s="261">
        <v>0.16800000000000001</v>
      </c>
      <c r="G141" s="261">
        <v>0.13200000000000001</v>
      </c>
      <c r="H141" s="261">
        <v>0</v>
      </c>
      <c r="I141" s="57">
        <f t="shared" ref="I141:I159" si="7">IF(A141&lt;&gt;0,(B141-(B140-D140))/(A141-A140),"")</f>
        <v>6.5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258">
        <v>40</v>
      </c>
      <c r="B142" s="259">
        <v>195.6</v>
      </c>
      <c r="C142" s="260">
        <v>3</v>
      </c>
      <c r="D142" s="259">
        <v>39.120000000000005</v>
      </c>
      <c r="E142" s="261">
        <v>0.7</v>
      </c>
      <c r="F142" s="261">
        <v>0.16800000000000001</v>
      </c>
      <c r="G142" s="261">
        <v>0.13200000000000001</v>
      </c>
      <c r="H142" s="261">
        <v>0</v>
      </c>
      <c r="I142" s="57">
        <f t="shared" si="7"/>
        <v>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258">
        <v>50</v>
      </c>
      <c r="B143" s="259">
        <v>226.48</v>
      </c>
      <c r="C143" s="260">
        <v>4</v>
      </c>
      <c r="D143" s="259">
        <v>45.295999999999999</v>
      </c>
      <c r="E143" s="261">
        <v>0.7</v>
      </c>
      <c r="F143" s="261">
        <v>0.16800000000000001</v>
      </c>
      <c r="G143" s="261">
        <v>0.13200000000000001</v>
      </c>
      <c r="H143" s="261">
        <v>0</v>
      </c>
      <c r="I143" s="57">
        <f t="shared" si="7"/>
        <v>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258">
        <v>60</v>
      </c>
      <c r="B144" s="259">
        <v>261.18399999999997</v>
      </c>
      <c r="C144" s="260">
        <v>5</v>
      </c>
      <c r="D144" s="259">
        <v>52.236799999999995</v>
      </c>
      <c r="E144" s="261">
        <v>0.7</v>
      </c>
      <c r="F144" s="261">
        <v>0.16800000000000001</v>
      </c>
      <c r="G144" s="261">
        <v>0.13200000000000001</v>
      </c>
      <c r="H144" s="261">
        <v>0</v>
      </c>
      <c r="I144" s="57">
        <f t="shared" si="7"/>
        <v>7.9999999999999973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258">
        <v>70</v>
      </c>
      <c r="B145" s="259">
        <v>283.94719999999995</v>
      </c>
      <c r="C145" s="260">
        <v>6</v>
      </c>
      <c r="D145" s="259">
        <v>56.789439999999992</v>
      </c>
      <c r="E145" s="261">
        <v>0.7</v>
      </c>
      <c r="F145" s="261">
        <v>0.16800000000000001</v>
      </c>
      <c r="G145" s="261">
        <v>0.13200000000000001</v>
      </c>
      <c r="H145" s="261">
        <v>0</v>
      </c>
      <c r="I145" s="57">
        <f t="shared" si="7"/>
        <v>7.4999999999999973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258">
        <v>80</v>
      </c>
      <c r="B146" s="259">
        <v>304.15775999999994</v>
      </c>
      <c r="C146" s="260">
        <v>7</v>
      </c>
      <c r="D146" s="259">
        <v>60.831551999999988</v>
      </c>
      <c r="E146" s="261">
        <v>0.7</v>
      </c>
      <c r="F146" s="261">
        <v>0.16800000000000001</v>
      </c>
      <c r="G146" s="261">
        <v>0.13200000000000001</v>
      </c>
      <c r="H146" s="261">
        <v>0</v>
      </c>
      <c r="I146" s="57">
        <f t="shared" si="7"/>
        <v>7.6999999999999975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258">
        <v>90</v>
      </c>
      <c r="B147" s="259">
        <v>326.32620799999995</v>
      </c>
      <c r="C147" s="260">
        <v>8</v>
      </c>
      <c r="D147" s="259">
        <v>65.265241599999996</v>
      </c>
      <c r="E147" s="261">
        <v>0.7</v>
      </c>
      <c r="F147" s="261">
        <v>0.16800000000000001</v>
      </c>
      <c r="G147" s="261">
        <v>0.13200000000000001</v>
      </c>
      <c r="H147" s="261">
        <v>0</v>
      </c>
      <c r="I147" s="57">
        <f>IF(A147&lt;&gt;0,(B147-(B146-D146))/(A147-A146),"")</f>
        <v>8.3000000000000007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258">
        <v>100</v>
      </c>
      <c r="B148" s="259">
        <v>344.06096639999998</v>
      </c>
      <c r="C148" s="260" t="s">
        <v>326</v>
      </c>
      <c r="D148" s="259">
        <v>344.06096639999998</v>
      </c>
      <c r="E148" s="261">
        <v>0.7</v>
      </c>
      <c r="F148" s="261">
        <v>0.16800000000000001</v>
      </c>
      <c r="G148" s="261">
        <v>0.13200000000000001</v>
      </c>
      <c r="H148" s="261">
        <v>0</v>
      </c>
      <c r="I148" s="57">
        <f t="shared" si="7"/>
        <v>8.3000000000000007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Chêne pubescent</v>
      </c>
      <c r="C162" s="23" t="s">
        <v>325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79" t="s">
        <v>186</v>
      </c>
      <c r="D164" s="279"/>
      <c r="E164" s="280" t="s">
        <v>187</v>
      </c>
      <c r="F164" s="281"/>
      <c r="G164" s="281"/>
      <c r="H164" s="28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272">
        <v>36</v>
      </c>
      <c r="B166" s="273">
        <v>131</v>
      </c>
      <c r="C166" s="260">
        <v>1</v>
      </c>
      <c r="D166" s="260">
        <v>36</v>
      </c>
      <c r="E166" s="261">
        <v>0</v>
      </c>
      <c r="F166" s="261">
        <v>0</v>
      </c>
      <c r="G166" s="261">
        <v>0</v>
      </c>
      <c r="H166" s="261">
        <v>1</v>
      </c>
      <c r="I166" s="49">
        <f>IFERROR(B166/A166,"")</f>
        <v>3.6388888888888888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272">
        <v>42</v>
      </c>
      <c r="B167" s="273">
        <v>148</v>
      </c>
      <c r="C167" s="260">
        <v>2</v>
      </c>
      <c r="D167" s="260">
        <v>41</v>
      </c>
      <c r="E167" s="261">
        <v>0</v>
      </c>
      <c r="F167" s="261">
        <v>0</v>
      </c>
      <c r="G167" s="261">
        <v>0</v>
      </c>
      <c r="H167" s="261">
        <v>1</v>
      </c>
      <c r="I167" s="49">
        <f t="shared" ref="I167:I185" si="8">IF(A167&lt;&gt;0,(B167-(B166-D166))/(A167-A166),"")</f>
        <v>8.8333333333333339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272">
        <v>48</v>
      </c>
      <c r="B168" s="273">
        <v>157</v>
      </c>
      <c r="C168" s="260">
        <v>3</v>
      </c>
      <c r="D168" s="260">
        <v>41</v>
      </c>
      <c r="E168" s="261">
        <v>0</v>
      </c>
      <c r="F168" s="261">
        <v>0</v>
      </c>
      <c r="G168" s="261">
        <v>0</v>
      </c>
      <c r="H168" s="261">
        <v>1</v>
      </c>
      <c r="I168" s="49">
        <f t="shared" si="8"/>
        <v>8.3333333333333339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272">
        <v>54</v>
      </c>
      <c r="B169" s="273">
        <v>163</v>
      </c>
      <c r="C169" s="260">
        <v>4</v>
      </c>
      <c r="D169" s="260">
        <v>31</v>
      </c>
      <c r="E169" s="261">
        <v>0.7</v>
      </c>
      <c r="F169" s="261">
        <v>0</v>
      </c>
      <c r="G169" s="261">
        <v>0</v>
      </c>
      <c r="H169" s="261">
        <v>0.3</v>
      </c>
      <c r="I169" s="49">
        <f t="shared" si="8"/>
        <v>7.833333333333333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272">
        <v>62</v>
      </c>
      <c r="B170" s="273">
        <v>193</v>
      </c>
      <c r="C170" s="260">
        <v>5</v>
      </c>
      <c r="D170" s="260">
        <v>39</v>
      </c>
      <c r="E170" s="261">
        <v>0.7</v>
      </c>
      <c r="F170" s="261">
        <v>0</v>
      </c>
      <c r="G170" s="261">
        <v>0</v>
      </c>
      <c r="H170" s="261">
        <v>0.3</v>
      </c>
      <c r="I170" s="49">
        <f t="shared" si="8"/>
        <v>7.625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272">
        <v>70</v>
      </c>
      <c r="B171" s="273">
        <v>220</v>
      </c>
      <c r="C171" s="260">
        <v>6</v>
      </c>
      <c r="D171" s="260">
        <v>53</v>
      </c>
      <c r="E171" s="261">
        <v>0.7</v>
      </c>
      <c r="F171" s="261">
        <v>0</v>
      </c>
      <c r="G171" s="261">
        <v>0</v>
      </c>
      <c r="H171" s="261">
        <v>0.3</v>
      </c>
      <c r="I171" s="49">
        <f t="shared" si="8"/>
        <v>8.25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272">
        <v>78</v>
      </c>
      <c r="B172" s="273">
        <v>227</v>
      </c>
      <c r="C172" s="260">
        <v>7</v>
      </c>
      <c r="D172" s="260">
        <v>42</v>
      </c>
      <c r="E172" s="261">
        <v>0.7</v>
      </c>
      <c r="F172" s="261">
        <v>0</v>
      </c>
      <c r="G172" s="261">
        <v>0</v>
      </c>
      <c r="H172" s="261">
        <v>0.3</v>
      </c>
      <c r="I172" s="49">
        <f t="shared" si="8"/>
        <v>7.5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272">
        <v>87</v>
      </c>
      <c r="B173" s="273">
        <v>243</v>
      </c>
      <c r="C173" s="260">
        <v>8</v>
      </c>
      <c r="D173" s="260">
        <v>39</v>
      </c>
      <c r="E173" s="261">
        <v>0.9</v>
      </c>
      <c r="F173" s="261">
        <v>0</v>
      </c>
      <c r="G173" s="261">
        <v>0</v>
      </c>
      <c r="H173" s="261">
        <v>0.1</v>
      </c>
      <c r="I173" s="49">
        <f t="shared" si="8"/>
        <v>6.4444444444444446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272">
        <v>97</v>
      </c>
      <c r="B174" s="273">
        <v>265</v>
      </c>
      <c r="C174" s="260">
        <v>9</v>
      </c>
      <c r="D174" s="260">
        <v>42</v>
      </c>
      <c r="E174" s="261">
        <v>0.9</v>
      </c>
      <c r="F174" s="261">
        <v>0</v>
      </c>
      <c r="G174" s="261">
        <v>0</v>
      </c>
      <c r="H174" s="261">
        <v>0.1</v>
      </c>
      <c r="I174" s="49">
        <f t="shared" si="8"/>
        <v>6.1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272">
        <v>107</v>
      </c>
      <c r="B175" s="273">
        <v>287</v>
      </c>
      <c r="C175" s="260">
        <v>10</v>
      </c>
      <c r="D175" s="260">
        <v>46</v>
      </c>
      <c r="E175" s="261">
        <v>0.9</v>
      </c>
      <c r="F175" s="261">
        <v>0</v>
      </c>
      <c r="G175" s="261">
        <v>0</v>
      </c>
      <c r="H175" s="261">
        <v>0.1</v>
      </c>
      <c r="I175" s="49">
        <f t="shared" si="8"/>
        <v>6.4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272">
        <v>117</v>
      </c>
      <c r="B176" s="273">
        <v>309</v>
      </c>
      <c r="C176" s="260">
        <v>11</v>
      </c>
      <c r="D176" s="260">
        <v>45</v>
      </c>
      <c r="E176" s="261">
        <v>0.9</v>
      </c>
      <c r="F176" s="261">
        <v>0</v>
      </c>
      <c r="G176" s="261">
        <v>0</v>
      </c>
      <c r="H176" s="261">
        <v>0.1</v>
      </c>
      <c r="I176" s="49">
        <f t="shared" si="8"/>
        <v>6.8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272">
        <v>129</v>
      </c>
      <c r="B177" s="273">
        <v>337</v>
      </c>
      <c r="C177" s="260" t="s">
        <v>326</v>
      </c>
      <c r="D177" s="260">
        <v>337</v>
      </c>
      <c r="E177" s="261">
        <v>0.9</v>
      </c>
      <c r="F177" s="261">
        <v>0</v>
      </c>
      <c r="G177" s="261">
        <v>0</v>
      </c>
      <c r="H177" s="261">
        <v>0.1</v>
      </c>
      <c r="I177" s="49">
        <f t="shared" si="8"/>
        <v>6.083333333333333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Erable plane</v>
      </c>
      <c r="C188" s="257" t="s">
        <v>332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79" t="s">
        <v>186</v>
      </c>
      <c r="D190" s="279"/>
      <c r="E190" s="280" t="s">
        <v>187</v>
      </c>
      <c r="F190" s="281"/>
      <c r="G190" s="281"/>
      <c r="H190" s="28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258">
        <v>15</v>
      </c>
      <c r="B192" s="259">
        <v>104.57875</v>
      </c>
      <c r="C192" s="260">
        <v>1</v>
      </c>
      <c r="D192" s="259">
        <v>20</v>
      </c>
      <c r="E192" s="261">
        <v>0</v>
      </c>
      <c r="F192" s="261">
        <v>0</v>
      </c>
      <c r="G192" s="261">
        <v>0</v>
      </c>
      <c r="H192" s="261">
        <v>1</v>
      </c>
      <c r="I192" s="49">
        <f>IFERROR(B192/A192,"")</f>
        <v>6.971916666666667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258">
        <v>25</v>
      </c>
      <c r="B193" s="259">
        <v>183.84174999999999</v>
      </c>
      <c r="C193" s="260">
        <v>2</v>
      </c>
      <c r="D193" s="259">
        <v>30.64029166666667</v>
      </c>
      <c r="E193" s="261">
        <v>0.7</v>
      </c>
      <c r="F193" s="261">
        <v>0</v>
      </c>
      <c r="G193" s="261">
        <v>0</v>
      </c>
      <c r="H193" s="261">
        <v>0.3</v>
      </c>
      <c r="I193" s="49">
        <f t="shared" ref="I193:I211" si="9">IF(A193&lt;&gt;0,(B193-(B192-D192))/(A193-A192),"")</f>
        <v>9.9262999999999995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258">
        <v>35</v>
      </c>
      <c r="B194" s="259">
        <v>277.7444583333334</v>
      </c>
      <c r="C194" s="260">
        <v>3</v>
      </c>
      <c r="D194" s="259">
        <v>46.290743055555566</v>
      </c>
      <c r="E194" s="261">
        <v>0.7</v>
      </c>
      <c r="F194" s="261">
        <v>0</v>
      </c>
      <c r="G194" s="261">
        <v>0</v>
      </c>
      <c r="H194" s="261">
        <v>0.3</v>
      </c>
      <c r="I194" s="49">
        <f t="shared" si="9"/>
        <v>12.454300000000007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258">
        <v>45</v>
      </c>
      <c r="B195" s="259">
        <v>381.27671527777773</v>
      </c>
      <c r="C195" s="260">
        <v>4</v>
      </c>
      <c r="D195" s="259">
        <v>63.546119212962964</v>
      </c>
      <c r="E195" s="261">
        <v>0.7</v>
      </c>
      <c r="F195" s="261">
        <v>0</v>
      </c>
      <c r="G195" s="261">
        <v>0</v>
      </c>
      <c r="H195" s="261">
        <v>0.3</v>
      </c>
      <c r="I195" s="49">
        <f t="shared" si="9"/>
        <v>14.98229999999999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258">
        <v>55</v>
      </c>
      <c r="B196" s="259">
        <v>489.7493460648148</v>
      </c>
      <c r="C196" s="260" t="s">
        <v>326</v>
      </c>
      <c r="D196" s="259">
        <v>489.7493460648148</v>
      </c>
      <c r="E196" s="261">
        <v>0.9</v>
      </c>
      <c r="F196" s="261">
        <v>0</v>
      </c>
      <c r="G196" s="261">
        <v>0</v>
      </c>
      <c r="H196" s="261">
        <v>0.1</v>
      </c>
      <c r="I196" s="49">
        <f t="shared" si="9"/>
        <v>17.201875000000001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Aulne à feuilles en cœur</v>
      </c>
      <c r="C214" s="23" t="s">
        <v>333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79" t="s">
        <v>186</v>
      </c>
      <c r="D216" s="279"/>
      <c r="E216" s="280" t="s">
        <v>187</v>
      </c>
      <c r="F216" s="281"/>
      <c r="G216" s="281"/>
      <c r="H216" s="28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258">
        <v>15</v>
      </c>
      <c r="B218" s="259">
        <v>81.10499999999999</v>
      </c>
      <c r="C218" s="260">
        <v>1</v>
      </c>
      <c r="D218" s="259">
        <v>13.517499999999998</v>
      </c>
      <c r="E218" s="261">
        <v>0</v>
      </c>
      <c r="F218" s="261">
        <v>0</v>
      </c>
      <c r="G218" s="261">
        <v>0</v>
      </c>
      <c r="H218" s="261">
        <v>1</v>
      </c>
      <c r="I218" s="53">
        <f>IFERROR(B218/A218,"")</f>
        <v>5.4069999999999991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258">
        <v>25</v>
      </c>
      <c r="B219" s="259">
        <v>146.73250000000002</v>
      </c>
      <c r="C219" s="260">
        <v>2</v>
      </c>
      <c r="D219" s="259">
        <v>24.455416666666672</v>
      </c>
      <c r="E219" s="261">
        <v>0.7</v>
      </c>
      <c r="F219" s="261">
        <v>0</v>
      </c>
      <c r="G219" s="261">
        <v>0</v>
      </c>
      <c r="H219" s="261">
        <v>0.3</v>
      </c>
      <c r="I219" s="53">
        <f t="shared" ref="I219:I237" si="10">IF(A219&lt;&gt;0,(B219-(B218-D218))/(A219-A218),"")</f>
        <v>7.9145000000000021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258">
        <v>35</v>
      </c>
      <c r="B220" s="259">
        <v>221.48208333333338</v>
      </c>
      <c r="C220" s="260">
        <v>3</v>
      </c>
      <c r="D220" s="259">
        <v>36.913680555555565</v>
      </c>
      <c r="E220" s="261">
        <v>0.7</v>
      </c>
      <c r="F220" s="261">
        <v>0</v>
      </c>
      <c r="G220" s="261">
        <v>0</v>
      </c>
      <c r="H220" s="261">
        <v>0.3</v>
      </c>
      <c r="I220" s="53">
        <f t="shared" si="10"/>
        <v>9.9205000000000041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258">
        <v>45</v>
      </c>
      <c r="B221" s="259">
        <v>303.83340277777774</v>
      </c>
      <c r="C221" s="260">
        <v>4</v>
      </c>
      <c r="D221" s="259">
        <v>50.638900462962958</v>
      </c>
      <c r="E221" s="261">
        <v>0.7</v>
      </c>
      <c r="F221" s="261">
        <v>0</v>
      </c>
      <c r="G221" s="261">
        <v>0</v>
      </c>
      <c r="H221" s="261">
        <v>0.3</v>
      </c>
      <c r="I221" s="53">
        <f t="shared" si="10"/>
        <v>11.926499999999994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258">
        <v>55</v>
      </c>
      <c r="B222" s="259">
        <v>392.51950231481487</v>
      </c>
      <c r="C222" s="260" t="s">
        <v>326</v>
      </c>
      <c r="D222" s="259">
        <v>392.51950231481487</v>
      </c>
      <c r="E222" s="261">
        <v>0.7</v>
      </c>
      <c r="F222" s="261">
        <v>0</v>
      </c>
      <c r="G222" s="261">
        <v>0</v>
      </c>
      <c r="H222" s="261">
        <v>0.3</v>
      </c>
      <c r="I222" s="53">
        <f t="shared" si="10"/>
        <v>13.93250000000001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272"/>
      <c r="B223" s="273"/>
      <c r="C223" s="260"/>
      <c r="D223" s="260"/>
      <c r="E223" s="261"/>
      <c r="F223" s="261"/>
      <c r="G223" s="261"/>
      <c r="H223" s="261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272"/>
      <c r="B224" s="273"/>
      <c r="C224" s="260"/>
      <c r="D224" s="260"/>
      <c r="E224" s="261"/>
      <c r="F224" s="261"/>
      <c r="G224" s="261"/>
      <c r="H224" s="261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272"/>
      <c r="B225" s="273"/>
      <c r="C225" s="260"/>
      <c r="D225" s="260"/>
      <c r="E225" s="261"/>
      <c r="F225" s="261"/>
      <c r="G225" s="261"/>
      <c r="H225" s="261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272"/>
      <c r="B226" s="273"/>
      <c r="C226" s="260"/>
      <c r="D226" s="260"/>
      <c r="E226" s="261"/>
      <c r="F226" s="261"/>
      <c r="G226" s="261"/>
      <c r="H226" s="261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272"/>
      <c r="B227" s="273"/>
      <c r="C227" s="260"/>
      <c r="D227" s="260"/>
      <c r="E227" s="261"/>
      <c r="F227" s="261"/>
      <c r="G227" s="261"/>
      <c r="H227" s="261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272"/>
      <c r="B228" s="273"/>
      <c r="C228" s="260"/>
      <c r="D228" s="260"/>
      <c r="E228" s="261"/>
      <c r="F228" s="261"/>
      <c r="G228" s="261"/>
      <c r="H228" s="261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272"/>
      <c r="B229" s="273"/>
      <c r="C229" s="260"/>
      <c r="D229" s="260"/>
      <c r="E229" s="261"/>
      <c r="F229" s="261"/>
      <c r="G229" s="261"/>
      <c r="H229" s="261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79" t="s">
        <v>186</v>
      </c>
      <c r="D242" s="279"/>
      <c r="E242" s="280" t="s">
        <v>187</v>
      </c>
      <c r="F242" s="281"/>
      <c r="G242" s="281"/>
      <c r="H242" s="28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258"/>
      <c r="B244" s="259"/>
      <c r="C244" s="260"/>
      <c r="D244" s="259"/>
      <c r="E244" s="261"/>
      <c r="F244" s="261"/>
      <c r="G244" s="261"/>
      <c r="H244" s="26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258"/>
      <c r="B245" s="259"/>
      <c r="C245" s="260"/>
      <c r="D245" s="259"/>
      <c r="E245" s="261"/>
      <c r="F245" s="261"/>
      <c r="G245" s="261"/>
      <c r="H245" s="26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258"/>
      <c r="B246" s="259"/>
      <c r="C246" s="260"/>
      <c r="D246" s="259"/>
      <c r="E246" s="261"/>
      <c r="F246" s="261"/>
      <c r="G246" s="261"/>
      <c r="H246" s="26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258"/>
      <c r="B247" s="259"/>
      <c r="C247" s="260"/>
      <c r="D247" s="259"/>
      <c r="E247" s="261"/>
      <c r="F247" s="261"/>
      <c r="G247" s="261"/>
      <c r="H247" s="261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258"/>
      <c r="B248" s="259"/>
      <c r="C248" s="260"/>
      <c r="D248" s="259"/>
      <c r="E248" s="261"/>
      <c r="F248" s="261"/>
      <c r="G248" s="261"/>
      <c r="H248" s="261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79" t="s">
        <v>186</v>
      </c>
      <c r="D268" s="279"/>
      <c r="E268" s="280" t="s">
        <v>187</v>
      </c>
      <c r="F268" s="281"/>
      <c r="G268" s="281"/>
      <c r="H268" s="28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0" sqref="G10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92" t="s">
        <v>191</v>
      </c>
      <c r="C2" s="293"/>
      <c r="D2" s="293"/>
      <c r="E2" s="293"/>
      <c r="F2" s="293"/>
      <c r="G2" s="29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91"/>
      <c r="C4" s="291"/>
      <c r="D4" s="291"/>
      <c r="E4" s="291"/>
      <c r="F4" s="291"/>
      <c r="G4" s="29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98" t="s">
        <v>176</v>
      </c>
      <c r="C1" s="299"/>
      <c r="D1" s="299"/>
      <c r="E1" s="299"/>
      <c r="F1" s="299"/>
      <c r="G1" s="299"/>
      <c r="H1" s="300"/>
      <c r="I1" s="295" t="str">
        <f>IF('Données projet'!$B$9="","",'Données projet'!$B$9)</f>
        <v>Pin laricio</v>
      </c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7"/>
      <c r="AD1" s="296" t="str">
        <f>IF('Données projet'!$B$10="","",'Données projet'!$B$10)</f>
        <v>Pin laricio</v>
      </c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7"/>
      <c r="AY1" s="295" t="str">
        <f>IF('Données projet'!$B$11="","",'Données projet'!$B$11)</f>
        <v>Douglas</v>
      </c>
      <c r="AZ1" s="296"/>
      <c r="BA1" s="296"/>
      <c r="BB1" s="296"/>
      <c r="BC1" s="296"/>
      <c r="BD1" s="296"/>
      <c r="BE1" s="296"/>
      <c r="BF1" s="296"/>
      <c r="BG1" s="296"/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  <c r="BS1" s="297"/>
      <c r="BT1" s="295" t="str">
        <f>IF('Données projet'!$B$12="","",'Données projet'!$B$12)</f>
        <v>Cèdre de l'Atlas</v>
      </c>
      <c r="BU1" s="296"/>
      <c r="BV1" s="296"/>
      <c r="BW1" s="296"/>
      <c r="BX1" s="296"/>
      <c r="BY1" s="296"/>
      <c r="BZ1" s="296"/>
      <c r="CA1" s="296"/>
      <c r="CB1" s="296"/>
      <c r="CC1" s="296"/>
      <c r="CD1" s="296"/>
      <c r="CE1" s="296"/>
      <c r="CF1" s="296"/>
      <c r="CG1" s="296"/>
      <c r="CH1" s="296"/>
      <c r="CI1" s="296"/>
      <c r="CJ1" s="296"/>
      <c r="CK1" s="296"/>
      <c r="CL1" s="296"/>
      <c r="CM1" s="296"/>
      <c r="CN1" s="297"/>
      <c r="CO1" s="295" t="str">
        <f>IF('Données projet'!$B$13="","",'Données projet'!$B$13)</f>
        <v>Cèdre de l'Atlas</v>
      </c>
      <c r="CP1" s="296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DC1" s="296"/>
      <c r="DD1" s="296"/>
      <c r="DE1" s="296"/>
      <c r="DF1" s="296"/>
      <c r="DG1" s="296"/>
      <c r="DH1" s="296"/>
      <c r="DI1" s="297"/>
      <c r="DJ1" s="295" t="str">
        <f>IF('Données projet'!$B$14="","",'Données projet'!$B$14)</f>
        <v>Chêne pubescent</v>
      </c>
      <c r="DK1" s="296"/>
      <c r="DL1" s="296"/>
      <c r="DM1" s="296"/>
      <c r="DN1" s="296"/>
      <c r="DO1" s="296"/>
      <c r="DP1" s="296"/>
      <c r="DQ1" s="296"/>
      <c r="DR1" s="296"/>
      <c r="DS1" s="296"/>
      <c r="DT1" s="296"/>
      <c r="DU1" s="296"/>
      <c r="DV1" s="296"/>
      <c r="DW1" s="296"/>
      <c r="DX1" s="296"/>
      <c r="DY1" s="296"/>
      <c r="DZ1" s="296"/>
      <c r="EA1" s="296"/>
      <c r="EB1" s="296"/>
      <c r="EC1" s="296"/>
      <c r="ED1" s="297"/>
      <c r="EE1" s="295" t="str">
        <f>IF('Données projet'!$B$15="","",'Données projet'!$B$15)</f>
        <v>Erable plane</v>
      </c>
      <c r="EF1" s="296"/>
      <c r="EG1" s="296"/>
      <c r="EH1" s="296"/>
      <c r="EI1" s="296"/>
      <c r="EJ1" s="296"/>
      <c r="EK1" s="296"/>
      <c r="EL1" s="296"/>
      <c r="EM1" s="296"/>
      <c r="EN1" s="296"/>
      <c r="EO1" s="296"/>
      <c r="EP1" s="296"/>
      <c r="EQ1" s="296"/>
      <c r="ER1" s="296"/>
      <c r="ES1" s="296"/>
      <c r="ET1" s="296"/>
      <c r="EU1" s="296"/>
      <c r="EV1" s="296"/>
      <c r="EW1" s="296"/>
      <c r="EX1" s="296"/>
      <c r="EY1" s="297"/>
      <c r="EZ1" s="295" t="str">
        <f>IF('Données projet'!$B$16="","",'Données projet'!$B$16)</f>
        <v>Aulne à feuilles en cœur</v>
      </c>
      <c r="FA1" s="296"/>
      <c r="FB1" s="296"/>
      <c r="FC1" s="296"/>
      <c r="FD1" s="296"/>
      <c r="FE1" s="296"/>
      <c r="FF1" s="296"/>
      <c r="FG1" s="296"/>
      <c r="FH1" s="296"/>
      <c r="FI1" s="296"/>
      <c r="FJ1" s="296"/>
      <c r="FK1" s="296"/>
      <c r="FL1" s="296"/>
      <c r="FM1" s="296"/>
      <c r="FN1" s="296"/>
      <c r="FO1" s="296"/>
      <c r="FP1" s="296"/>
      <c r="FQ1" s="296"/>
      <c r="FR1" s="296"/>
      <c r="FS1" s="296"/>
      <c r="FT1" s="297"/>
      <c r="FU1" s="295" t="str">
        <f>IF('Données projet'!$B$17="","",'Données projet'!$B$17)</f>
        <v/>
      </c>
      <c r="FV1" s="296"/>
      <c r="FW1" s="296"/>
      <c r="FX1" s="296"/>
      <c r="FY1" s="296"/>
      <c r="FZ1" s="296"/>
      <c r="GA1" s="296"/>
      <c r="GB1" s="296"/>
      <c r="GC1" s="296"/>
      <c r="GD1" s="296"/>
      <c r="GE1" s="296"/>
      <c r="GF1" s="296"/>
      <c r="GG1" s="296"/>
      <c r="GH1" s="296"/>
      <c r="GI1" s="296"/>
      <c r="GJ1" s="296"/>
      <c r="GK1" s="296"/>
      <c r="GL1" s="296"/>
      <c r="GM1" s="296"/>
      <c r="GN1" s="296"/>
      <c r="GO1" s="297"/>
      <c r="GP1" s="295" t="str">
        <f>IF('Données projet'!$B$18="","",'Données projet'!$B$18)</f>
        <v/>
      </c>
      <c r="GQ1" s="296"/>
      <c r="GR1" s="296"/>
      <c r="GS1" s="296"/>
      <c r="GT1" s="296"/>
      <c r="GU1" s="296"/>
      <c r="GV1" s="296"/>
      <c r="GW1" s="296"/>
      <c r="GX1" s="296"/>
      <c r="GY1" s="296"/>
      <c r="GZ1" s="296"/>
      <c r="HA1" s="296"/>
      <c r="HB1" s="296"/>
      <c r="HC1" s="296"/>
      <c r="HD1" s="296"/>
      <c r="HE1" s="296"/>
      <c r="HF1" s="296"/>
      <c r="HG1" s="296"/>
      <c r="HH1" s="296"/>
      <c r="HI1" s="296"/>
      <c r="HJ1" s="29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284.60021367910457</v>
      </c>
      <c r="T3" s="59">
        <f>IF('Données projet'!E9&gt;30,$R$33-$H$33,LOOKUP('Données projet'!$E$9,$A$3:$A$203,R3:R203)-LOOKUP('Données projet'!$E$9,$A$3:$A$203,$H$3:$H$203))</f>
        <v>301.41905904220812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294.45857786714919</v>
      </c>
      <c r="AO3" s="59">
        <f>IF('Données projet'!E10&gt;30,$AM$33-$H$33,LOOKUP('Données projet'!$E$10,$A$3:$A$203,AM3:AM203)-LOOKUP('Données projet'!$E$10,$A$3:$A$203,$H$3:$H$203))</f>
        <v>221.9773436301067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304.91676868833792</v>
      </c>
      <c r="BJ3" s="59">
        <f>IF('Données projet'!E11&gt;30,$BH$33-$H$33,LOOKUP('Données projet'!$E$11,$A$3:$A$203,BH3:BH203)-LOOKUP('Données projet'!$E$11,$A$3:$A$203,$H$3:$H$203))</f>
        <v>365.95065044620048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259.87681411271632</v>
      </c>
      <c r="CE3" s="59">
        <f>IF('Données projet'!E12&gt;30,$CC$33-$H$33,LOOKUP('Données projet'!$E$12,$A$3:$A$203,CC3:CC203)-LOOKUP('Données projet'!$E$12,$A$3:$A$203,$H$3:$H$203))</f>
        <v>191.8684235641158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137.59122085719031</v>
      </c>
      <c r="CZ3" s="59">
        <f>IF('Données projet'!E13&gt;30,$CX$33-$H$33,LOOKUP('Données projet'!$E$13,$A$3:$A$203,CX3:CX203)-LOOKUP('Données projet'!$E$13,$A$3:$A$203,$H$3:$H$203))</f>
        <v>130.1134470448718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313.90901812281373</v>
      </c>
      <c r="DU3" s="59">
        <f>IF('Données projet'!E14&gt;30,$DS$33-$H$33,LOOKUP('Données projet'!$E$14,$A$3:$A$203,DS3:DS203)-LOOKUP('Données projet'!$E$14,$A$3:$A$203,$H$3:$H$203))</f>
        <v>210.54265725995265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316.52407313312403</v>
      </c>
      <c r="EP3" s="59">
        <f>IF('Données projet'!E15&gt;30,$EN$33-$H$33,LOOKUP('Données projet'!$E$15,$A$3:$A$203,EN3:EN203)-LOOKUP('Données projet'!$E$15,$A$3:$A$203,$H$3:$H$203))</f>
        <v>340.55949748167382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199.99826357281154</v>
      </c>
      <c r="FK3" s="59">
        <f>IF('Données projet'!E16&gt;30,$FI$33-$H$33,LOOKUP('Données projet'!$E$16,$A$3:$A$203,FI3:FI203)-LOOKUP('Données projet'!$E$16,$A$3:$A$203,$H$3:$H$203))</f>
        <v>214.67424457475136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6.9411764705882355</v>
      </c>
      <c r="N4" s="13">
        <f>IF('Données projet'!$A$36&gt;35,N3+M4-V3,IF(A4&lt;'Données projet'!$A$36,$K$205^A4,IF(A4='Données projet'!$A$36,'Données projet'!$B$36,N3+M4-V3)))</f>
        <v>1.3239616704988877</v>
      </c>
      <c r="O4" s="13">
        <f>N4*VLOOKUP('Données projet'!$B$9,Paramètres!$A$1:$I$89,3,0)*VLOOKUP('Données projet'!$B$9,Paramètres!$A$1:$I$89,5,0)</f>
        <v>0.79172907895833489</v>
      </c>
      <c r="P4" s="13">
        <f>EXP(-1.0587+0.8836*LN(O4)+0.284)</f>
        <v>0.37491631974909195</v>
      </c>
      <c r="Q4" s="20">
        <f t="shared" ref="Q4:Q34" si="2">(O4+P4)*0.475*44/12</f>
        <v>2.031907402748768</v>
      </c>
      <c r="R4" s="59">
        <f t="shared" si="0"/>
        <v>295.36524073608206</v>
      </c>
      <c r="S4" s="59">
        <f ca="1">AVERAGE(OFFSET($R$3,0,0,'Données projet'!$E$9+1,1))-AVERAGE(OFFSET($H$3,0,0,'Données projet'!$E$9+1,1))</f>
        <v>284.60021367910457</v>
      </c>
      <c r="T4" s="59">
        <f>$T$3</f>
        <v>301.41905904220812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295.24773087079586</v>
      </c>
      <c r="AN4" s="59">
        <f ca="1">AVERAGE(OFFSET($AM$3,0,0,'Données projet'!$E$10+1,1))-AVERAGE(OFFSET($H$3,0,0,'Données projet'!$E$10+1,1))</f>
        <v>294.45857786714919</v>
      </c>
      <c r="AO4" s="59">
        <f>$AO$3</f>
        <v>221.9773436301067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7.0434782608695654</v>
      </c>
      <c r="BD4" s="12">
        <f>IF('Données projet'!$A$88&gt;35,BD3+BC4-BL3,IF(A4&lt;'Données projet'!$A$88,$BA$205^A4,IF(A4='Données projet'!$A$88,'Données projet'!$B$88,BD3+BC4-BL3)))</f>
        <v>1.2475727214128975</v>
      </c>
      <c r="BE4" s="13">
        <f>BD4*VLOOKUP('Données projet'!$B$11,Paramètres!$A$1:$I$89,3,0)*VLOOKUP('Données projet'!$B$11,Paramètres!$A$1:$I$89,5,0)</f>
        <v>0.69739315126980972</v>
      </c>
      <c r="BF4" s="13">
        <f>EXP(-1.0587+0.8836*LN(BE4)+0.284)</f>
        <v>0.33515749918532894</v>
      </c>
      <c r="BG4" s="20">
        <f t="shared" ref="BG4:BG67" si="7">(BE4+BF4)*0.475*44/12</f>
        <v>1.7983590495427</v>
      </c>
      <c r="BH4" s="59">
        <f t="shared" ref="BH4:BH67" si="8">BG4+(AY4+AZ4)*44/12</f>
        <v>295.131692382876</v>
      </c>
      <c r="BI4" s="59">
        <f ca="1">AVERAGE(OFFSET($BH$3,0,0,'Données projet'!$E$11+1,1))-AVERAGE(OFFSET($H$3,0,0,'Données projet'!$E$11+1,1))</f>
        <v>304.91676868833792</v>
      </c>
      <c r="BJ4" s="59">
        <f>$BJ$3</f>
        <v>365.95065044620048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259.87681411271632</v>
      </c>
      <c r="CE4" s="59">
        <f>$CE$3</f>
        <v>191.8684235641158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5.75</v>
      </c>
      <c r="CT4" s="12">
        <f>IF('Données projet'!$A$140&gt;35,CT3+CS4-DB3,IF(A4&lt;'Données projet'!$A$140,$CQ$205^A4,IF(A4='Données projet'!$A$140,'Données projet'!$B$140,CT3+CS4-DB3)))</f>
        <v>1.2677537154322802</v>
      </c>
      <c r="CU4" s="17">
        <f>CT4*VLOOKUP('Données projet'!$B$13,Paramètres!$A$1:$I$89,3,0)*VLOOKUP('Données projet'!$B$13,Paramètres!$A$1:$I$89,5,0)</f>
        <v>0.59330873882230706</v>
      </c>
      <c r="CV4" s="13">
        <f>EXP(-1.0587+0.8836*LN(CU4)+0.284)</f>
        <v>0.29055137246158741</v>
      </c>
      <c r="CW4" s="20">
        <f t="shared" ref="CW4:CW67" si="13">(CU4+CV4)*0.475*44/12</f>
        <v>1.5393896938194491</v>
      </c>
      <c r="CX4" s="59">
        <f t="shared" ref="CX4:CX67" si="14">CW4+(CO4+CP4)*44/12</f>
        <v>294.87272302715274</v>
      </c>
      <c r="CY4" s="59">
        <f ca="1">AVERAGE(OFFSET($CX$3,0,0,'Données projet'!$E$13+1,1))-AVERAGE(OFFSET($H$3,0,0,'Données projet'!$E$13+1,1))</f>
        <v>137.59122085719031</v>
      </c>
      <c r="CZ4" s="59">
        <f>$CZ$3</f>
        <v>130.1134470448718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3.6388888888888888</v>
      </c>
      <c r="DO4" s="12">
        <f>IF('Données projet'!$A$166&gt;35,DO3+DN4-DW3,IF(A4&lt;'Données projet'!$A$166,$DL$205^A4,IF(A4='Données projet'!$A$166,'Données projet'!$B$166,DO3+DN4-DW3)))</f>
        <v>3.6388888888888888</v>
      </c>
      <c r="DP4" s="17">
        <f>DO4*VLOOKUP('Données projet'!$B$14,Paramètres!$A$1:$I$89,3,0)*VLOOKUP('Données projet'!$B$14,Paramètres!$A$1:$I$89,5,0)</f>
        <v>3.689833333333334</v>
      </c>
      <c r="DQ4" s="13">
        <f>EXP(-1.0587+0.8836*LN(DP4)+0.284)</f>
        <v>1.4606939452553556</v>
      </c>
      <c r="DR4" s="20">
        <f t="shared" ref="DR4:DR67" si="16">(DP4+DQ4)*0.475*44/12</f>
        <v>8.9705016768752994</v>
      </c>
      <c r="DS4" s="59">
        <f t="shared" ref="DS4:DS67" si="17">DR4+(DJ4+DK4)*44/12</f>
        <v>302.30383501020862</v>
      </c>
      <c r="DT4" s="59">
        <f ca="1">AVERAGE(OFFSET($DS$3,0,0,'Données projet'!$E$14+1,1))-AVERAGE(OFFSET($H$3,0,0,'Données projet'!$E$14+1,1))</f>
        <v>313.90901812281373</v>
      </c>
      <c r="DU4" s="59">
        <f>$DU$3</f>
        <v>210.54265725995265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6.971916666666667</v>
      </c>
      <c r="EJ4" s="12">
        <f>IF('Données projet'!$A$192&gt;35,EJ3+EI4-ER3,IF(A4&lt;'Données projet'!$A$192,$EG$205^A4,IF(A4='Données projet'!$A$192,'Données projet'!$B$192,EJ3+EI4-ER3)))</f>
        <v>1.3634196946295916</v>
      </c>
      <c r="EK4" s="17">
        <f>EJ4*VLOOKUP('Données projet'!$B$15,Paramètres!$A$1:$I$89,3,0)*VLOOKUP('Données projet'!$B$15,Paramètres!$A$1:$I$89,5,0)</f>
        <v>1.0847367090473032</v>
      </c>
      <c r="EL4" s="13">
        <f>EXP(-1.0587+0.8836*LN(EK4)+0.284)</f>
        <v>0.4951817719097259</v>
      </c>
      <c r="EM4" s="20">
        <f t="shared" ref="EM4:EM67" si="19">(EK4+EL4)*0.475*44/12</f>
        <v>2.751691354333492</v>
      </c>
      <c r="EN4" s="59">
        <f t="shared" ref="EN4:EN67" si="20">EM4+(EE4+EF4)*44/12</f>
        <v>296.08502468766682</v>
      </c>
      <c r="EO4" s="59">
        <f ca="1">AVERAGE(OFFSET($EN$3,0,0,'Données projet'!$E$15+1,1))-AVERAGE(OFFSET($H$3,0,0,'Données projet'!$E$15+1,1))</f>
        <v>316.52407313312403</v>
      </c>
      <c r="EP4" s="59">
        <f>$EP$3</f>
        <v>340.55949748167382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5.4069999999999991</v>
      </c>
      <c r="FE4" s="12">
        <f>IF('Données projet'!$A$218&gt;35,FE3+FD4-FM3,IF(A4&lt;'Données projet'!$A$218,$FB$205^A4,IF(A4='Données projet'!$A$218,'Données projet'!$B$218,FE3+FD4-FM3)))</f>
        <v>1.3405093326912476</v>
      </c>
      <c r="FF4" s="17">
        <f>FE4*VLOOKUP('Données projet'!$B$16,Paramètres!$A$1:$I$89,3,0)*VLOOKUP('Données projet'!$B$16,Paramètres!$A$1:$I$89,5,0)</f>
        <v>0.87830171477930552</v>
      </c>
      <c r="FG4" s="13">
        <f>EXP(-1.0587+0.8836*LN(FF4)+0.284)</f>
        <v>0.41091847271935666</v>
      </c>
      <c r="FH4" s="20">
        <f t="shared" ref="FH4:FH67" si="22">(FF4+FG4)*0.475*44/12</f>
        <v>2.2453918265601698</v>
      </c>
      <c r="FI4" s="59">
        <f t="shared" ref="FI4:FI67" si="23">FH4+(EZ4+FA4)*44/12</f>
        <v>295.57872515989351</v>
      </c>
      <c r="FJ4" s="59">
        <f ca="1">AVERAGE(OFFSET($FI$3,0,0,'Données projet'!$E$16+1,1))-AVERAGE(OFFSET($H$3,0,0,'Données projet'!$E$16+1,1))</f>
        <v>199.99826357281154</v>
      </c>
      <c r="FK4" s="59">
        <f>$FK$3</f>
        <v>214.67424457475136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6.9411764705882355</v>
      </c>
      <c r="N5" s="13">
        <f>IF('Données projet'!$A$36&gt;35,N4+M5-V4,IF(A5&lt;'Données projet'!$A$36,$K$205^A5,IF(A5='Données projet'!$A$36,'Données projet'!$B$36,N4+M5-V4)))</f>
        <v>1.7528745049502052</v>
      </c>
      <c r="O5" s="13">
        <f>N5*VLOOKUP('Données projet'!$B$9,Paramètres!$A$1:$I$89,3,0)*VLOOKUP('Données projet'!$B$9,Paramètres!$A$1:$I$89,5,0)</f>
        <v>1.0482189539602227</v>
      </c>
      <c r="P5" s="13">
        <f t="shared" ref="P5:P68" si="33">EXP(-1.0587+0.8836*LN(O5)+0.284)</f>
        <v>0.48042263342477459</v>
      </c>
      <c r="Q5" s="20">
        <f t="shared" si="2"/>
        <v>2.6623840980288702</v>
      </c>
      <c r="R5" s="59">
        <f t="shared" si="0"/>
        <v>295.99571743136221</v>
      </c>
      <c r="S5" s="59">
        <f ca="1">AVERAGE(OFFSET($R$3,0,0,'Données projet'!$E$9+1,1))-AVERAGE(OFFSET($H$3,0,0,'Données projet'!$E$9+1,1))</f>
        <v>284.60021367910457</v>
      </c>
      <c r="T5" s="59">
        <f t="shared" ref="T5:T68" si="34">$T$3</f>
        <v>301.41905904220812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295.69646345569345</v>
      </c>
      <c r="AN5" s="59">
        <f ca="1">AVERAGE(OFFSET($AM$3,0,0,'Données projet'!$E$10+1,1))-AVERAGE(OFFSET($H$3,0,0,'Données projet'!$E$10+1,1))</f>
        <v>294.45857786714919</v>
      </c>
      <c r="AO5" s="59">
        <f t="shared" ref="AO5:AO68" si="36">$AO$3</f>
        <v>221.9773436301067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7.0434782608695654</v>
      </c>
      <c r="BD5" s="12">
        <f>IF('Données projet'!$A$88&gt;35,BD4+BC5-BL4,IF(A5&lt;'Données projet'!$A$88,$BA$205^A5,IF(A5='Données projet'!$A$88,'Données projet'!$B$88,BD4+BC5-BL4)))</f>
        <v>1.5564376952135832</v>
      </c>
      <c r="BE5" s="13">
        <f>BD5*VLOOKUP('Données projet'!$B$11,Paramètres!$A$1:$I$89,3,0)*VLOOKUP('Données projet'!$B$11,Paramètres!$A$1:$I$89,5,0)</f>
        <v>0.87004867162439303</v>
      </c>
      <c r="BF5" s="13">
        <f t="shared" ref="BF5:BF68" si="37">EXP(-1.0587+0.8836*LN(BE5)+0.284)</f>
        <v>0.40750481451495241</v>
      </c>
      <c r="BG5" s="20">
        <f t="shared" si="7"/>
        <v>2.2250723216926933</v>
      </c>
      <c r="BH5" s="59">
        <f t="shared" si="8"/>
        <v>295.55840565502604</v>
      </c>
      <c r="BI5" s="59">
        <f ca="1">AVERAGE(OFFSET($BH$3,0,0,'Données projet'!$E$11+1,1))-AVERAGE(OFFSET($H$3,0,0,'Données projet'!$E$11+1,1))</f>
        <v>304.91676868833792</v>
      </c>
      <c r="BJ5" s="59">
        <f t="shared" ref="BJ5:BJ68" si="38">$BJ$3</f>
        <v>365.95065044620048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259.87681411271632</v>
      </c>
      <c r="CE5" s="59">
        <f t="shared" ref="CE5:CE68" si="40">$CE$3</f>
        <v>191.8684235641158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5.75</v>
      </c>
      <c r="CT5" s="12">
        <f>IF('Données projet'!$A$140&gt;35,CT4+CS5-DB4,IF(A5&lt;'Données projet'!$A$140,$CQ$205^A5,IF(A5='Données projet'!$A$140,'Données projet'!$B$140,CT4+CS5-DB4)))</f>
        <v>1.6071994829923508</v>
      </c>
      <c r="CU5" s="17">
        <f>CT5*VLOOKUP('Données projet'!$B$13,Paramètres!$A$1:$I$89,3,0)*VLOOKUP('Données projet'!$B$13,Paramètres!$A$1:$I$89,5,0)</f>
        <v>0.75216935804042018</v>
      </c>
      <c r="CV5" s="13">
        <f t="shared" ref="CV5:CV68" si="41">EXP(-1.0587+0.8836*LN(CU5)+0.284)</f>
        <v>0.35831464735172275</v>
      </c>
      <c r="CW5" s="20">
        <f t="shared" si="13"/>
        <v>1.9340929760579824</v>
      </c>
      <c r="CX5" s="59">
        <f t="shared" si="14"/>
        <v>295.26742630939128</v>
      </c>
      <c r="CY5" s="59">
        <f ca="1">AVERAGE(OFFSET($CX$3,0,0,'Données projet'!$E$13+1,1))-AVERAGE(OFFSET($H$3,0,0,'Données projet'!$E$13+1,1))</f>
        <v>137.59122085719031</v>
      </c>
      <c r="CZ5" s="59">
        <f t="shared" ref="CZ5:CZ68" si="42">$CZ$3</f>
        <v>130.1134470448718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3.6388888888888888</v>
      </c>
      <c r="DO5" s="12">
        <f>IF('Données projet'!$A$166&gt;35,DO4+DN5-DW4,IF(A5&lt;'Données projet'!$A$166,$DL$205^A5,IF(A5='Données projet'!$A$166,'Données projet'!$B$166,DO4+DN5-DW4)))</f>
        <v>7.2777777777777777</v>
      </c>
      <c r="DP5" s="17">
        <f>DO5*VLOOKUP('Données projet'!$B$14,Paramètres!$A$1:$I$89,3,0)*VLOOKUP('Données projet'!$B$14,Paramètres!$A$1:$I$89,5,0)</f>
        <v>7.3796666666666679</v>
      </c>
      <c r="DQ5" s="13">
        <f t="shared" ref="DQ5:DQ68" si="43">EXP(-1.0587+0.8836*LN(DP5)+0.284)</f>
        <v>2.694941444079987</v>
      </c>
      <c r="DR5" s="20">
        <f t="shared" si="16"/>
        <v>17.546609126217092</v>
      </c>
      <c r="DS5" s="59">
        <f t="shared" si="17"/>
        <v>310.87994245955042</v>
      </c>
      <c r="DT5" s="59">
        <f ca="1">AVERAGE(OFFSET($DS$3,0,0,'Données projet'!$E$14+1,1))-AVERAGE(OFFSET($H$3,0,0,'Données projet'!$E$14+1,1))</f>
        <v>313.90901812281373</v>
      </c>
      <c r="DU5" s="59">
        <f t="shared" ref="DU5:DU68" si="44">$DU$3</f>
        <v>210.54265725995265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6.971916666666667</v>
      </c>
      <c r="EJ5" s="12">
        <f>IF('Données projet'!$A$192&gt;35,EJ4+EI5-ER4,IF(A5&lt;'Données projet'!$A$192,$EG$205^A5,IF(A5='Données projet'!$A$192,'Données projet'!$B$192,EJ4+EI5-ER4)))</f>
        <v>1.8589132637038488</v>
      </c>
      <c r="EK5" s="17">
        <f>EJ5*VLOOKUP('Données projet'!$B$15,Paramètres!$A$1:$I$89,3,0)*VLOOKUP('Données projet'!$B$15,Paramètres!$A$1:$I$89,5,0)</f>
        <v>1.4789513926027822</v>
      </c>
      <c r="EL5" s="13">
        <f t="shared" ref="EL5:EL68" si="45">EXP(-1.0587+0.8836*LN(EK5)+0.284)</f>
        <v>0.65121340457426158</v>
      </c>
      <c r="EM5" s="20">
        <f t="shared" si="19"/>
        <v>3.710037021750018</v>
      </c>
      <c r="EN5" s="59">
        <f t="shared" si="20"/>
        <v>297.04337035508331</v>
      </c>
      <c r="EO5" s="59">
        <f ca="1">AVERAGE(OFFSET($EN$3,0,0,'Données projet'!$E$15+1,1))-AVERAGE(OFFSET($H$3,0,0,'Données projet'!$E$15+1,1))</f>
        <v>316.52407313312403</v>
      </c>
      <c r="EP5" s="59">
        <f t="shared" ref="EP5:EP68" si="46">$EP$3</f>
        <v>340.55949748167382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5.4069999999999991</v>
      </c>
      <c r="FE5" s="12">
        <f>IF('Données projet'!$A$218&gt;35,FE4+FD5-FM4,IF(A5&lt;'Données projet'!$A$218,$FB$205^A5,IF(A5='Données projet'!$A$218,'Données projet'!$B$218,FE4+FD5-FM4)))</f>
        <v>1.7969652710323341</v>
      </c>
      <c r="FF5" s="17">
        <f>FE5*VLOOKUP('Données projet'!$B$16,Paramètres!$A$1:$I$89,3,0)*VLOOKUP('Données projet'!$B$16,Paramètres!$A$1:$I$89,5,0)</f>
        <v>1.1773716455803853</v>
      </c>
      <c r="FG5" s="13">
        <f t="shared" ref="FG5:FG68" si="47">EXP(-1.0587+0.8836*LN(FF5)+0.284)</f>
        <v>0.53236720925174985</v>
      </c>
      <c r="FH5" s="20">
        <f t="shared" si="22"/>
        <v>2.9777951721659686</v>
      </c>
      <c r="FI5" s="59">
        <f t="shared" si="23"/>
        <v>296.31112850549925</v>
      </c>
      <c r="FJ5" s="59">
        <f ca="1">AVERAGE(OFFSET($FI$3,0,0,'Données projet'!$E$16+1,1))-AVERAGE(OFFSET($H$3,0,0,'Données projet'!$E$16+1,1))</f>
        <v>199.99826357281154</v>
      </c>
      <c r="FK5" s="59">
        <f t="shared" ref="FK5:FK68" si="48">$FK$3</f>
        <v>214.67424457475136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6.9411764705882355</v>
      </c>
      <c r="N6" s="13">
        <f>IF('Données projet'!$A$36&gt;35,N5+M6-V5,IF(A6&lt;'Données projet'!$A$36,$K$205^A6,IF(A6='Données projet'!$A$36,'Données projet'!$B$36,N5+M6-V5)))</f>
        <v>2.3207386577487843</v>
      </c>
      <c r="O6" s="13">
        <f>N6*VLOOKUP('Données projet'!$B$9,Paramètres!$A$1:$I$89,3,0)*VLOOKUP('Données projet'!$B$9,Paramètres!$A$1:$I$89,5,0)</f>
        <v>1.3878017173337731</v>
      </c>
      <c r="P6" s="13">
        <f t="shared" si="33"/>
        <v>0.61561979180116611</v>
      </c>
      <c r="Q6" s="20">
        <f t="shared" si="2"/>
        <v>3.4892924617433518</v>
      </c>
      <c r="R6" s="59">
        <f t="shared" si="0"/>
        <v>296.82262579507665</v>
      </c>
      <c r="S6" s="59">
        <f ca="1">AVERAGE(OFFSET($R$3,0,0,'Données projet'!$E$9+1,1))-AVERAGE(OFFSET($H$3,0,0,'Données projet'!$E$9+1,1))</f>
        <v>284.60021367910457</v>
      </c>
      <c r="T6" s="59">
        <f t="shared" si="34"/>
        <v>301.41905904220812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296.25078815720536</v>
      </c>
      <c r="AN6" s="59">
        <f ca="1">AVERAGE(OFFSET($AM$3,0,0,'Données projet'!$E$10+1,1))-AVERAGE(OFFSET($H$3,0,0,'Données projet'!$E$10+1,1))</f>
        <v>294.45857786714919</v>
      </c>
      <c r="AO6" s="59">
        <f t="shared" si="36"/>
        <v>221.9773436301067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7.0434782608695654</v>
      </c>
      <c r="BD6" s="12">
        <f>IF('Données projet'!$A$88&gt;35,BD5+BC6-BL5,IF(A6&lt;'Données projet'!$A$88,$BA$205^A6,IF(A6='Données projet'!$A$88,'Données projet'!$B$88,BD5+BC6-BL5)))</f>
        <v>1.941769211127228</v>
      </c>
      <c r="BE6" s="13">
        <f>BD6*VLOOKUP('Données projet'!$B$11,Paramètres!$A$1:$I$89,3,0)*VLOOKUP('Données projet'!$B$11,Paramètres!$A$1:$I$89,5,0)</f>
        <v>1.0854489890201204</v>
      </c>
      <c r="BF6" s="13">
        <f t="shared" si="37"/>
        <v>0.49546906829329518</v>
      </c>
      <c r="BG6" s="20">
        <f t="shared" si="7"/>
        <v>2.7534322831541989</v>
      </c>
      <c r="BH6" s="59">
        <f t="shared" si="8"/>
        <v>296.08676561648753</v>
      </c>
      <c r="BI6" s="59">
        <f ca="1">AVERAGE(OFFSET($BH$3,0,0,'Données projet'!$E$11+1,1))-AVERAGE(OFFSET($H$3,0,0,'Données projet'!$E$11+1,1))</f>
        <v>304.91676868833792</v>
      </c>
      <c r="BJ6" s="59">
        <f t="shared" si="38"/>
        <v>365.95065044620048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259.87681411271632</v>
      </c>
      <c r="CE6" s="59">
        <f t="shared" si="40"/>
        <v>191.8684235641158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5.75</v>
      </c>
      <c r="CT6" s="12">
        <f>IF('Données projet'!$A$140&gt;35,CT5+CS6-DB5,IF(A6&lt;'Données projet'!$A$140,$CQ$205^A6,IF(A6='Données projet'!$A$140,'Données projet'!$B$140,CT5+CS6-DB5)))</f>
        <v>2.0375331160043926</v>
      </c>
      <c r="CU6" s="17">
        <f>CT6*VLOOKUP('Données projet'!$B$13,Paramètres!$A$1:$I$89,3,0)*VLOOKUP('Données projet'!$B$13,Paramètres!$A$1:$I$89,5,0)</f>
        <v>0.95356549829005577</v>
      </c>
      <c r="CV6" s="13">
        <f t="shared" si="41"/>
        <v>0.44188187933534279</v>
      </c>
      <c r="CW6" s="20">
        <f t="shared" si="13"/>
        <v>2.4304041826975693</v>
      </c>
      <c r="CX6" s="59">
        <f t="shared" si="14"/>
        <v>295.76373751603086</v>
      </c>
      <c r="CY6" s="59">
        <f ca="1">AVERAGE(OFFSET($CX$3,0,0,'Données projet'!$E$13+1,1))-AVERAGE(OFFSET($H$3,0,0,'Données projet'!$E$13+1,1))</f>
        <v>137.59122085719031</v>
      </c>
      <c r="CZ6" s="59">
        <f t="shared" si="42"/>
        <v>130.1134470448718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3.6388888888888888</v>
      </c>
      <c r="DO6" s="12">
        <f>IF('Données projet'!$A$166&gt;35,DO5+DN6-DW5,IF(A6&lt;'Données projet'!$A$166,$DL$205^A6,IF(A6='Données projet'!$A$166,'Données projet'!$B$166,DO5+DN6-DW5)))</f>
        <v>10.916666666666666</v>
      </c>
      <c r="DP6" s="17">
        <f>DO6*VLOOKUP('Données projet'!$B$14,Paramètres!$A$1:$I$89,3,0)*VLOOKUP('Données projet'!$B$14,Paramètres!$A$1:$I$89,5,0)</f>
        <v>11.0695</v>
      </c>
      <c r="DQ6" s="13">
        <f t="shared" si="43"/>
        <v>3.8560581076080362</v>
      </c>
      <c r="DR6" s="20">
        <f t="shared" si="16"/>
        <v>25.995347037417329</v>
      </c>
      <c r="DS6" s="59">
        <f t="shared" si="17"/>
        <v>319.32868037075065</v>
      </c>
      <c r="DT6" s="59">
        <f ca="1">AVERAGE(OFFSET($DS$3,0,0,'Données projet'!$E$14+1,1))-AVERAGE(OFFSET($H$3,0,0,'Données projet'!$E$14+1,1))</f>
        <v>313.90901812281373</v>
      </c>
      <c r="DU6" s="59">
        <f t="shared" si="44"/>
        <v>210.54265725995265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6.971916666666667</v>
      </c>
      <c r="EJ6" s="12">
        <f>IF('Données projet'!$A$192&gt;35,EJ5+EI6-ER5,IF(A6&lt;'Données projet'!$A$192,$EG$205^A6,IF(A6='Données projet'!$A$192,'Données projet'!$B$192,EJ5+EI6-ER5)))</f>
        <v>2.5344789543419988</v>
      </c>
      <c r="EK6" s="17">
        <f>EJ6*VLOOKUP('Données projet'!$B$15,Paramètres!$A$1:$I$89,3,0)*VLOOKUP('Données projet'!$B$15,Paramètres!$A$1:$I$89,5,0)</f>
        <v>2.0164314560744945</v>
      </c>
      <c r="EL6" s="13">
        <f t="shared" si="45"/>
        <v>0.85641055942283895</v>
      </c>
      <c r="EM6" s="20">
        <f t="shared" si="19"/>
        <v>5.0035331769911888</v>
      </c>
      <c r="EN6" s="59">
        <f t="shared" si="20"/>
        <v>298.33686651032451</v>
      </c>
      <c r="EO6" s="59">
        <f ca="1">AVERAGE(OFFSET($EN$3,0,0,'Données projet'!$E$15+1,1))-AVERAGE(OFFSET($H$3,0,0,'Données projet'!$E$15+1,1))</f>
        <v>316.52407313312403</v>
      </c>
      <c r="EP6" s="59">
        <f t="shared" si="46"/>
        <v>340.55949748167382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5.4069999999999991</v>
      </c>
      <c r="FE6" s="12">
        <f>IF('Données projet'!$A$218&gt;35,FE5+FD6-FM5,IF(A6&lt;'Données projet'!$A$218,$FB$205^A6,IF(A6='Données projet'!$A$218,'Données projet'!$B$218,FE5+FD6-FM5)))</f>
        <v>2.4088487163409011</v>
      </c>
      <c r="FF6" s="17">
        <f>FE6*VLOOKUP('Données projet'!$B$16,Paramètres!$A$1:$I$89,3,0)*VLOOKUP('Données projet'!$B$16,Paramètres!$A$1:$I$89,5,0)</f>
        <v>1.5782776789465582</v>
      </c>
      <c r="FG6" s="13">
        <f t="shared" si="47"/>
        <v>0.68971064652053016</v>
      </c>
      <c r="FH6" s="20">
        <f t="shared" si="22"/>
        <v>3.9500796668551783</v>
      </c>
      <c r="FI6" s="59">
        <f t="shared" si="23"/>
        <v>297.28341300018849</v>
      </c>
      <c r="FJ6" s="59">
        <f ca="1">AVERAGE(OFFSET($FI$3,0,0,'Données projet'!$E$16+1,1))-AVERAGE(OFFSET($H$3,0,0,'Données projet'!$E$16+1,1))</f>
        <v>199.99826357281154</v>
      </c>
      <c r="FK6" s="59">
        <f t="shared" si="48"/>
        <v>214.67424457475136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6.9411764705882355</v>
      </c>
      <c r="N7" s="13">
        <f>IF('Données projet'!$A$36&gt;35,N6+M7-V6,IF(A7&lt;'Données projet'!$A$36,$K$205^A7,IF(A7='Données projet'!$A$36,'Données projet'!$B$36,N6+M7-V6)))</f>
        <v>3.0725690301044271</v>
      </c>
      <c r="O7" s="13">
        <f>N7*VLOOKUP('Données projet'!$B$9,Paramètres!$A$1:$I$89,3,0)*VLOOKUP('Données projet'!$B$9,Paramètres!$A$1:$I$89,5,0)</f>
        <v>1.8373962800024475</v>
      </c>
      <c r="P7" s="13">
        <f t="shared" si="33"/>
        <v>0.78886318355909346</v>
      </c>
      <c r="Q7" s="20">
        <f t="shared" si="2"/>
        <v>4.5740685657030165</v>
      </c>
      <c r="R7" s="59">
        <f t="shared" si="0"/>
        <v>297.90740189903636</v>
      </c>
      <c r="S7" s="59">
        <f ca="1">AVERAGE(OFFSET($R$3,0,0,'Données projet'!$E$9+1,1))-AVERAGE(OFFSET($H$3,0,0,'Données projet'!$E$9+1,1))</f>
        <v>284.60021367910457</v>
      </c>
      <c r="T7" s="59">
        <f t="shared" si="34"/>
        <v>301.41905904220812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296.93564317983407</v>
      </c>
      <c r="AN7" s="59">
        <f ca="1">AVERAGE(OFFSET($AM$3,0,0,'Données projet'!$E$10+1,1))-AVERAGE(OFFSET($H$3,0,0,'Données projet'!$E$10+1,1))</f>
        <v>294.45857786714919</v>
      </c>
      <c r="AO7" s="59">
        <f t="shared" si="36"/>
        <v>221.9773436301067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7.0434782608695654</v>
      </c>
      <c r="BD7" s="12">
        <f>IF('Données projet'!$A$88&gt;35,BD6+BC7-BL6,IF(A7&lt;'Données projet'!$A$88,$BA$205^A7,IF(A7='Données projet'!$A$88,'Données projet'!$B$88,BD6+BC7-BL6)))</f>
        <v>2.4224982990817709</v>
      </c>
      <c r="BE7" s="13">
        <f>BD7*VLOOKUP('Données projet'!$B$11,Paramètres!$A$1:$I$89,3,0)*VLOOKUP('Données projet'!$B$11,Paramètres!$A$1:$I$89,5,0)</f>
        <v>1.3541765491867099</v>
      </c>
      <c r="BF7" s="13">
        <f t="shared" si="37"/>
        <v>0.60242134299107364</v>
      </c>
      <c r="BG7" s="20">
        <f t="shared" si="7"/>
        <v>3.4077413288763059</v>
      </c>
      <c r="BH7" s="59">
        <f t="shared" si="8"/>
        <v>296.7410746622096</v>
      </c>
      <c r="BI7" s="59">
        <f ca="1">AVERAGE(OFFSET($BH$3,0,0,'Données projet'!$E$11+1,1))-AVERAGE(OFFSET($H$3,0,0,'Données projet'!$E$11+1,1))</f>
        <v>304.91676868833792</v>
      </c>
      <c r="BJ7" s="59">
        <f t="shared" si="38"/>
        <v>365.95065044620048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259.87681411271632</v>
      </c>
      <c r="CE7" s="59">
        <f t="shared" si="40"/>
        <v>191.8684235641158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5.75</v>
      </c>
      <c r="CT7" s="12">
        <f>IF('Données projet'!$A$140&gt;35,CT6+CS7-DB6,IF(A7&lt;'Données projet'!$A$140,$CQ$205^A7,IF(A7='Données projet'!$A$140,'Données projet'!$B$140,CT6+CS7-DB6)))</f>
        <v>2.5830901781308797</v>
      </c>
      <c r="CU7" s="17">
        <f>CT7*VLOOKUP('Données projet'!$B$13,Paramètres!$A$1:$I$89,3,0)*VLOOKUP('Données projet'!$B$13,Paramètres!$A$1:$I$89,5,0)</f>
        <v>1.2088862033652517</v>
      </c>
      <c r="CV7" s="13">
        <f t="shared" si="41"/>
        <v>0.54493891535856476</v>
      </c>
      <c r="CW7" s="20">
        <f t="shared" si="13"/>
        <v>3.0545787484439804</v>
      </c>
      <c r="CX7" s="59">
        <f t="shared" si="14"/>
        <v>296.3879120817773</v>
      </c>
      <c r="CY7" s="59">
        <f ca="1">AVERAGE(OFFSET($CX$3,0,0,'Données projet'!$E$13+1,1))-AVERAGE(OFFSET($H$3,0,0,'Données projet'!$E$13+1,1))</f>
        <v>137.59122085719031</v>
      </c>
      <c r="CZ7" s="59">
        <f t="shared" si="42"/>
        <v>130.1134470448718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3.6388888888888888</v>
      </c>
      <c r="DO7" s="12">
        <f>IF('Données projet'!$A$166&gt;35,DO6+DN7-DW6,IF(A7&lt;'Données projet'!$A$166,$DL$205^A7,IF(A7='Données projet'!$A$166,'Données projet'!$B$166,DO6+DN7-DW6)))</f>
        <v>14.555555555555555</v>
      </c>
      <c r="DP7" s="17">
        <f>DO7*VLOOKUP('Données projet'!$B$14,Paramètres!$A$1:$I$89,3,0)*VLOOKUP('Données projet'!$B$14,Paramètres!$A$1:$I$89,5,0)</f>
        <v>14.759333333333336</v>
      </c>
      <c r="DQ7" s="13">
        <f t="shared" si="43"/>
        <v>4.9720952226924391</v>
      </c>
      <c r="DR7" s="20">
        <f t="shared" si="16"/>
        <v>34.365571401744887</v>
      </c>
      <c r="DS7" s="59">
        <f t="shared" si="17"/>
        <v>327.6989047350782</v>
      </c>
      <c r="DT7" s="59">
        <f ca="1">AVERAGE(OFFSET($DS$3,0,0,'Données projet'!$E$14+1,1))-AVERAGE(OFFSET($H$3,0,0,'Données projet'!$E$14+1,1))</f>
        <v>313.90901812281373</v>
      </c>
      <c r="DU7" s="59">
        <f t="shared" si="44"/>
        <v>210.54265725995265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6.971916666666667</v>
      </c>
      <c r="EJ7" s="12">
        <f>IF('Données projet'!$A$192&gt;35,EJ6+EI7-ER6,IF(A7&lt;'Données projet'!$A$192,$EG$205^A7,IF(A7='Données projet'!$A$192,'Données projet'!$B$192,EJ6+EI7-ER6)))</f>
        <v>3.455558521974095</v>
      </c>
      <c r="EK7" s="17">
        <f>EJ7*VLOOKUP('Données projet'!$B$15,Paramètres!$A$1:$I$89,3,0)*VLOOKUP('Données projet'!$B$15,Paramètres!$A$1:$I$89,5,0)</f>
        <v>2.7492423600825902</v>
      </c>
      <c r="EL7" s="13">
        <f t="shared" si="45"/>
        <v>1.1262652782315412</v>
      </c>
      <c r="EM7" s="20">
        <f t="shared" si="19"/>
        <v>6.7498424700637782</v>
      </c>
      <c r="EN7" s="59">
        <f t="shared" si="20"/>
        <v>300.08317580339707</v>
      </c>
      <c r="EO7" s="59">
        <f ca="1">AVERAGE(OFFSET($EN$3,0,0,'Données projet'!$E$15+1,1))-AVERAGE(OFFSET($H$3,0,0,'Données projet'!$E$15+1,1))</f>
        <v>316.52407313312403</v>
      </c>
      <c r="EP7" s="59">
        <f t="shared" si="46"/>
        <v>340.55949748167382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5.4069999999999991</v>
      </c>
      <c r="FE7" s="12">
        <f>IF('Données projet'!$A$218&gt;35,FE6+FD7-FM6,IF(A7&lt;'Données projet'!$A$218,$FB$205^A7,IF(A7='Données projet'!$A$218,'Données projet'!$B$218,FE6+FD7-FM6)))</f>
        <v>3.2290841852963097</v>
      </c>
      <c r="FF7" s="17">
        <f>FE7*VLOOKUP('Données projet'!$B$16,Paramètres!$A$1:$I$89,3,0)*VLOOKUP('Données projet'!$B$16,Paramètres!$A$1:$I$89,5,0)</f>
        <v>2.1156959582061421</v>
      </c>
      <c r="FG7" s="13">
        <f t="shared" si="47"/>
        <v>0.89355761898328112</v>
      </c>
      <c r="FH7" s="20">
        <f t="shared" si="22"/>
        <v>5.2411166469382451</v>
      </c>
      <c r="FI7" s="59">
        <f t="shared" si="23"/>
        <v>298.57444998027154</v>
      </c>
      <c r="FJ7" s="59">
        <f ca="1">AVERAGE(OFFSET($FI$3,0,0,'Données projet'!$E$16+1,1))-AVERAGE(OFFSET($H$3,0,0,'Données projet'!$E$16+1,1))</f>
        <v>199.99826357281154</v>
      </c>
      <c r="FK7" s="59">
        <f t="shared" si="48"/>
        <v>214.67424457475136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6.9411764705882355</v>
      </c>
      <c r="N8" s="13">
        <f>IF('Données projet'!$A$36&gt;35,N7+M8-V7,IF(A8&lt;'Données projet'!$A$36,$K$205^A8,IF(A8='Données projet'!$A$36,'Données projet'!$B$36,N7+M8-V7)))</f>
        <v>4.0679636258202043</v>
      </c>
      <c r="O8" s="13">
        <f>N8*VLOOKUP('Données projet'!$B$9,Paramètres!$A$1:$I$89,3,0)*VLOOKUP('Données projet'!$B$9,Paramètres!$A$1:$I$89,5,0)</f>
        <v>2.4326422482404824</v>
      </c>
      <c r="P8" s="13">
        <f t="shared" si="33"/>
        <v>1.0108595120931088</v>
      </c>
      <c r="Q8" s="20">
        <f t="shared" si="2"/>
        <v>5.9974322325810041</v>
      </c>
      <c r="R8" s="59">
        <f t="shared" si="0"/>
        <v>299.33076556591431</v>
      </c>
      <c r="S8" s="59">
        <f ca="1">AVERAGE(OFFSET($R$3,0,0,'Données projet'!$E$9+1,1))-AVERAGE(OFFSET($H$3,0,0,'Données projet'!$E$9+1,1))</f>
        <v>284.60021367910457</v>
      </c>
      <c r="T8" s="59">
        <f t="shared" si="34"/>
        <v>301.41905904220812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297.78187669303162</v>
      </c>
      <c r="AN8" s="59">
        <f ca="1">AVERAGE(OFFSET($AM$3,0,0,'Données projet'!$E$10+1,1))-AVERAGE(OFFSET($H$3,0,0,'Données projet'!$E$10+1,1))</f>
        <v>294.45857786714919</v>
      </c>
      <c r="AO8" s="59">
        <f t="shared" si="36"/>
        <v>221.9773436301067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7.0434782608695654</v>
      </c>
      <c r="BD8" s="12">
        <f>IF('Données projet'!$A$88&gt;35,BD7+BC8-BL7,IF(A8&lt;'Données projet'!$A$88,$BA$205^A8,IF(A8='Données projet'!$A$88,'Données projet'!$B$88,BD7+BC8-BL7)))</f>
        <v>3.0222427956035602</v>
      </c>
      <c r="BE8" s="13">
        <f>BD8*VLOOKUP('Données projet'!$B$11,Paramètres!$A$1:$I$89,3,0)*VLOOKUP('Données projet'!$B$11,Paramètres!$A$1:$I$89,5,0)</f>
        <v>1.6894337227423903</v>
      </c>
      <c r="BF8" s="13">
        <f t="shared" si="37"/>
        <v>0.73246040512935062</v>
      </c>
      <c r="BG8" s="20">
        <f t="shared" si="7"/>
        <v>4.2181322727099486</v>
      </c>
      <c r="BH8" s="59">
        <f t="shared" si="8"/>
        <v>297.55146560604328</v>
      </c>
      <c r="BI8" s="59">
        <f ca="1">AVERAGE(OFFSET($BH$3,0,0,'Données projet'!$E$11+1,1))-AVERAGE(OFFSET($H$3,0,0,'Données projet'!$E$11+1,1))</f>
        <v>304.91676868833792</v>
      </c>
      <c r="BJ8" s="59">
        <f t="shared" si="38"/>
        <v>365.95065044620048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259.87681411271632</v>
      </c>
      <c r="CE8" s="59">
        <f t="shared" si="40"/>
        <v>191.8684235641158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5.75</v>
      </c>
      <c r="CT8" s="12">
        <f>IF('Données projet'!$A$140&gt;35,CT7+CS8-DB7,IF(A8&lt;'Données projet'!$A$140,$CQ$205^A8,IF(A8='Données projet'!$A$140,'Données projet'!$B$140,CT7+CS8-DB7)))</f>
        <v>3.2747221706220535</v>
      </c>
      <c r="CU8" s="17">
        <f>CT8*VLOOKUP('Données projet'!$B$13,Paramètres!$A$1:$I$89,3,0)*VLOOKUP('Données projet'!$B$13,Paramètres!$A$1:$I$89,5,0)</f>
        <v>1.5325699758511209</v>
      </c>
      <c r="CV8" s="13">
        <f t="shared" si="41"/>
        <v>0.67203122680395833</v>
      </c>
      <c r="CW8" s="20">
        <f t="shared" si="13"/>
        <v>3.839680427957596</v>
      </c>
      <c r="CX8" s="59">
        <f t="shared" si="14"/>
        <v>297.17301376129092</v>
      </c>
      <c r="CY8" s="59">
        <f ca="1">AVERAGE(OFFSET($CX$3,0,0,'Données projet'!$E$13+1,1))-AVERAGE(OFFSET($H$3,0,0,'Données projet'!$E$13+1,1))</f>
        <v>137.59122085719031</v>
      </c>
      <c r="CZ8" s="59">
        <f t="shared" si="42"/>
        <v>130.1134470448718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3.6388888888888888</v>
      </c>
      <c r="DO8" s="12">
        <f>IF('Données projet'!$A$166&gt;35,DO7+DN8-DW7,IF(A8&lt;'Données projet'!$A$166,$DL$205^A8,IF(A8='Données projet'!$A$166,'Données projet'!$B$166,DO7+DN8-DW7)))</f>
        <v>18.194444444444443</v>
      </c>
      <c r="DP8" s="17">
        <f>DO8*VLOOKUP('Données projet'!$B$14,Paramètres!$A$1:$I$89,3,0)*VLOOKUP('Données projet'!$B$14,Paramètres!$A$1:$I$89,5,0)</f>
        <v>18.449166666666667</v>
      </c>
      <c r="DQ8" s="13">
        <f t="shared" si="43"/>
        <v>6.0557665521169337</v>
      </c>
      <c r="DR8" s="20">
        <f t="shared" si="16"/>
        <v>42.679425356048093</v>
      </c>
      <c r="DS8" s="59">
        <f t="shared" si="17"/>
        <v>336.01275868938143</v>
      </c>
      <c r="DT8" s="59">
        <f ca="1">AVERAGE(OFFSET($DS$3,0,0,'Données projet'!$E$14+1,1))-AVERAGE(OFFSET($H$3,0,0,'Données projet'!$E$14+1,1))</f>
        <v>313.90901812281373</v>
      </c>
      <c r="DU8" s="59">
        <f t="shared" si="44"/>
        <v>210.54265725995265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6.971916666666667</v>
      </c>
      <c r="EJ8" s="12">
        <f>IF('Données projet'!$A$192&gt;35,EJ7+EI8-ER7,IF(A8&lt;'Données projet'!$A$192,$EG$205^A8,IF(A8='Données projet'!$A$192,'Données projet'!$B$192,EJ7+EI8-ER7)))</f>
        <v>4.7113765448046037</v>
      </c>
      <c r="EK8" s="17">
        <f>EJ8*VLOOKUP('Données projet'!$B$15,Paramètres!$A$1:$I$89,3,0)*VLOOKUP('Données projet'!$B$15,Paramètres!$A$1:$I$89,5,0)</f>
        <v>3.748371179046543</v>
      </c>
      <c r="EL8" s="13">
        <f t="shared" si="45"/>
        <v>1.4811511406454796</v>
      </c>
      <c r="EM8" s="20">
        <f t="shared" si="19"/>
        <v>9.108084706796939</v>
      </c>
      <c r="EN8" s="59">
        <f t="shared" si="20"/>
        <v>302.44141804013026</v>
      </c>
      <c r="EO8" s="59">
        <f ca="1">AVERAGE(OFFSET($EN$3,0,0,'Données projet'!$E$15+1,1))-AVERAGE(OFFSET($H$3,0,0,'Données projet'!$E$15+1,1))</f>
        <v>316.52407313312403</v>
      </c>
      <c r="EP8" s="59">
        <f t="shared" si="46"/>
        <v>340.55949748167382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5.4069999999999991</v>
      </c>
      <c r="FE8" s="12">
        <f>IF('Données projet'!$A$218&gt;35,FE7+FD8-FM7,IF(A8&lt;'Données projet'!$A$218,$FB$205^A8,IF(A8='Données projet'!$A$218,'Données projet'!$B$218,FE7+FD8-FM7)))</f>
        <v>4.3286174864354168</v>
      </c>
      <c r="FF8" s="17">
        <f>FE8*VLOOKUP('Données projet'!$B$16,Paramètres!$A$1:$I$89,3,0)*VLOOKUP('Données projet'!$B$16,Paramètres!$A$1:$I$89,5,0)</f>
        <v>2.8361101771124848</v>
      </c>
      <c r="FG8" s="13">
        <f t="shared" si="47"/>
        <v>1.1576524481260182</v>
      </c>
      <c r="FH8" s="20">
        <f t="shared" si="22"/>
        <v>6.955803238957059</v>
      </c>
      <c r="FI8" s="59">
        <f t="shared" si="23"/>
        <v>300.28913657229037</v>
      </c>
      <c r="FJ8" s="59">
        <f ca="1">AVERAGE(OFFSET($FI$3,0,0,'Données projet'!$E$16+1,1))-AVERAGE(OFFSET($H$3,0,0,'Données projet'!$E$16+1,1))</f>
        <v>199.99826357281154</v>
      </c>
      <c r="FK8" s="59">
        <f t="shared" si="48"/>
        <v>214.67424457475136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6.9411764705882355</v>
      </c>
      <c r="N9" s="13">
        <f>IF('Données projet'!$A$36&gt;35,N8+M9-V8,IF(A9&lt;'Données projet'!$A$36,$K$205^A9,IF(A9='Données projet'!$A$36,'Données projet'!$B$36,N8+M9-V8)))</f>
        <v>5.38582791756963</v>
      </c>
      <c r="O9" s="13">
        <f>N9*VLOOKUP('Données projet'!$B$9,Paramètres!$A$1:$I$89,3,0)*VLOOKUP('Données projet'!$B$9,Paramètres!$A$1:$I$89,5,0)</f>
        <v>3.2207250947066388</v>
      </c>
      <c r="P9" s="13">
        <f t="shared" si="33"/>
        <v>1.2953284859599137</v>
      </c>
      <c r="Q9" s="20">
        <f t="shared" si="2"/>
        <v>7.8654599863275783</v>
      </c>
      <c r="R9" s="59">
        <f t="shared" si="0"/>
        <v>301.19879331966087</v>
      </c>
      <c r="S9" s="59">
        <f ca="1">AVERAGE(OFFSET($R$3,0,0,'Données projet'!$E$9+1,1))-AVERAGE(OFFSET($H$3,0,0,'Données projet'!$E$9+1,1))</f>
        <v>284.60021367910457</v>
      </c>
      <c r="T9" s="59">
        <f t="shared" si="34"/>
        <v>301.41905904220812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298.82765185669996</v>
      </c>
      <c r="AN9" s="59">
        <f ca="1">AVERAGE(OFFSET($AM$3,0,0,'Données projet'!$E$10+1,1))-AVERAGE(OFFSET($H$3,0,0,'Données projet'!$E$10+1,1))</f>
        <v>294.45857786714919</v>
      </c>
      <c r="AO9" s="59">
        <f t="shared" si="36"/>
        <v>221.9773436301067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7.0434782608695654</v>
      </c>
      <c r="BD9" s="12">
        <f>IF('Données projet'!$A$88&gt;35,BD8+BC9-BL8,IF(A9&lt;'Données projet'!$A$88,$BA$205^A9,IF(A9='Données projet'!$A$88,'Données projet'!$B$88,BD8+BC9-BL8)))</f>
        <v>3.7704676692816572</v>
      </c>
      <c r="BE9" s="13">
        <f>BD9*VLOOKUP('Données projet'!$B$11,Paramètres!$A$1:$I$89,3,0)*VLOOKUP('Données projet'!$B$11,Paramètres!$A$1:$I$89,5,0)</f>
        <v>2.1076914271284464</v>
      </c>
      <c r="BF9" s="13">
        <f t="shared" si="37"/>
        <v>0.89056978363099237</v>
      </c>
      <c r="BG9" s="20">
        <f t="shared" si="7"/>
        <v>5.2219716087393548</v>
      </c>
      <c r="BH9" s="59">
        <f t="shared" si="8"/>
        <v>298.55530494207267</v>
      </c>
      <c r="BI9" s="59">
        <f ca="1">AVERAGE(OFFSET($BH$3,0,0,'Données projet'!$E$11+1,1))-AVERAGE(OFFSET($H$3,0,0,'Données projet'!$E$11+1,1))</f>
        <v>304.91676868833792</v>
      </c>
      <c r="BJ9" s="59">
        <f t="shared" si="38"/>
        <v>365.95065044620048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259.87681411271632</v>
      </c>
      <c r="CE9" s="59">
        <f t="shared" si="40"/>
        <v>191.8684235641158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5.75</v>
      </c>
      <c r="CT9" s="12">
        <f>IF('Données projet'!$A$140&gt;35,CT8+CS9-DB8,IF(A9&lt;'Données projet'!$A$140,$CQ$205^A9,IF(A9='Données projet'!$A$140,'Données projet'!$B$140,CT8+CS9-DB8)))</f>
        <v>4.1515411988145692</v>
      </c>
      <c r="CU9" s="17">
        <f>CT9*VLOOKUP('Données projet'!$B$13,Paramètres!$A$1:$I$89,3,0)*VLOOKUP('Données projet'!$B$13,Paramètres!$A$1:$I$89,5,0)</f>
        <v>1.9429212810452183</v>
      </c>
      <c r="CV9" s="13">
        <f t="shared" si="41"/>
        <v>0.82876439371643607</v>
      </c>
      <c r="CW9" s="20">
        <f t="shared" si="13"/>
        <v>4.8273525502098815</v>
      </c>
      <c r="CX9" s="59">
        <f t="shared" si="14"/>
        <v>298.16068588354318</v>
      </c>
      <c r="CY9" s="59">
        <f ca="1">AVERAGE(OFFSET($CX$3,0,0,'Données projet'!$E$13+1,1))-AVERAGE(OFFSET($H$3,0,0,'Données projet'!$E$13+1,1))</f>
        <v>137.59122085719031</v>
      </c>
      <c r="CZ9" s="59">
        <f t="shared" si="42"/>
        <v>130.1134470448718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3.6388888888888888</v>
      </c>
      <c r="DO9" s="12">
        <f>IF('Données projet'!$A$166&gt;35,DO8+DN9-DW8,IF(A9&lt;'Données projet'!$A$166,$DL$205^A9,IF(A9='Données projet'!$A$166,'Données projet'!$B$166,DO8+DN9-DW8)))</f>
        <v>21.833333333333332</v>
      </c>
      <c r="DP9" s="17">
        <f>DO9*VLOOKUP('Données projet'!$B$14,Paramètres!$A$1:$I$89,3,0)*VLOOKUP('Données projet'!$B$14,Paramètres!$A$1:$I$89,5,0)</f>
        <v>22.138999999999999</v>
      </c>
      <c r="DQ9" s="13">
        <f t="shared" si="43"/>
        <v>7.114324556987782</v>
      </c>
      <c r="DR9" s="20">
        <f t="shared" si="16"/>
        <v>50.949540270087056</v>
      </c>
      <c r="DS9" s="59">
        <f t="shared" si="17"/>
        <v>344.2828736034204</v>
      </c>
      <c r="DT9" s="59">
        <f ca="1">AVERAGE(OFFSET($DS$3,0,0,'Données projet'!$E$14+1,1))-AVERAGE(OFFSET($H$3,0,0,'Données projet'!$E$14+1,1))</f>
        <v>313.90901812281373</v>
      </c>
      <c r="DU9" s="59">
        <f t="shared" si="44"/>
        <v>210.54265725995265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6.971916666666667</v>
      </c>
      <c r="EJ9" s="12">
        <f>IF('Données projet'!$A$192&gt;35,EJ8+EI9-ER8,IF(A9&lt;'Données projet'!$A$192,$EG$205^A9,IF(A9='Données projet'!$A$192,'Données projet'!$B$192,EJ8+EI9-ER8)))</f>
        <v>6.4235835700025126</v>
      </c>
      <c r="EK9" s="17">
        <f>EJ9*VLOOKUP('Données projet'!$B$15,Paramètres!$A$1:$I$89,3,0)*VLOOKUP('Données projet'!$B$15,Paramètres!$A$1:$I$89,5,0)</f>
        <v>5.110603088293999</v>
      </c>
      <c r="EL9" s="13">
        <f t="shared" si="45"/>
        <v>1.9478614353450696</v>
      </c>
      <c r="EM9" s="20">
        <f t="shared" si="19"/>
        <v>12.293492378671379</v>
      </c>
      <c r="EN9" s="59">
        <f t="shared" si="20"/>
        <v>305.62682571200469</v>
      </c>
      <c r="EO9" s="59">
        <f ca="1">AVERAGE(OFFSET($EN$3,0,0,'Données projet'!$E$15+1,1))-AVERAGE(OFFSET($H$3,0,0,'Données projet'!$E$15+1,1))</f>
        <v>316.52407313312403</v>
      </c>
      <c r="EP9" s="59">
        <f t="shared" si="46"/>
        <v>340.55949748167382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5.4069999999999991</v>
      </c>
      <c r="FE9" s="12">
        <f>IF('Données projet'!$A$218&gt;35,FE8+FD9-FM8,IF(A9&lt;'Données projet'!$A$218,$FB$205^A9,IF(A9='Données projet'!$A$218,'Données projet'!$B$218,FE8+FD9-FM8)))</f>
        <v>5.8025521382172069</v>
      </c>
      <c r="FF9" s="17">
        <f>FE9*VLOOKUP('Données projet'!$B$16,Paramètres!$A$1:$I$89,3,0)*VLOOKUP('Données projet'!$B$16,Paramètres!$A$1:$I$89,5,0)</f>
        <v>3.8018321609599139</v>
      </c>
      <c r="FG9" s="13">
        <f t="shared" si="47"/>
        <v>1.4998016492512709</v>
      </c>
      <c r="FH9" s="20">
        <f t="shared" si="22"/>
        <v>9.2336788861178132</v>
      </c>
      <c r="FI9" s="59">
        <f t="shared" si="23"/>
        <v>302.5670122194511</v>
      </c>
      <c r="FJ9" s="59">
        <f ca="1">AVERAGE(OFFSET($FI$3,0,0,'Données projet'!$E$16+1,1))-AVERAGE(OFFSET($H$3,0,0,'Données projet'!$E$16+1,1))</f>
        <v>199.99826357281154</v>
      </c>
      <c r="FK9" s="59">
        <f t="shared" si="48"/>
        <v>214.67424457475136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6.9411764705882355</v>
      </c>
      <c r="N10" s="13">
        <f>IF('Données projet'!$A$36&gt;35,N9+M10-V9,IF(A10&lt;'Données projet'!$A$36,$K$205^A10,IF(A10='Données projet'!$A$36,'Données projet'!$B$36,N9+M10-V9)))</f>
        <v>7.130629726765032</v>
      </c>
      <c r="O10" s="13">
        <f>N10*VLOOKUP('Données projet'!$B$9,Paramètres!$A$1:$I$89,3,0)*VLOOKUP('Données projet'!$B$9,Paramètres!$A$1:$I$89,5,0)</f>
        <v>4.26411657660549</v>
      </c>
      <c r="P10" s="13">
        <f t="shared" si="33"/>
        <v>1.6598507175986843</v>
      </c>
      <c r="Q10" s="20">
        <f t="shared" si="2"/>
        <v>10.317576370738935</v>
      </c>
      <c r="R10" s="59">
        <f t="shared" si="0"/>
        <v>303.65090970407226</v>
      </c>
      <c r="S10" s="59">
        <f ca="1">AVERAGE(OFFSET($R$3,0,0,'Données projet'!$E$9+1,1))-AVERAGE(OFFSET($H$3,0,0,'Données projet'!$E$9+1,1))</f>
        <v>284.60021367910457</v>
      </c>
      <c r="T10" s="59">
        <f t="shared" si="34"/>
        <v>301.41905904220812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300.12018685543694</v>
      </c>
      <c r="AN10" s="59">
        <f ca="1">AVERAGE(OFFSET($AM$3,0,0,'Données projet'!$E$10+1,1))-AVERAGE(OFFSET($H$3,0,0,'Données projet'!$E$10+1,1))</f>
        <v>294.45857786714919</v>
      </c>
      <c r="AO10" s="59">
        <f t="shared" si="36"/>
        <v>221.9773436301067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7.0434782608695654</v>
      </c>
      <c r="BD10" s="12">
        <f>IF('Données projet'!$A$88&gt;35,BD9+BC10-BL9,IF(A10&lt;'Données projet'!$A$88,$BA$205^A10,IF(A10='Données projet'!$A$88,'Données projet'!$B$88,BD9+BC10-BL9)))</f>
        <v>4.7039326111650617</v>
      </c>
      <c r="BE10" s="13">
        <f>BD10*VLOOKUP('Données projet'!$B$11,Paramètres!$A$1:$I$89,3,0)*VLOOKUP('Données projet'!$B$11,Paramètres!$A$1:$I$89,5,0)</f>
        <v>2.6294983296412697</v>
      </c>
      <c r="BF10" s="13">
        <f t="shared" si="37"/>
        <v>1.0828087552070351</v>
      </c>
      <c r="BG10" s="20">
        <f t="shared" si="7"/>
        <v>6.4656015061107972</v>
      </c>
      <c r="BH10" s="59">
        <f t="shared" si="8"/>
        <v>299.79893483944409</v>
      </c>
      <c r="BI10" s="59">
        <f ca="1">AVERAGE(OFFSET($BH$3,0,0,'Données projet'!$E$11+1,1))-AVERAGE(OFFSET($H$3,0,0,'Données projet'!$E$11+1,1))</f>
        <v>304.91676868833792</v>
      </c>
      <c r="BJ10" s="59">
        <f t="shared" si="38"/>
        <v>365.95065044620048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259.87681411271632</v>
      </c>
      <c r="CE10" s="59">
        <f t="shared" si="40"/>
        <v>191.8684235641158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5.75</v>
      </c>
      <c r="CT10" s="12">
        <f>IF('Données projet'!$A$140&gt;35,CT9+CS10-DB9,IF(A10&lt;'Données projet'!$A$140,$CQ$205^A10,IF(A10='Données projet'!$A$140,'Données projet'!$B$140,CT9+CS10-DB9)))</f>
        <v>5.2631317795673525</v>
      </c>
      <c r="CU10" s="17">
        <f>CT10*VLOOKUP('Données projet'!$B$13,Paramètres!$A$1:$I$89,3,0)*VLOOKUP('Données projet'!$B$13,Paramètres!$A$1:$I$89,5,0)</f>
        <v>2.4631456728375212</v>
      </c>
      <c r="CV10" s="13">
        <f t="shared" si="41"/>
        <v>1.0220513465701448</v>
      </c>
      <c r="CW10" s="20">
        <f t="shared" si="13"/>
        <v>6.0700514754683512</v>
      </c>
      <c r="CX10" s="59">
        <f t="shared" si="14"/>
        <v>299.40338480880166</v>
      </c>
      <c r="CY10" s="59">
        <f ca="1">AVERAGE(OFFSET($CX$3,0,0,'Données projet'!$E$13+1,1))-AVERAGE(OFFSET($H$3,0,0,'Données projet'!$E$13+1,1))</f>
        <v>137.59122085719031</v>
      </c>
      <c r="CZ10" s="59">
        <f t="shared" si="42"/>
        <v>130.1134470448718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3.6388888888888888</v>
      </c>
      <c r="DO10" s="12">
        <f>IF('Données projet'!$A$166&gt;35,DO9+DN10-DW9,IF(A10&lt;'Données projet'!$A$166,$DL$205^A10,IF(A10='Données projet'!$A$166,'Données projet'!$B$166,DO9+DN10-DW9)))</f>
        <v>25.472222222222221</v>
      </c>
      <c r="DP10" s="17">
        <f>DO10*VLOOKUP('Données projet'!$B$14,Paramètres!$A$1:$I$89,3,0)*VLOOKUP('Données projet'!$B$14,Paramètres!$A$1:$I$89,5,0)</f>
        <v>25.828833333333332</v>
      </c>
      <c r="DQ10" s="13">
        <f t="shared" si="43"/>
        <v>8.1524446185597021</v>
      </c>
      <c r="DR10" s="20">
        <f t="shared" si="16"/>
        <v>59.184059099547028</v>
      </c>
      <c r="DS10" s="59">
        <f t="shared" si="17"/>
        <v>352.51739243288034</v>
      </c>
      <c r="DT10" s="59">
        <f ca="1">AVERAGE(OFFSET($DS$3,0,0,'Données projet'!$E$14+1,1))-AVERAGE(OFFSET($H$3,0,0,'Données projet'!$E$14+1,1))</f>
        <v>313.90901812281373</v>
      </c>
      <c r="DU10" s="59">
        <f t="shared" si="44"/>
        <v>210.54265725995265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6.971916666666667</v>
      </c>
      <c r="EJ10" s="12">
        <f>IF('Données projet'!$A$192&gt;35,EJ9+EI10-ER9,IF(A10&lt;'Données projet'!$A$192,$EG$205^A10,IF(A10='Données projet'!$A$192,'Données projet'!$B$192,EJ9+EI10-ER9)))</f>
        <v>8.7580403494404866</v>
      </c>
      <c r="EK10" s="17">
        <f>EJ10*VLOOKUP('Données projet'!$B$15,Paramètres!$A$1:$I$89,3,0)*VLOOKUP('Données projet'!$B$15,Paramètres!$A$1:$I$89,5,0)</f>
        <v>6.9678969020148518</v>
      </c>
      <c r="EL10" s="13">
        <f t="shared" si="45"/>
        <v>2.5616320085005473</v>
      </c>
      <c r="EM10" s="20">
        <f t="shared" si="19"/>
        <v>16.597262852480984</v>
      </c>
      <c r="EN10" s="59">
        <f t="shared" si="20"/>
        <v>309.9305961858143</v>
      </c>
      <c r="EO10" s="59">
        <f ca="1">AVERAGE(OFFSET($EN$3,0,0,'Données projet'!$E$15+1,1))-AVERAGE(OFFSET($H$3,0,0,'Données projet'!$E$15+1,1))</f>
        <v>316.52407313312403</v>
      </c>
      <c r="EP10" s="59">
        <f t="shared" si="46"/>
        <v>340.55949748167382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5.4069999999999991</v>
      </c>
      <c r="FE10" s="12">
        <f>IF('Données projet'!$A$218&gt;35,FE9+FD10-FM9,IF(A10&lt;'Données projet'!$A$218,$FB$205^A10,IF(A10='Données projet'!$A$218,'Données projet'!$B$218,FE9+FD10-FM9)))</f>
        <v>7.77837529470772</v>
      </c>
      <c r="FF10" s="17">
        <f>FE10*VLOOKUP('Données projet'!$B$16,Paramètres!$A$1:$I$89,3,0)*VLOOKUP('Données projet'!$B$16,Paramètres!$A$1:$I$89,5,0)</f>
        <v>5.0963914930924981</v>
      </c>
      <c r="FG10" s="13">
        <f t="shared" si="47"/>
        <v>1.9430745304759802</v>
      </c>
      <c r="FH10" s="20">
        <f t="shared" si="22"/>
        <v>12.260403324381764</v>
      </c>
      <c r="FI10" s="59">
        <f t="shared" si="23"/>
        <v>305.59373665771506</v>
      </c>
      <c r="FJ10" s="59">
        <f ca="1">AVERAGE(OFFSET($FI$3,0,0,'Données projet'!$E$16+1,1))-AVERAGE(OFFSET($H$3,0,0,'Données projet'!$E$16+1,1))</f>
        <v>199.99826357281154</v>
      </c>
      <c r="FK10" s="59">
        <f t="shared" si="48"/>
        <v>214.67424457475136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6.9411764705882355</v>
      </c>
      <c r="N11" s="13">
        <f>IF('Données projet'!$A$36&gt;35,N10+M11-V10,IF(A11&lt;'Données projet'!$A$36,$K$205^A11,IF(A11='Données projet'!$A$36,'Données projet'!$B$36,N10+M11-V10)))</f>
        <v>9.4406804447568593</v>
      </c>
      <c r="O11" s="13">
        <f>N11*VLOOKUP('Données projet'!$B$9,Paramètres!$A$1:$I$89,3,0)*VLOOKUP('Données projet'!$B$9,Paramètres!$A$1:$I$89,5,0)</f>
        <v>5.6455269059646023</v>
      </c>
      <c r="P11" s="13">
        <f t="shared" si="33"/>
        <v>2.1269542317454508</v>
      </c>
      <c r="Q11" s="20">
        <f t="shared" si="2"/>
        <v>13.53707131484501</v>
      </c>
      <c r="R11" s="59">
        <f t="shared" si="0"/>
        <v>306.87040464817835</v>
      </c>
      <c r="S11" s="59">
        <f ca="1">AVERAGE(OFFSET($R$3,0,0,'Données projet'!$E$9+1,1))-AVERAGE(OFFSET($H$3,0,0,'Données projet'!$E$9+1,1))</f>
        <v>284.60021367910457</v>
      </c>
      <c r="T11" s="59">
        <f t="shared" si="34"/>
        <v>301.41905904220812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301.71791003464585</v>
      </c>
      <c r="AN11" s="59">
        <f ca="1">AVERAGE(OFFSET($AM$3,0,0,'Données projet'!$E$10+1,1))-AVERAGE(OFFSET($H$3,0,0,'Données projet'!$E$10+1,1))</f>
        <v>294.45857786714919</v>
      </c>
      <c r="AO11" s="59">
        <f t="shared" si="36"/>
        <v>221.9773436301067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7.0434782608695654</v>
      </c>
      <c r="BD11" s="12">
        <f>IF('Données projet'!$A$88&gt;35,BD10+BC11-BL10,IF(A11&lt;'Données projet'!$A$88,$BA$205^A11,IF(A11='Données projet'!$A$88,'Données projet'!$B$88,BD10+BC11-BL10)))</f>
        <v>5.8684980090540737</v>
      </c>
      <c r="BE11" s="13">
        <f>BD11*VLOOKUP('Données projet'!$B$11,Paramètres!$A$1:$I$89,3,0)*VLOOKUP('Données projet'!$B$11,Paramètres!$A$1:$I$89,5,0)</f>
        <v>3.2804903870612274</v>
      </c>
      <c r="BF11" s="13">
        <f t="shared" si="37"/>
        <v>1.3165445559725206</v>
      </c>
      <c r="BG11" s="20">
        <f t="shared" si="7"/>
        <v>8.0065025257837785</v>
      </c>
      <c r="BH11" s="59">
        <f t="shared" si="8"/>
        <v>301.3398358591171</v>
      </c>
      <c r="BI11" s="59">
        <f ca="1">AVERAGE(OFFSET($BH$3,0,0,'Données projet'!$E$11+1,1))-AVERAGE(OFFSET($H$3,0,0,'Données projet'!$E$11+1,1))</f>
        <v>304.91676868833792</v>
      </c>
      <c r="BJ11" s="59">
        <f t="shared" si="38"/>
        <v>365.95065044620048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259.87681411271632</v>
      </c>
      <c r="CE11" s="59">
        <f t="shared" si="40"/>
        <v>191.8684235641158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5.75</v>
      </c>
      <c r="CT11" s="12">
        <f>IF('Données projet'!$A$140&gt;35,CT10+CS11-DB10,IF(A11&lt;'Données projet'!$A$140,$CQ$205^A11,IF(A11='Données projet'!$A$140,'Données projet'!$B$140,CT10+CS11-DB10)))</f>
        <v>6.6723548683562202</v>
      </c>
      <c r="CU11" s="17">
        <f>CT11*VLOOKUP('Données projet'!$B$13,Paramètres!$A$1:$I$89,3,0)*VLOOKUP('Données projet'!$B$13,Paramètres!$A$1:$I$89,5,0)</f>
        <v>3.1226620783907113</v>
      </c>
      <c r="CV11" s="13">
        <f t="shared" si="41"/>
        <v>1.2604172705122936</v>
      </c>
      <c r="CW11" s="20">
        <f t="shared" si="13"/>
        <v>7.6338631993393991</v>
      </c>
      <c r="CX11" s="59">
        <f t="shared" si="14"/>
        <v>300.96719653267269</v>
      </c>
      <c r="CY11" s="59">
        <f ca="1">AVERAGE(OFFSET($CX$3,0,0,'Données projet'!$E$13+1,1))-AVERAGE(OFFSET($H$3,0,0,'Données projet'!$E$13+1,1))</f>
        <v>137.59122085719031</v>
      </c>
      <c r="CZ11" s="59">
        <f t="shared" si="42"/>
        <v>130.1134470448718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3.6388888888888888</v>
      </c>
      <c r="DO11" s="12">
        <f>IF('Données projet'!$A$166&gt;35,DO10+DN11-DW10,IF(A11&lt;'Données projet'!$A$166,$DL$205^A11,IF(A11='Données projet'!$A$166,'Données projet'!$B$166,DO10+DN11-DW10)))</f>
        <v>29.111111111111111</v>
      </c>
      <c r="DP11" s="17">
        <f>DO11*VLOOKUP('Données projet'!$B$14,Paramètres!$A$1:$I$89,3,0)*VLOOKUP('Données projet'!$B$14,Paramètres!$A$1:$I$89,5,0)</f>
        <v>29.518666666666672</v>
      </c>
      <c r="DQ11" s="13">
        <f t="shared" si="43"/>
        <v>9.1733833244605467</v>
      </c>
      <c r="DR11" s="20">
        <f t="shared" si="16"/>
        <v>67.388653734546565</v>
      </c>
      <c r="DS11" s="59">
        <f t="shared" si="17"/>
        <v>360.72198706787987</v>
      </c>
      <c r="DT11" s="59">
        <f ca="1">AVERAGE(OFFSET($DS$3,0,0,'Données projet'!$E$14+1,1))-AVERAGE(OFFSET($H$3,0,0,'Données projet'!$E$14+1,1))</f>
        <v>313.90901812281373</v>
      </c>
      <c r="DU11" s="59">
        <f t="shared" si="44"/>
        <v>210.54265725995265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6.971916666666667</v>
      </c>
      <c r="EJ11" s="12">
        <f>IF('Données projet'!$A$192&gt;35,EJ10+EI11-ER10,IF(A11&lt;'Données projet'!$A$192,$EG$205^A11,IF(A11='Données projet'!$A$192,'Données projet'!$B$192,EJ10+EI11-ER10)))</f>
        <v>11.940884698787793</v>
      </c>
      <c r="EK11" s="17">
        <f>EJ11*VLOOKUP('Données projet'!$B$15,Paramètres!$A$1:$I$89,3,0)*VLOOKUP('Données projet'!$B$15,Paramètres!$A$1:$I$89,5,0)</f>
        <v>9.500167866355568</v>
      </c>
      <c r="EL11" s="13">
        <f t="shared" si="45"/>
        <v>3.3688015111876162</v>
      </c>
      <c r="EM11" s="20">
        <f t="shared" si="19"/>
        <v>22.413454999221045</v>
      </c>
      <c r="EN11" s="59">
        <f t="shared" si="20"/>
        <v>315.74678833255439</v>
      </c>
      <c r="EO11" s="59">
        <f ca="1">AVERAGE(OFFSET($EN$3,0,0,'Données projet'!$E$15+1,1))-AVERAGE(OFFSET($H$3,0,0,'Données projet'!$E$15+1,1))</f>
        <v>316.52407313312403</v>
      </c>
      <c r="EP11" s="59">
        <f t="shared" si="46"/>
        <v>340.55949748167382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5.4069999999999991</v>
      </c>
      <c r="FE11" s="12">
        <f>IF('Données projet'!$A$218&gt;35,FE10+FD11-FM10,IF(A11&lt;'Données projet'!$A$218,$FB$205^A11,IF(A11='Données projet'!$A$218,'Données projet'!$B$218,FE10+FD11-FM10)))</f>
        <v>10.426984675730733</v>
      </c>
      <c r="FF11" s="17">
        <f>FE11*VLOOKUP('Données projet'!$B$16,Paramètres!$A$1:$I$89,3,0)*VLOOKUP('Données projet'!$B$16,Paramètres!$A$1:$I$89,5,0)</f>
        <v>6.8317603595387766</v>
      </c>
      <c r="FG11" s="13">
        <f t="shared" si="47"/>
        <v>2.5173586339695455</v>
      </c>
      <c r="FH11" s="20">
        <f t="shared" si="22"/>
        <v>16.283048913693658</v>
      </c>
      <c r="FI11" s="59">
        <f t="shared" si="23"/>
        <v>309.61638224702699</v>
      </c>
      <c r="FJ11" s="59">
        <f ca="1">AVERAGE(OFFSET($FI$3,0,0,'Données projet'!$E$16+1,1))-AVERAGE(OFFSET($H$3,0,0,'Données projet'!$E$16+1,1))</f>
        <v>199.99826357281154</v>
      </c>
      <c r="FK11" s="59">
        <f t="shared" si="48"/>
        <v>214.67424457475136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6.9411764705882355</v>
      </c>
      <c r="N12" s="13">
        <f>IF('Données projet'!$A$36&gt;35,N11+M12-V11,IF(A12&lt;'Données projet'!$A$36,$K$205^A12,IF(A12='Données projet'!$A$36,'Données projet'!$B$36,N11+M12-V11)))</f>
        <v>12.499099052286473</v>
      </c>
      <c r="O12" s="13">
        <f>N12*VLOOKUP('Données projet'!$B$9,Paramètres!$A$1:$I$89,3,0)*VLOOKUP('Données projet'!$B$9,Paramètres!$A$1:$I$89,5,0)</f>
        <v>7.474461233267311</v>
      </c>
      <c r="P12" s="13">
        <f t="shared" si="33"/>
        <v>2.7255067314033421</v>
      </c>
      <c r="Q12" s="20">
        <f t="shared" si="2"/>
        <v>17.764944205134721</v>
      </c>
      <c r="R12" s="59">
        <f t="shared" si="0"/>
        <v>311.09827753846804</v>
      </c>
      <c r="S12" s="59">
        <f ca="1">AVERAGE(OFFSET($R$3,0,0,'Données projet'!$E$9+1,1))-AVERAGE(OFFSET($H$3,0,0,'Données projet'!$E$9+1,1))</f>
        <v>284.60021367910457</v>
      </c>
      <c r="T12" s="59">
        <f t="shared" si="34"/>
        <v>301.41905904220812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303.69312942710241</v>
      </c>
      <c r="AN12" s="59">
        <f ca="1">AVERAGE(OFFSET($AM$3,0,0,'Données projet'!$E$10+1,1))-AVERAGE(OFFSET($H$3,0,0,'Données projet'!$E$10+1,1))</f>
        <v>294.45857786714919</v>
      </c>
      <c r="AO12" s="59">
        <f t="shared" si="36"/>
        <v>221.9773436301067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7.0434782608695654</v>
      </c>
      <c r="BD12" s="12">
        <f>IF('Données projet'!$A$88&gt;35,BD11+BC12-BL11,IF(A12&lt;'Données projet'!$A$88,$BA$205^A12,IF(A12='Données projet'!$A$88,'Données projet'!$B$88,BD11+BC12-BL11)))</f>
        <v>7.3213780317617614</v>
      </c>
      <c r="BE12" s="13">
        <f>BD12*VLOOKUP('Données projet'!$B$11,Paramètres!$A$1:$I$89,3,0)*VLOOKUP('Données projet'!$B$11,Paramètres!$A$1:$I$89,5,0)</f>
        <v>4.0926503197548252</v>
      </c>
      <c r="BF12" s="13">
        <f t="shared" si="37"/>
        <v>1.6007347184124618</v>
      </c>
      <c r="BG12" s="20">
        <f t="shared" si="7"/>
        <v>9.9159789414746928</v>
      </c>
      <c r="BH12" s="59">
        <f t="shared" si="8"/>
        <v>303.24931227480801</v>
      </c>
      <c r="BI12" s="59">
        <f ca="1">AVERAGE(OFFSET($BH$3,0,0,'Données projet'!$E$11+1,1))-AVERAGE(OFFSET($H$3,0,0,'Données projet'!$E$11+1,1))</f>
        <v>304.91676868833792</v>
      </c>
      <c r="BJ12" s="59">
        <f t="shared" si="38"/>
        <v>365.95065044620048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259.87681411271632</v>
      </c>
      <c r="CE12" s="59">
        <f t="shared" si="40"/>
        <v>191.8684235641158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5.75</v>
      </c>
      <c r="CT12" s="12">
        <f>IF('Données projet'!$A$140&gt;35,CT11+CS12-DB11,IF(A12&lt;'Données projet'!$A$140,$CQ$205^A12,IF(A12='Données projet'!$A$140,'Données projet'!$B$140,CT11+CS12-DB11)))</f>
        <v>8.4589026750412604</v>
      </c>
      <c r="CU12" s="17">
        <f>CT12*VLOOKUP('Données projet'!$B$13,Paramètres!$A$1:$I$89,3,0)*VLOOKUP('Données projet'!$B$13,Paramètres!$A$1:$I$89,5,0)</f>
        <v>3.9587664519193098</v>
      </c>
      <c r="CV12" s="13">
        <f t="shared" si="41"/>
        <v>1.5543756203021926</v>
      </c>
      <c r="CW12" s="20">
        <f t="shared" si="13"/>
        <v>9.6020557757857823</v>
      </c>
      <c r="CX12" s="59">
        <f t="shared" si="14"/>
        <v>302.93538910911911</v>
      </c>
      <c r="CY12" s="59">
        <f ca="1">AVERAGE(OFFSET($CX$3,0,0,'Données projet'!$E$13+1,1))-AVERAGE(OFFSET($H$3,0,0,'Données projet'!$E$13+1,1))</f>
        <v>137.59122085719031</v>
      </c>
      <c r="CZ12" s="59">
        <f t="shared" si="42"/>
        <v>130.1134470448718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3.6388888888888888</v>
      </c>
      <c r="DO12" s="12">
        <f>IF('Données projet'!$A$166&gt;35,DO11+DN12-DW11,IF(A12&lt;'Données projet'!$A$166,$DL$205^A12,IF(A12='Données projet'!$A$166,'Données projet'!$B$166,DO11+DN12-DW11)))</f>
        <v>32.75</v>
      </c>
      <c r="DP12" s="17">
        <f>DO12*VLOOKUP('Données projet'!$B$14,Paramètres!$A$1:$I$89,3,0)*VLOOKUP('Données projet'!$B$14,Paramètres!$A$1:$I$89,5,0)</f>
        <v>33.208500000000001</v>
      </c>
      <c r="DQ12" s="13">
        <f t="shared" si="43"/>
        <v>10.1795343080239</v>
      </c>
      <c r="DR12" s="20">
        <f t="shared" si="16"/>
        <v>75.567493086474954</v>
      </c>
      <c r="DS12" s="59">
        <f t="shared" si="17"/>
        <v>368.90082641980825</v>
      </c>
      <c r="DT12" s="59">
        <f ca="1">AVERAGE(OFFSET($DS$3,0,0,'Données projet'!$E$14+1,1))-AVERAGE(OFFSET($H$3,0,0,'Données projet'!$E$14+1,1))</f>
        <v>313.90901812281373</v>
      </c>
      <c r="DU12" s="59">
        <f t="shared" si="44"/>
        <v>210.54265725995265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6.971916666666667</v>
      </c>
      <c r="EJ12" s="12">
        <f>IF('Données projet'!$A$192&gt;35,EJ11+EI12-ER11,IF(A12&lt;'Données projet'!$A$192,$EG$205^A12,IF(A12='Données projet'!$A$192,'Données projet'!$B$192,EJ11+EI12-ER11)))</f>
        <v>16.280437369628416</v>
      </c>
      <c r="EK12" s="17">
        <f>EJ12*VLOOKUP('Données projet'!$B$15,Paramètres!$A$1:$I$89,3,0)*VLOOKUP('Données projet'!$B$15,Paramètres!$A$1:$I$89,5,0)</f>
        <v>12.952715971276367</v>
      </c>
      <c r="EL12" s="13">
        <f t="shared" si="45"/>
        <v>4.4303098899919657</v>
      </c>
      <c r="EM12" s="20">
        <f t="shared" si="19"/>
        <v>30.275436708375679</v>
      </c>
      <c r="EN12" s="59">
        <f t="shared" si="20"/>
        <v>323.60877004170902</v>
      </c>
      <c r="EO12" s="59">
        <f ca="1">AVERAGE(OFFSET($EN$3,0,0,'Données projet'!$E$15+1,1))-AVERAGE(OFFSET($H$3,0,0,'Données projet'!$E$15+1,1))</f>
        <v>316.52407313312403</v>
      </c>
      <c r="EP12" s="59">
        <f t="shared" si="46"/>
        <v>340.55949748167382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5.4069999999999991</v>
      </c>
      <c r="FE12" s="12">
        <f>IF('Données projet'!$A$218&gt;35,FE11+FD12-FM11,IF(A12&lt;'Données projet'!$A$218,$FB$205^A12,IF(A12='Données projet'!$A$218,'Données projet'!$B$218,FE11+FD12-FM11)))</f>
        <v>13.97747026964567</v>
      </c>
      <c r="FF12" s="17">
        <f>FE12*VLOOKUP('Données projet'!$B$16,Paramètres!$A$1:$I$89,3,0)*VLOOKUP('Données projet'!$B$16,Paramètres!$A$1:$I$89,5,0)</f>
        <v>9.1580385206718429</v>
      </c>
      <c r="FG12" s="13">
        <f t="shared" si="47"/>
        <v>3.2613748945948382</v>
      </c>
      <c r="FH12" s="20">
        <f t="shared" si="22"/>
        <v>21.630478364922805</v>
      </c>
      <c r="FI12" s="59">
        <f t="shared" si="23"/>
        <v>314.96381169825611</v>
      </c>
      <c r="FJ12" s="59">
        <f ca="1">AVERAGE(OFFSET($FI$3,0,0,'Données projet'!$E$16+1,1))-AVERAGE(OFFSET($H$3,0,0,'Données projet'!$E$16+1,1))</f>
        <v>199.99826357281154</v>
      </c>
      <c r="FK12" s="59">
        <f t="shared" si="48"/>
        <v>214.67424457475136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6.9411764705882355</v>
      </c>
      <c r="N13" s="13">
        <f>IF('Données projet'!$A$36&gt;35,N12+M13-V12,IF(A13&lt;'Données projet'!$A$36,$K$205^A13,IF(A13='Données projet'!$A$36,'Données projet'!$B$36,N12+M13-V12)))</f>
        <v>16.548328060996262</v>
      </c>
      <c r="O13" s="13">
        <f>N13*VLOOKUP('Données projet'!$B$9,Paramètres!$A$1:$I$89,3,0)*VLOOKUP('Données projet'!$B$9,Paramètres!$A$1:$I$89,5,0)</f>
        <v>9.8959001804757651</v>
      </c>
      <c r="P13" s="13">
        <f t="shared" si="33"/>
        <v>3.4924996655094662</v>
      </c>
      <c r="Q13" s="20">
        <f t="shared" si="2"/>
        <v>23.318129731757608</v>
      </c>
      <c r="R13" s="59">
        <f t="shared" si="0"/>
        <v>316.65146306509092</v>
      </c>
      <c r="S13" s="59">
        <f ca="1">AVERAGE(OFFSET($R$3,0,0,'Données projet'!$E$9+1,1))-AVERAGE(OFFSET($H$3,0,0,'Données projet'!$E$9+1,1))</f>
        <v>284.60021367910457</v>
      </c>
      <c r="T13" s="59">
        <f t="shared" si="34"/>
        <v>301.41905904220812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306.13533976477066</v>
      </c>
      <c r="AN13" s="59">
        <f ca="1">AVERAGE(OFFSET($AM$3,0,0,'Données projet'!$E$10+1,1))-AVERAGE(OFFSET($H$3,0,0,'Données projet'!$E$10+1,1))</f>
        <v>294.45857786714919</v>
      </c>
      <c r="AO13" s="59">
        <f t="shared" si="36"/>
        <v>221.9773436301067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7.0434782608695654</v>
      </c>
      <c r="BD13" s="12">
        <f>IF('Données projet'!$A$88&gt;35,BD12+BC13-BL12,IF(A13&lt;'Données projet'!$A$88,$BA$205^A13,IF(A13='Données projet'!$A$88,'Données projet'!$B$88,BD12+BC13-BL12)))</f>
        <v>9.1339515155776247</v>
      </c>
      <c r="BE13" s="13">
        <f>BD13*VLOOKUP('Données projet'!$B$11,Paramètres!$A$1:$I$89,3,0)*VLOOKUP('Données projet'!$B$11,Paramètres!$A$1:$I$89,5,0)</f>
        <v>5.1058788972078926</v>
      </c>
      <c r="BF13" s="13">
        <f t="shared" si="37"/>
        <v>1.9462703537885475</v>
      </c>
      <c r="BG13" s="20">
        <f t="shared" si="7"/>
        <v>12.282493278818798</v>
      </c>
      <c r="BH13" s="59">
        <f t="shared" si="8"/>
        <v>305.61582661215209</v>
      </c>
      <c r="BI13" s="59">
        <f ca="1">AVERAGE(OFFSET($BH$3,0,0,'Données projet'!$E$11+1,1))-AVERAGE(OFFSET($H$3,0,0,'Données projet'!$E$11+1,1))</f>
        <v>304.91676868833792</v>
      </c>
      <c r="BJ13" s="59">
        <f t="shared" si="38"/>
        <v>365.95065044620048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259.87681411271632</v>
      </c>
      <c r="CE13" s="59">
        <f t="shared" si="40"/>
        <v>191.8684235641158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5.75</v>
      </c>
      <c r="CT13" s="12">
        <f>IF('Données projet'!$A$140&gt;35,CT12+CS13-DB12,IF(A13&lt;'Données projet'!$A$140,$CQ$205^A13,IF(A13='Données projet'!$A$140,'Données projet'!$B$140,CT12+CS13-DB12)))</f>
        <v>10.723805294763611</v>
      </c>
      <c r="CU13" s="17">
        <f>CT13*VLOOKUP('Données projet'!$B$13,Paramètres!$A$1:$I$89,3,0)*VLOOKUP('Données projet'!$B$13,Paramètres!$A$1:$I$89,5,0)</f>
        <v>5.0187408779493703</v>
      </c>
      <c r="CV13" s="13">
        <f t="shared" si="41"/>
        <v>1.9168918305981435</v>
      </c>
      <c r="CW13" s="20">
        <f t="shared" si="13"/>
        <v>12.079560300720253</v>
      </c>
      <c r="CX13" s="59">
        <f t="shared" si="14"/>
        <v>305.41289363405355</v>
      </c>
      <c r="CY13" s="59">
        <f ca="1">AVERAGE(OFFSET($CX$3,0,0,'Données projet'!$E$13+1,1))-AVERAGE(OFFSET($H$3,0,0,'Données projet'!$E$13+1,1))</f>
        <v>137.59122085719031</v>
      </c>
      <c r="CZ13" s="59">
        <f t="shared" si="42"/>
        <v>130.1134470448718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3.6388888888888888</v>
      </c>
      <c r="DO13" s="12">
        <f>IF('Données projet'!$A$166&gt;35,DO12+DN13-DW12,IF(A13&lt;'Données projet'!$A$166,$DL$205^A13,IF(A13='Données projet'!$A$166,'Données projet'!$B$166,DO12+DN13-DW12)))</f>
        <v>36.388888888888886</v>
      </c>
      <c r="DP13" s="17">
        <f>DO13*VLOOKUP('Données projet'!$B$14,Paramètres!$A$1:$I$89,3,0)*VLOOKUP('Données projet'!$B$14,Paramètres!$A$1:$I$89,5,0)</f>
        <v>36.898333333333333</v>
      </c>
      <c r="DQ13" s="13">
        <f t="shared" si="43"/>
        <v>11.172728078995544</v>
      </c>
      <c r="DR13" s="20">
        <f t="shared" si="16"/>
        <v>83.723765293139451</v>
      </c>
      <c r="DS13" s="59">
        <f t="shared" si="17"/>
        <v>377.05709862647279</v>
      </c>
      <c r="DT13" s="59">
        <f ca="1">AVERAGE(OFFSET($DS$3,0,0,'Données projet'!$E$14+1,1))-AVERAGE(OFFSET($H$3,0,0,'Données projet'!$E$14+1,1))</f>
        <v>313.90901812281373</v>
      </c>
      <c r="DU13" s="59">
        <f t="shared" si="44"/>
        <v>210.54265725995265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6.971916666666667</v>
      </c>
      <c r="EJ13" s="12">
        <f>IF('Données projet'!$A$192&gt;35,EJ12+EI13-ER12,IF(A13&lt;'Données projet'!$A$192,$EG$205^A13,IF(A13='Données projet'!$A$192,'Données projet'!$B$192,EJ12+EI13-ER12)))</f>
        <v>22.197068946934966</v>
      </c>
      <c r="EK13" s="17">
        <f>EJ13*VLOOKUP('Données projet'!$B$15,Paramètres!$A$1:$I$89,3,0)*VLOOKUP('Données projet'!$B$15,Paramètres!$A$1:$I$89,5,0)</f>
        <v>17.659988054181461</v>
      </c>
      <c r="EL13" s="13">
        <f t="shared" si="45"/>
        <v>5.8262992509882929</v>
      </c>
      <c r="EM13" s="20">
        <f t="shared" si="19"/>
        <v>40.905283723170648</v>
      </c>
      <c r="EN13" s="59">
        <f t="shared" si="20"/>
        <v>334.23861705650398</v>
      </c>
      <c r="EO13" s="59">
        <f ca="1">AVERAGE(OFFSET($EN$3,0,0,'Données projet'!$E$15+1,1))-AVERAGE(OFFSET($H$3,0,0,'Données projet'!$E$15+1,1))</f>
        <v>316.52407313312403</v>
      </c>
      <c r="EP13" s="59">
        <f t="shared" si="46"/>
        <v>340.55949748167382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5.4069999999999991</v>
      </c>
      <c r="FE13" s="12">
        <f>IF('Données projet'!$A$218&gt;35,FE12+FD13-FM12,IF(A13&lt;'Données projet'!$A$218,$FB$205^A13,IF(A13='Données projet'!$A$218,'Données projet'!$B$218,FE12+FD13-FM12)))</f>
        <v>18.736929343874468</v>
      </c>
      <c r="FF13" s="17">
        <f>FE13*VLOOKUP('Données projet'!$B$16,Paramètres!$A$1:$I$89,3,0)*VLOOKUP('Données projet'!$B$16,Paramètres!$A$1:$I$89,5,0)</f>
        <v>12.276436106106551</v>
      </c>
      <c r="FG13" s="13">
        <f t="shared" si="47"/>
        <v>4.2252883874241718</v>
      </c>
      <c r="FH13" s="20">
        <f t="shared" si="22"/>
        <v>28.740503492899339</v>
      </c>
      <c r="FI13" s="59">
        <f t="shared" si="23"/>
        <v>322.07383682623265</v>
      </c>
      <c r="FJ13" s="59">
        <f ca="1">AVERAGE(OFFSET($FI$3,0,0,'Données projet'!$E$16+1,1))-AVERAGE(OFFSET($H$3,0,0,'Données projet'!$E$16+1,1))</f>
        <v>199.99826357281154</v>
      </c>
      <c r="FK13" s="59">
        <f t="shared" si="48"/>
        <v>214.67424457475136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6.9411764705882355</v>
      </c>
      <c r="N14" s="13">
        <f>IF('Données projet'!$A$36&gt;35,N13+M14-V13,IF(A14&lt;'Données projet'!$A$36,$K$205^A14,IF(A14='Données projet'!$A$36,'Données projet'!$B$36,N13+M14-V13)))</f>
        <v>21.909352063600231</v>
      </c>
      <c r="O14" s="13">
        <f>N14*VLOOKUP('Données projet'!$B$9,Paramètres!$A$1:$I$89,3,0)*VLOOKUP('Données projet'!$B$9,Paramètres!$A$1:$I$89,5,0)</f>
        <v>13.101792534032938</v>
      </c>
      <c r="P14" s="13">
        <f t="shared" si="33"/>
        <v>4.4753343563761101</v>
      </c>
      <c r="Q14" s="20">
        <f t="shared" si="2"/>
        <v>30.613496000795752</v>
      </c>
      <c r="R14" s="59">
        <f t="shared" si="0"/>
        <v>323.94682933412906</v>
      </c>
      <c r="S14" s="59">
        <f ca="1">AVERAGE(OFFSET($R$3,0,0,'Données projet'!$E$9+1,1))-AVERAGE(OFFSET($H$3,0,0,'Données projet'!$E$9+1,1))</f>
        <v>284.60021367910457</v>
      </c>
      <c r="T14" s="59">
        <f t="shared" si="34"/>
        <v>301.41905904220812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309.15531959729486</v>
      </c>
      <c r="AN14" s="59">
        <f ca="1">AVERAGE(OFFSET($AM$3,0,0,'Données projet'!$E$10+1,1))-AVERAGE(OFFSET($H$3,0,0,'Données projet'!$E$10+1,1))</f>
        <v>294.45857786714919</v>
      </c>
      <c r="AO14" s="59">
        <f t="shared" si="36"/>
        <v>221.9773436301067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7.0434782608695654</v>
      </c>
      <c r="BD14" s="12">
        <f>IF('Données projet'!$A$88&gt;35,BD13+BC14-BL13,IF(A14&lt;'Données projet'!$A$88,$BA$205^A14,IF(A14='Données projet'!$A$88,'Données projet'!$B$88,BD13+BC14-BL13)))</f>
        <v>11.395268749542637</v>
      </c>
      <c r="BE14" s="13">
        <f>BD14*VLOOKUP('Données projet'!$B$11,Paramètres!$A$1:$I$89,3,0)*VLOOKUP('Données projet'!$B$11,Paramètres!$A$1:$I$89,5,0)</f>
        <v>6.3699552309943348</v>
      </c>
      <c r="BF14" s="13">
        <f t="shared" si="37"/>
        <v>2.3663935357089882</v>
      </c>
      <c r="BG14" s="20">
        <f t="shared" si="7"/>
        <v>15.215807435341619</v>
      </c>
      <c r="BH14" s="59">
        <f t="shared" si="8"/>
        <v>308.54914076867493</v>
      </c>
      <c r="BI14" s="59">
        <f ca="1">AVERAGE(OFFSET($BH$3,0,0,'Données projet'!$E$11+1,1))-AVERAGE(OFFSET($H$3,0,0,'Données projet'!$E$11+1,1))</f>
        <v>304.91676868833792</v>
      </c>
      <c r="BJ14" s="59">
        <f t="shared" si="38"/>
        <v>365.95065044620048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259.87681411271632</v>
      </c>
      <c r="CE14" s="59">
        <f t="shared" si="40"/>
        <v>191.8684235641158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5.75</v>
      </c>
      <c r="CT14" s="12">
        <f>IF('Données projet'!$A$140&gt;35,CT13+CS14-DB13,IF(A14&lt;'Données projet'!$A$140,$CQ$205^A14,IF(A14='Données projet'!$A$140,'Données projet'!$B$140,CT13+CS14-DB13)))</f>
        <v>13.595144006008928</v>
      </c>
      <c r="CU14" s="17">
        <f>CT14*VLOOKUP('Données projet'!$B$13,Paramètres!$A$1:$I$89,3,0)*VLOOKUP('Données projet'!$B$13,Paramètres!$A$1:$I$89,5,0)</f>
        <v>6.3625273948121777</v>
      </c>
      <c r="CV14" s="13">
        <f t="shared" si="41"/>
        <v>2.3639551741679612</v>
      </c>
      <c r="CW14" s="20">
        <f t="shared" si="13"/>
        <v>15.198623807640407</v>
      </c>
      <c r="CX14" s="59">
        <f t="shared" si="14"/>
        <v>308.5319571409737</v>
      </c>
      <c r="CY14" s="59">
        <f ca="1">AVERAGE(OFFSET($CX$3,0,0,'Données projet'!$E$13+1,1))-AVERAGE(OFFSET($H$3,0,0,'Données projet'!$E$13+1,1))</f>
        <v>137.59122085719031</v>
      </c>
      <c r="CZ14" s="59">
        <f t="shared" si="42"/>
        <v>130.1134470448718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3.6388888888888888</v>
      </c>
      <c r="DO14" s="12">
        <f>IF('Données projet'!$A$166&gt;35,DO13+DN14-DW13,IF(A14&lt;'Données projet'!$A$166,$DL$205^A14,IF(A14='Données projet'!$A$166,'Données projet'!$B$166,DO13+DN14-DW13)))</f>
        <v>40.027777777777771</v>
      </c>
      <c r="DP14" s="17">
        <f>DO14*VLOOKUP('Données projet'!$B$14,Paramètres!$A$1:$I$89,3,0)*VLOOKUP('Données projet'!$B$14,Paramètres!$A$1:$I$89,5,0)</f>
        <v>40.588166666666666</v>
      </c>
      <c r="DQ14" s="13">
        <f t="shared" si="43"/>
        <v>12.154407859830778</v>
      </c>
      <c r="DR14" s="20">
        <f t="shared" si="16"/>
        <v>91.859983966983052</v>
      </c>
      <c r="DS14" s="59">
        <f t="shared" si="17"/>
        <v>385.19331730031638</v>
      </c>
      <c r="DT14" s="59">
        <f ca="1">AVERAGE(OFFSET($DS$3,0,0,'Données projet'!$E$14+1,1))-AVERAGE(OFFSET($H$3,0,0,'Données projet'!$E$14+1,1))</f>
        <v>313.90901812281373</v>
      </c>
      <c r="DU14" s="59">
        <f t="shared" si="44"/>
        <v>210.54265725995265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6.971916666666667</v>
      </c>
      <c r="EJ14" s="12">
        <f>IF('Données projet'!$A$192&gt;35,EJ13+EI14-ER13,IF(A14&lt;'Données projet'!$A$192,$EG$205^A14,IF(A14='Données projet'!$A$192,'Données projet'!$B$192,EJ13+EI14-ER13)))</f>
        <v>30.263920965302056</v>
      </c>
      <c r="EK14" s="17">
        <f>EJ14*VLOOKUP('Données projet'!$B$15,Paramètres!$A$1:$I$89,3,0)*VLOOKUP('Données projet'!$B$15,Paramètres!$A$1:$I$89,5,0)</f>
        <v>24.077975519994318</v>
      </c>
      <c r="EL14" s="13">
        <f t="shared" si="45"/>
        <v>7.6621644546242518</v>
      </c>
      <c r="EM14" s="20">
        <f t="shared" si="19"/>
        <v>55.280743789127342</v>
      </c>
      <c r="EN14" s="59">
        <f t="shared" si="20"/>
        <v>348.61407712246069</v>
      </c>
      <c r="EO14" s="59">
        <f ca="1">AVERAGE(OFFSET($EN$3,0,0,'Données projet'!$E$15+1,1))-AVERAGE(OFFSET($H$3,0,0,'Données projet'!$E$15+1,1))</f>
        <v>316.52407313312403</v>
      </c>
      <c r="EP14" s="59">
        <f t="shared" si="46"/>
        <v>340.55949748167382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5.4069999999999991</v>
      </c>
      <c r="FE14" s="12">
        <f>IF('Données projet'!$A$218&gt;35,FE13+FD14-FM13,IF(A14&lt;'Données projet'!$A$218,$FB$205^A14,IF(A14='Données projet'!$A$218,'Données projet'!$B$218,FE13+FD14-FM13)))</f>
        <v>25.117028651440222</v>
      </c>
      <c r="FF14" s="17">
        <f>FE14*VLOOKUP('Données projet'!$B$16,Paramètres!$A$1:$I$89,3,0)*VLOOKUP('Données projet'!$B$16,Paramètres!$A$1:$I$89,5,0)</f>
        <v>16.456677172423632</v>
      </c>
      <c r="FG14" s="13">
        <f t="shared" si="47"/>
        <v>5.474090693004932</v>
      </c>
      <c r="FH14" s="20">
        <f t="shared" si="22"/>
        <v>38.196087365621416</v>
      </c>
      <c r="FI14" s="59">
        <f t="shared" si="23"/>
        <v>331.52942069895471</v>
      </c>
      <c r="FJ14" s="59">
        <f ca="1">AVERAGE(OFFSET($FI$3,0,0,'Données projet'!$E$16+1,1))-AVERAGE(OFFSET($H$3,0,0,'Données projet'!$E$16+1,1))</f>
        <v>199.99826357281154</v>
      </c>
      <c r="FK14" s="59">
        <f t="shared" si="48"/>
        <v>214.67424457475136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6.9411764705882355</v>
      </c>
      <c r="N15" s="13">
        <f>IF('Données projet'!$A$36&gt;35,N14+M15-V14,IF(A15&lt;'Données projet'!$A$36,$K$205^A15,IF(A15='Données projet'!$A$36,'Données projet'!$B$36,N14+M15-V14)))</f>
        <v>29.007142357672414</v>
      </c>
      <c r="O15" s="13">
        <f>N15*VLOOKUP('Données projet'!$B$9,Paramètres!$A$1:$I$89,3,0)*VLOOKUP('Données projet'!$B$9,Paramètres!$A$1:$I$89,5,0)</f>
        <v>17.346271129888105</v>
      </c>
      <c r="P15" s="13">
        <f t="shared" si="33"/>
        <v>5.7347514730366376</v>
      </c>
      <c r="Q15" s="20">
        <f t="shared" si="2"/>
        <v>40.19944770009392</v>
      </c>
      <c r="R15" s="59">
        <f t="shared" si="0"/>
        <v>333.53278103342723</v>
      </c>
      <c r="S15" s="59">
        <f ca="1">AVERAGE(OFFSET($R$3,0,0,'Données projet'!$E$9+1,1))-AVERAGE(OFFSET($H$3,0,0,'Données projet'!$E$9+1,1))</f>
        <v>284.60021367910457</v>
      </c>
      <c r="T15" s="59">
        <f t="shared" si="34"/>
        <v>301.41905904220812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312.8902077629582</v>
      </c>
      <c r="AN15" s="59">
        <f ca="1">AVERAGE(OFFSET($AM$3,0,0,'Données projet'!$E$10+1,1))-AVERAGE(OFFSET($H$3,0,0,'Données projet'!$E$10+1,1))</f>
        <v>294.45857786714919</v>
      </c>
      <c r="AO15" s="59">
        <f t="shared" si="36"/>
        <v>221.9773436301067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7.0434782608695654</v>
      </c>
      <c r="BD15" s="12">
        <f>IF('Données projet'!$A$88&gt;35,BD14+BC15-BL14,IF(A15&lt;'Données projet'!$A$88,$BA$205^A15,IF(A15='Données projet'!$A$88,'Données projet'!$B$88,BD14+BC15-BL14)))</f>
        <v>14.216426445098254</v>
      </c>
      <c r="BE15" s="13">
        <f>BD15*VLOOKUP('Données projet'!$B$11,Paramètres!$A$1:$I$89,3,0)*VLOOKUP('Données projet'!$B$11,Paramètres!$A$1:$I$89,5,0)</f>
        <v>7.9469823828099235</v>
      </c>
      <c r="BF15" s="13">
        <f t="shared" si="37"/>
        <v>2.8772047803866805</v>
      </c>
      <c r="BG15" s="20">
        <f t="shared" si="7"/>
        <v>18.852125975900751</v>
      </c>
      <c r="BH15" s="59">
        <f t="shared" si="8"/>
        <v>312.18545930923409</v>
      </c>
      <c r="BI15" s="59">
        <f ca="1">AVERAGE(OFFSET($BH$3,0,0,'Données projet'!$E$11+1,1))-AVERAGE(OFFSET($H$3,0,0,'Données projet'!$E$11+1,1))</f>
        <v>304.91676868833792</v>
      </c>
      <c r="BJ15" s="59">
        <f t="shared" si="38"/>
        <v>365.95065044620048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259.87681411271632</v>
      </c>
      <c r="CE15" s="59">
        <f t="shared" si="40"/>
        <v>191.8684235641158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5.75</v>
      </c>
      <c r="CT15" s="12">
        <f>IF('Données projet'!$A$140&gt;35,CT14+CS15-DB14,IF(A15&lt;'Données projet'!$A$140,$CQ$205^A15,IF(A15='Données projet'!$A$140,'Données projet'!$B$140,CT14+CS15-DB14)))</f>
        <v>17.23529432545471</v>
      </c>
      <c r="CU15" s="17">
        <f>CT15*VLOOKUP('Données projet'!$B$13,Paramètres!$A$1:$I$89,3,0)*VLOOKUP('Données projet'!$B$13,Paramètres!$A$1:$I$89,5,0)</f>
        <v>8.0661177443128054</v>
      </c>
      <c r="CV15" s="13">
        <f t="shared" si="41"/>
        <v>2.915283990610841</v>
      </c>
      <c r="CW15" s="20">
        <f t="shared" si="13"/>
        <v>19.125941354992019</v>
      </c>
      <c r="CX15" s="59">
        <f t="shared" si="14"/>
        <v>312.45927468832531</v>
      </c>
      <c r="CY15" s="59">
        <f ca="1">AVERAGE(OFFSET($CX$3,0,0,'Données projet'!$E$13+1,1))-AVERAGE(OFFSET($H$3,0,0,'Données projet'!$E$13+1,1))</f>
        <v>137.59122085719031</v>
      </c>
      <c r="CZ15" s="59">
        <f t="shared" si="42"/>
        <v>130.1134470448718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3.6388888888888888</v>
      </c>
      <c r="DO15" s="12">
        <f>IF('Données projet'!$A$166&gt;35,DO14+DN15-DW14,IF(A15&lt;'Données projet'!$A$166,$DL$205^A15,IF(A15='Données projet'!$A$166,'Données projet'!$B$166,DO14+DN15-DW14)))</f>
        <v>43.666666666666657</v>
      </c>
      <c r="DP15" s="17">
        <f>DO15*VLOOKUP('Données projet'!$B$14,Paramètres!$A$1:$I$89,3,0)*VLOOKUP('Données projet'!$B$14,Paramètres!$A$1:$I$89,5,0)</f>
        <v>44.277999999999999</v>
      </c>
      <c r="DQ15" s="13">
        <f t="shared" si="43"/>
        <v>13.125739418267141</v>
      </c>
      <c r="DR15" s="20">
        <f t="shared" si="16"/>
        <v>99.97817948681525</v>
      </c>
      <c r="DS15" s="59">
        <f t="shared" si="17"/>
        <v>393.31151282014855</v>
      </c>
      <c r="DT15" s="59">
        <f ca="1">AVERAGE(OFFSET($DS$3,0,0,'Données projet'!$E$14+1,1))-AVERAGE(OFFSET($H$3,0,0,'Données projet'!$E$14+1,1))</f>
        <v>313.90901812281373</v>
      </c>
      <c r="DU15" s="59">
        <f t="shared" si="44"/>
        <v>210.54265725995265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6.971916666666667</v>
      </c>
      <c r="EJ15" s="12">
        <f>IF('Données projet'!$A$192&gt;35,EJ14+EI15-ER14,IF(A15&lt;'Données projet'!$A$192,$EG$205^A15,IF(A15='Données projet'!$A$192,'Données projet'!$B$192,EJ14+EI15-ER14)))</f>
        <v>41.262425880806234</v>
      </c>
      <c r="EK15" s="17">
        <f>EJ15*VLOOKUP('Données projet'!$B$15,Paramètres!$A$1:$I$89,3,0)*VLOOKUP('Données projet'!$B$15,Paramètres!$A$1:$I$89,5,0)</f>
        <v>32.828386030769437</v>
      </c>
      <c r="EL15" s="13">
        <f t="shared" si="45"/>
        <v>10.076510251296972</v>
      </c>
      <c r="EM15" s="20">
        <f t="shared" si="19"/>
        <v>74.726027691265656</v>
      </c>
      <c r="EN15" s="59">
        <f t="shared" si="20"/>
        <v>368.05936102459896</v>
      </c>
      <c r="EO15" s="59">
        <f ca="1">AVERAGE(OFFSET($EN$3,0,0,'Données projet'!$E$15+1,1))-AVERAGE(OFFSET($H$3,0,0,'Données projet'!$E$15+1,1))</f>
        <v>316.52407313312403</v>
      </c>
      <c r="EP15" s="59">
        <f t="shared" si="46"/>
        <v>340.55949748167382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5.4069999999999991</v>
      </c>
      <c r="FE15" s="12">
        <f>IF('Données projet'!$A$218&gt;35,FE14+FD15-FM14,IF(A15&lt;'Données projet'!$A$218,$FB$205^A15,IF(A15='Données projet'!$A$218,'Données projet'!$B$218,FE14+FD15-FM14)))</f>
        <v>33.669611316729082</v>
      </c>
      <c r="FF15" s="17">
        <f>FE15*VLOOKUP('Données projet'!$B$16,Paramètres!$A$1:$I$89,3,0)*VLOOKUP('Données projet'!$B$16,Paramètres!$A$1:$I$89,5,0)</f>
        <v>22.060329334720894</v>
      </c>
      <c r="FG15" s="13">
        <f t="shared" si="47"/>
        <v>7.0919819353468947</v>
      </c>
      <c r="FH15" s="20">
        <f t="shared" si="22"/>
        <v>50.773608795368062</v>
      </c>
      <c r="FI15" s="59">
        <f t="shared" si="23"/>
        <v>344.10694212870135</v>
      </c>
      <c r="FJ15" s="59">
        <f ca="1">AVERAGE(OFFSET($FI$3,0,0,'Données projet'!$E$16+1,1))-AVERAGE(OFFSET($H$3,0,0,'Données projet'!$E$16+1,1))</f>
        <v>199.99826357281154</v>
      </c>
      <c r="FK15" s="59">
        <f t="shared" si="48"/>
        <v>214.67424457475136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6.9411764705882355</v>
      </c>
      <c r="N16" s="13">
        <f>IF('Données projet'!$A$36&gt;35,N15+M16-V15,IF(A16&lt;'Données projet'!$A$36,$K$205^A16,IF(A16='Données projet'!$A$36,'Données projet'!$B$36,N15+M16-V15)))</f>
        <v>38.404344652263013</v>
      </c>
      <c r="O16" s="13">
        <f>N16*VLOOKUP('Données projet'!$B$9,Paramètres!$A$1:$I$89,3,0)*VLOOKUP('Données projet'!$B$9,Paramètres!$A$1:$I$89,5,0)</f>
        <v>22.965798102053284</v>
      </c>
      <c r="P16" s="13">
        <f t="shared" si="33"/>
        <v>7.3485848963755025</v>
      </c>
      <c r="Q16" s="20">
        <f t="shared" si="2"/>
        <v>52.797550388930141</v>
      </c>
      <c r="R16" s="59">
        <f t="shared" si="0"/>
        <v>346.13088372226343</v>
      </c>
      <c r="S16" s="59">
        <f ca="1">AVERAGE(OFFSET($R$3,0,0,'Données projet'!$E$9+1,1))-AVERAGE(OFFSET($H$3,0,0,'Données projet'!$E$9+1,1))</f>
        <v>284.60021367910457</v>
      </c>
      <c r="T16" s="59">
        <f t="shared" si="34"/>
        <v>301.41905904220812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317.50979388947383</v>
      </c>
      <c r="AN16" s="59">
        <f ca="1">AVERAGE(OFFSET($AM$3,0,0,'Données projet'!$E$10+1,1))-AVERAGE(OFFSET($H$3,0,0,'Données projet'!$E$10+1,1))</f>
        <v>294.45857786714919</v>
      </c>
      <c r="AO16" s="59">
        <f t="shared" si="36"/>
        <v>221.9773436301067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7.0434782608695654</v>
      </c>
      <c r="BD16" s="12">
        <f>IF('Données projet'!$A$88&gt;35,BD15+BC16-BL15,IF(A16&lt;'Données projet'!$A$88,$BA$205^A16,IF(A16='Données projet'!$A$88,'Données projet'!$B$88,BD15+BC16-BL15)))</f>
        <v>17.736025828877512</v>
      </c>
      <c r="BE16" s="13">
        <f>BD16*VLOOKUP('Données projet'!$B$11,Paramètres!$A$1:$I$89,3,0)*VLOOKUP('Données projet'!$B$11,Paramètres!$A$1:$I$89,5,0)</f>
        <v>9.914438438342529</v>
      </c>
      <c r="BF16" s="13">
        <f t="shared" si="37"/>
        <v>3.4982800719153118</v>
      </c>
      <c r="BG16" s="20">
        <f t="shared" si="7"/>
        <v>23.360484738699075</v>
      </c>
      <c r="BH16" s="59">
        <f t="shared" si="8"/>
        <v>316.6938180720324</v>
      </c>
      <c r="BI16" s="59">
        <f ca="1">AVERAGE(OFFSET($BH$3,0,0,'Données projet'!$E$11+1,1))-AVERAGE(OFFSET($H$3,0,0,'Données projet'!$E$11+1,1))</f>
        <v>304.91676868833792</v>
      </c>
      <c r="BJ16" s="59">
        <f t="shared" si="38"/>
        <v>365.95065044620048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259.87681411271632</v>
      </c>
      <c r="CE16" s="59">
        <f t="shared" si="40"/>
        <v>191.8684235641158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5.75</v>
      </c>
      <c r="CT16" s="12">
        <f>IF('Données projet'!$A$140&gt;35,CT15+CS16-DB15,IF(A16&lt;'Données projet'!$A$140,$CQ$205^A16,IF(A16='Données projet'!$A$140,'Données projet'!$B$140,CT15+CS16-DB15)))</f>
        <v>21.850108417664106</v>
      </c>
      <c r="CU16" s="17">
        <f>CT16*VLOOKUP('Données projet'!$B$13,Paramètres!$A$1:$I$89,3,0)*VLOOKUP('Données projet'!$B$13,Paramètres!$A$1:$I$89,5,0)</f>
        <v>10.225850739466802</v>
      </c>
      <c r="CV16" s="13">
        <f t="shared" si="41"/>
        <v>3.5951953906669201</v>
      </c>
      <c r="CW16" s="20">
        <f t="shared" si="13"/>
        <v>24.071655343316234</v>
      </c>
      <c r="CX16" s="59">
        <f t="shared" si="14"/>
        <v>317.40498867664957</v>
      </c>
      <c r="CY16" s="59">
        <f ca="1">AVERAGE(OFFSET($CX$3,0,0,'Données projet'!$E$13+1,1))-AVERAGE(OFFSET($H$3,0,0,'Données projet'!$E$13+1,1))</f>
        <v>137.59122085719031</v>
      </c>
      <c r="CZ16" s="59">
        <f t="shared" si="42"/>
        <v>130.1134470448718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3.6388888888888888</v>
      </c>
      <c r="DO16" s="12">
        <f>IF('Données projet'!$A$166&gt;35,DO15+DN16-DW15,IF(A16&lt;'Données projet'!$A$166,$DL$205^A16,IF(A16='Données projet'!$A$166,'Données projet'!$B$166,DO15+DN16-DW15)))</f>
        <v>47.305555555555543</v>
      </c>
      <c r="DP16" s="17">
        <f>DO16*VLOOKUP('Données projet'!$B$14,Paramètres!$A$1:$I$89,3,0)*VLOOKUP('Données projet'!$B$14,Paramètres!$A$1:$I$89,5,0)</f>
        <v>47.967833333333324</v>
      </c>
      <c r="DQ16" s="13">
        <f t="shared" si="43"/>
        <v>14.087683147920069</v>
      </c>
      <c r="DR16" s="20">
        <f t="shared" si="16"/>
        <v>108.08002453818297</v>
      </c>
      <c r="DS16" s="59">
        <f t="shared" si="17"/>
        <v>401.41335787151627</v>
      </c>
      <c r="DT16" s="59">
        <f ca="1">AVERAGE(OFFSET($DS$3,0,0,'Données projet'!$E$14+1,1))-AVERAGE(OFFSET($H$3,0,0,'Données projet'!$E$14+1,1))</f>
        <v>313.90901812281373</v>
      </c>
      <c r="DU16" s="59">
        <f t="shared" si="44"/>
        <v>210.54265725995265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6.971916666666667</v>
      </c>
      <c r="EJ16" s="12">
        <f>IF('Données projet'!$A$192&gt;35,EJ15+EI16-ER15,IF(A16&lt;'Données projet'!$A$192,$EG$205^A16,IF(A16='Données projet'!$A$192,'Données projet'!$B$192,EJ15+EI16-ER15)))</f>
        <v>56.258004094084988</v>
      </c>
      <c r="EK16" s="17">
        <f>EJ16*VLOOKUP('Données projet'!$B$15,Paramètres!$A$1:$I$89,3,0)*VLOOKUP('Données projet'!$B$15,Paramètres!$A$1:$I$89,5,0)</f>
        <v>44.75886805725402</v>
      </c>
      <c r="EL16" s="13">
        <f t="shared" si="45"/>
        <v>13.251615708041101</v>
      </c>
      <c r="EM16" s="20">
        <f t="shared" si="19"/>
        <v>101.03492589122233</v>
      </c>
      <c r="EN16" s="59">
        <f t="shared" si="20"/>
        <v>394.36825922455563</v>
      </c>
      <c r="EO16" s="59">
        <f ca="1">AVERAGE(OFFSET($EN$3,0,0,'Données projet'!$E$15+1,1))-AVERAGE(OFFSET($H$3,0,0,'Données projet'!$E$15+1,1))</f>
        <v>316.52407313312403</v>
      </c>
      <c r="EP16" s="59">
        <f t="shared" si="46"/>
        <v>340.55949748167382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5.4069999999999991</v>
      </c>
      <c r="FE16" s="12">
        <f>IF('Données projet'!$A$218&gt;35,FE15+FD16-FM15,IF(A16&lt;'Données projet'!$A$218,$FB$205^A16,IF(A16='Données projet'!$A$218,'Données projet'!$B$218,FE15+FD16-FM15)))</f>
        <v>45.134428198162176</v>
      </c>
      <c r="FF16" s="17">
        <f>FE16*VLOOKUP('Données projet'!$B$16,Paramètres!$A$1:$I$89,3,0)*VLOOKUP('Données projet'!$B$16,Paramètres!$A$1:$I$89,5,0)</f>
        <v>29.572077355435859</v>
      </c>
      <c r="FG16" s="13">
        <f t="shared" si="47"/>
        <v>9.18804795023906</v>
      </c>
      <c r="FH16" s="20">
        <f t="shared" si="22"/>
        <v>67.507218240717151</v>
      </c>
      <c r="FI16" s="59">
        <f t="shared" si="23"/>
        <v>360.84055157405044</v>
      </c>
      <c r="FJ16" s="59">
        <f ca="1">AVERAGE(OFFSET($FI$3,0,0,'Données projet'!$E$16+1,1))-AVERAGE(OFFSET($H$3,0,0,'Données projet'!$E$16+1,1))</f>
        <v>199.99826357281154</v>
      </c>
      <c r="FK16" s="59">
        <f t="shared" si="48"/>
        <v>214.67424457475136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6.9411764705882355</v>
      </c>
      <c r="N17" s="13">
        <f>IF('Données projet'!$A$36&gt;35,N16+M17-V16,IF(A17&lt;'Données projet'!$A$36,$K$205^A17,IF(A17='Données projet'!$A$36,'Données projet'!$B$36,N16+M17-V16)))</f>
        <v>50.845880300225161</v>
      </c>
      <c r="O17" s="13">
        <f>N17*VLOOKUP('Données projet'!$B$9,Paramètres!$A$1:$I$89,3,0)*VLOOKUP('Données projet'!$B$9,Paramètres!$A$1:$I$89,5,0)</f>
        <v>30.405836419534648</v>
      </c>
      <c r="P17" s="13">
        <f t="shared" si="33"/>
        <v>9.4165719705798292</v>
      </c>
      <c r="Q17" s="20">
        <f t="shared" si="2"/>
        <v>69.357361279449364</v>
      </c>
      <c r="R17" s="59">
        <f t="shared" si="0"/>
        <v>362.69069461278269</v>
      </c>
      <c r="S17" s="59">
        <f ca="1">AVERAGE(OFFSET($R$3,0,0,'Données projet'!$E$9+1,1))-AVERAGE(OFFSET($H$3,0,0,'Données projet'!$E$9+1,1))</f>
        <v>284.60021367910457</v>
      </c>
      <c r="T17" s="59">
        <f t="shared" si="34"/>
        <v>301.41905904220812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323.2243139626886</v>
      </c>
      <c r="AN17" s="59">
        <f ca="1">AVERAGE(OFFSET($AM$3,0,0,'Données projet'!$E$10+1,1))-AVERAGE(OFFSET($H$3,0,0,'Données projet'!$E$10+1,1))</f>
        <v>294.45857786714919</v>
      </c>
      <c r="AO17" s="59">
        <f t="shared" si="36"/>
        <v>221.9773436301067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7.0434782608695654</v>
      </c>
      <c r="BD17" s="12">
        <f>IF('Données projet'!$A$88&gt;35,BD16+BC17-BL16,IF(A17&lt;'Données projet'!$A$88,$BA$205^A17,IF(A17='Données projet'!$A$88,'Données projet'!$B$88,BD16+BC17-BL16)))</f>
        <v>22.126982010382157</v>
      </c>
      <c r="BE17" s="13">
        <f>BD17*VLOOKUP('Données projet'!$B$11,Paramètres!$A$1:$I$89,3,0)*VLOOKUP('Données projet'!$B$11,Paramètres!$A$1:$I$89,5,0)</f>
        <v>12.368982943803626</v>
      </c>
      <c r="BF17" s="13">
        <f t="shared" si="37"/>
        <v>4.253421079022079</v>
      </c>
      <c r="BG17" s="20">
        <f t="shared" si="7"/>
        <v>28.950687006421436</v>
      </c>
      <c r="BH17" s="59">
        <f t="shared" si="8"/>
        <v>322.28402033975476</v>
      </c>
      <c r="BI17" s="59">
        <f ca="1">AVERAGE(OFFSET($BH$3,0,0,'Données projet'!$E$11+1,1))-AVERAGE(OFFSET($H$3,0,0,'Données projet'!$E$11+1,1))</f>
        <v>304.91676868833792</v>
      </c>
      <c r="BJ17" s="59">
        <f t="shared" si="38"/>
        <v>365.95065044620048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259.87681411271632</v>
      </c>
      <c r="CE17" s="59">
        <f t="shared" si="40"/>
        <v>191.8684235641158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5.75</v>
      </c>
      <c r="CT17" s="12">
        <f>IF('Données projet'!$A$140&gt;35,CT16+CS17-DB16,IF(A17&lt;'Données projet'!$A$140,$CQ$205^A17,IF(A17='Données projet'!$A$140,'Données projet'!$B$140,CT16+CS17-DB16)))</f>
        <v>27.700556129091808</v>
      </c>
      <c r="CU17" s="17">
        <f>CT17*VLOOKUP('Données projet'!$B$13,Paramètres!$A$1:$I$89,3,0)*VLOOKUP('Données projet'!$B$13,Paramètres!$A$1:$I$89,5,0)</f>
        <v>12.963860268414967</v>
      </c>
      <c r="CV17" s="13">
        <f t="shared" si="41"/>
        <v>4.4336777956113931</v>
      </c>
      <c r="CW17" s="20">
        <f t="shared" si="13"/>
        <v>30.300712128179242</v>
      </c>
      <c r="CX17" s="59">
        <f t="shared" si="14"/>
        <v>323.63404546151253</v>
      </c>
      <c r="CY17" s="59">
        <f ca="1">AVERAGE(OFFSET($CX$3,0,0,'Données projet'!$E$13+1,1))-AVERAGE(OFFSET($H$3,0,0,'Données projet'!$E$13+1,1))</f>
        <v>137.59122085719031</v>
      </c>
      <c r="CZ17" s="59">
        <f t="shared" si="42"/>
        <v>130.1134470448718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3.6388888888888888</v>
      </c>
      <c r="DO17" s="12">
        <f>IF('Données projet'!$A$166&gt;35,DO16+DN17-DW16,IF(A17&lt;'Données projet'!$A$166,$DL$205^A17,IF(A17='Données projet'!$A$166,'Données projet'!$B$166,DO16+DN17-DW16)))</f>
        <v>50.944444444444429</v>
      </c>
      <c r="DP17" s="17">
        <f>DO17*VLOOKUP('Données projet'!$B$14,Paramètres!$A$1:$I$89,3,0)*VLOOKUP('Données projet'!$B$14,Paramètres!$A$1:$I$89,5,0)</f>
        <v>51.657666666666657</v>
      </c>
      <c r="DQ17" s="13">
        <f t="shared" si="43"/>
        <v>15.041043296227665</v>
      </c>
      <c r="DR17" s="20">
        <f t="shared" si="16"/>
        <v>116.16691985204095</v>
      </c>
      <c r="DS17" s="59">
        <f t="shared" si="17"/>
        <v>409.50025318537428</v>
      </c>
      <c r="DT17" s="59">
        <f ca="1">AVERAGE(OFFSET($DS$3,0,0,'Données projet'!$E$14+1,1))-AVERAGE(OFFSET($H$3,0,0,'Données projet'!$E$14+1,1))</f>
        <v>313.90901812281373</v>
      </c>
      <c r="DU17" s="59">
        <f t="shared" si="44"/>
        <v>210.54265725995265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6.971916666666667</v>
      </c>
      <c r="EJ17" s="12">
        <f>IF('Données projet'!$A$192&gt;35,EJ16+EI17-ER16,IF(A17&lt;'Données projet'!$A$192,$EG$205^A17,IF(A17='Données projet'!$A$192,'Données projet'!$B$192,EJ16+EI17-ER16)))</f>
        <v>76.703270762427664</v>
      </c>
      <c r="EK17" s="17">
        <f>EJ17*VLOOKUP('Données projet'!$B$15,Paramètres!$A$1:$I$89,3,0)*VLOOKUP('Données projet'!$B$15,Paramètres!$A$1:$I$89,5,0)</f>
        <v>61.025122218587448</v>
      </c>
      <c r="EL17" s="13">
        <f t="shared" si="45"/>
        <v>17.427195973030351</v>
      </c>
      <c r="EM17" s="20">
        <f t="shared" si="19"/>
        <v>136.63778751706764</v>
      </c>
      <c r="EN17" s="59">
        <f t="shared" si="20"/>
        <v>429.97112085040095</v>
      </c>
      <c r="EO17" s="59">
        <f ca="1">AVERAGE(OFFSET($EN$3,0,0,'Données projet'!$E$15+1,1))-AVERAGE(OFFSET($H$3,0,0,'Données projet'!$E$15+1,1))</f>
        <v>316.52407313312403</v>
      </c>
      <c r="EP17" s="59">
        <f t="shared" si="46"/>
        <v>340.55949748167382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5.4069999999999991</v>
      </c>
      <c r="FE17" s="12">
        <f>IF('Données projet'!$A$218&gt;35,FE16+FD17-FM16,IF(A17&lt;'Données projet'!$A$218,$FB$205^A17,IF(A17='Données projet'!$A$218,'Données projet'!$B$218,FE16+FD17-FM16)))</f>
        <v>60.503122225319416</v>
      </c>
      <c r="FF17" s="17">
        <f>FE17*VLOOKUP('Données projet'!$B$16,Paramètres!$A$1:$I$89,3,0)*VLOOKUP('Données projet'!$B$16,Paramètres!$A$1:$I$89,5,0)</f>
        <v>39.641645682029278</v>
      </c>
      <c r="FG17" s="13">
        <f t="shared" si="47"/>
        <v>11.903615365281224</v>
      </c>
      <c r="FH17" s="20">
        <f t="shared" si="22"/>
        <v>89.774662990732452</v>
      </c>
      <c r="FI17" s="59">
        <f t="shared" si="23"/>
        <v>383.10799632406577</v>
      </c>
      <c r="FJ17" s="59">
        <f ca="1">AVERAGE(OFFSET($FI$3,0,0,'Données projet'!$E$16+1,1))-AVERAGE(OFFSET($H$3,0,0,'Données projet'!$E$16+1,1))</f>
        <v>199.99826357281154</v>
      </c>
      <c r="FK17" s="59">
        <f t="shared" si="48"/>
        <v>214.67424457475136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6.9411764705882355</v>
      </c>
      <c r="N18" s="13">
        <f>IF('Données projet'!$A$36&gt;35,N17+M18-V17,IF(A18&lt;'Données projet'!$A$36,$K$205^A18,IF(A18='Données projet'!$A$36,'Données projet'!$B$36,N17+M18-V17)))</f>
        <v>67.317996620272581</v>
      </c>
      <c r="O18" s="13">
        <f>N18*VLOOKUP('Données projet'!$B$9,Paramètres!$A$1:$I$89,3,0)*VLOOKUP('Données projet'!$B$9,Paramètres!$A$1:$I$89,5,0)</f>
        <v>40.256161978923011</v>
      </c>
      <c r="P18" s="13">
        <f t="shared" si="33"/>
        <v>12.066517421720839</v>
      </c>
      <c r="Q18" s="20">
        <f t="shared" si="2"/>
        <v>91.128666622788032</v>
      </c>
      <c r="R18" s="59">
        <f t="shared" si="0"/>
        <v>384.46199995612136</v>
      </c>
      <c r="S18" s="59">
        <f ca="1">AVERAGE(OFFSET($R$3,0,0,'Données projet'!$E$9+1,1))-AVERAGE(OFFSET($H$3,0,0,'Données projet'!$E$9+1,1))</f>
        <v>284.60021367910457</v>
      </c>
      <c r="T18" s="59">
        <f t="shared" si="34"/>
        <v>301.41905904220812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330.29411192516659</v>
      </c>
      <c r="AN18" s="59">
        <f ca="1">AVERAGE(OFFSET($AM$3,0,0,'Données projet'!$E$10+1,1))-AVERAGE(OFFSET($H$3,0,0,'Données projet'!$E$10+1,1))</f>
        <v>294.45857786714919</v>
      </c>
      <c r="AO18" s="59">
        <f t="shared" si="36"/>
        <v>221.9773436301067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7.0434782608695654</v>
      </c>
      <c r="BD18" s="12">
        <f>IF('Données projet'!$A$88&gt;35,BD17+BC18-BL17,IF(A18&lt;'Données projet'!$A$88,$BA$205^A18,IF(A18='Données projet'!$A$88,'Données projet'!$B$88,BD17+BC18-BL17)))</f>
        <v>27.605019163346693</v>
      </c>
      <c r="BE18" s="13">
        <f>BD18*VLOOKUP('Données projet'!$B$11,Paramètres!$A$1:$I$89,3,0)*VLOOKUP('Données projet'!$B$11,Paramètres!$A$1:$I$89,5,0)</f>
        <v>15.431205712310803</v>
      </c>
      <c r="BF18" s="13">
        <f t="shared" si="37"/>
        <v>5.1715673140956353</v>
      </c>
      <c r="BG18" s="20">
        <f t="shared" si="7"/>
        <v>35.883163020991212</v>
      </c>
      <c r="BH18" s="59">
        <f t="shared" si="8"/>
        <v>329.21649635432453</v>
      </c>
      <c r="BI18" s="59">
        <f ca="1">AVERAGE(OFFSET($BH$3,0,0,'Données projet'!$E$11+1,1))-AVERAGE(OFFSET($H$3,0,0,'Données projet'!$E$11+1,1))</f>
        <v>304.91676868833792</v>
      </c>
      <c r="BJ18" s="59">
        <f t="shared" si="38"/>
        <v>365.95065044620048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259.87681411271632</v>
      </c>
      <c r="CE18" s="59">
        <f t="shared" si="40"/>
        <v>191.8684235641158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5.75</v>
      </c>
      <c r="CT18" s="12">
        <f>IF('Données projet'!$A$140&gt;35,CT17+CS18-DB17,IF(A18&lt;'Données projet'!$A$140,$CQ$205^A18,IF(A18='Données projet'!$A$140,'Données projet'!$B$140,CT17+CS18-DB17)))</f>
        <v>35.117482952196561</v>
      </c>
      <c r="CU18" s="17">
        <f>CT18*VLOOKUP('Données projet'!$B$13,Paramètres!$A$1:$I$89,3,0)*VLOOKUP('Données projet'!$B$13,Paramètres!$A$1:$I$89,5,0)</f>
        <v>16.434982021627992</v>
      </c>
      <c r="CV18" s="13">
        <f t="shared" si="41"/>
        <v>5.4677136175486121</v>
      </c>
      <c r="CW18" s="20">
        <f t="shared" si="13"/>
        <v>38.147194904899251</v>
      </c>
      <c r="CX18" s="59">
        <f t="shared" si="14"/>
        <v>331.48052823823258</v>
      </c>
      <c r="CY18" s="59">
        <f ca="1">AVERAGE(OFFSET($CX$3,0,0,'Données projet'!$E$13+1,1))-AVERAGE(OFFSET($H$3,0,0,'Données projet'!$E$13+1,1))</f>
        <v>137.59122085719031</v>
      </c>
      <c r="CZ18" s="59">
        <f t="shared" si="42"/>
        <v>130.1134470448718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3.6388888888888888</v>
      </c>
      <c r="DO18" s="12">
        <f>IF('Données projet'!$A$166&gt;35,DO17+DN18-DW17,IF(A18&lt;'Données projet'!$A$166,$DL$205^A18,IF(A18='Données projet'!$A$166,'Données projet'!$B$166,DO17+DN18-DW17)))</f>
        <v>54.583333333333314</v>
      </c>
      <c r="DP18" s="17">
        <f>DO18*VLOOKUP('Données projet'!$B$14,Paramètres!$A$1:$I$89,3,0)*VLOOKUP('Données projet'!$B$14,Paramètres!$A$1:$I$89,5,0)</f>
        <v>55.347499999999989</v>
      </c>
      <c r="DQ18" s="13">
        <f t="shared" si="43"/>
        <v>15.986502707786485</v>
      </c>
      <c r="DR18" s="20">
        <f t="shared" si="16"/>
        <v>124.24005471606147</v>
      </c>
      <c r="DS18" s="59">
        <f t="shared" si="17"/>
        <v>417.57338804939479</v>
      </c>
      <c r="DT18" s="59">
        <f ca="1">AVERAGE(OFFSET($DS$3,0,0,'Données projet'!$E$14+1,1))-AVERAGE(OFFSET($H$3,0,0,'Données projet'!$E$14+1,1))</f>
        <v>313.90901812281373</v>
      </c>
      <c r="DU18" s="59">
        <f t="shared" si="44"/>
        <v>210.54265725995265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104.57875</v>
      </c>
      <c r="EH18" s="12">
        <f>VLOOKUP(A18,'Données projet'!$A$191:$I$211,9,0)</f>
        <v>6.971916666666667</v>
      </c>
      <c r="EI18" s="12">
        <f t="array" ref="EI18">INDEX(EH:EH,MIN(IF(ISNUMBER(EH18:EH214),ROW(EH18:EH214),"")))</f>
        <v>6.971916666666667</v>
      </c>
      <c r="EJ18" s="12">
        <f>IF('Données projet'!$A$192&gt;35,EJ17+EI18-ER17,IF(A18&lt;'Données projet'!$A$192,$EG$205^A18,IF(A18='Données projet'!$A$192,'Données projet'!$B$192,EJ17+EI18-ER17)))</f>
        <v>104.57875</v>
      </c>
      <c r="EK18" s="17">
        <f>EJ18*VLOOKUP('Données projet'!$B$15,Paramètres!$A$1:$I$89,3,0)*VLOOKUP('Données projet'!$B$15,Paramètres!$A$1:$I$89,5,0)</f>
        <v>83.202853500000003</v>
      </c>
      <c r="EL18" s="13">
        <f t="shared" si="45"/>
        <v>22.918500368080814</v>
      </c>
      <c r="EM18" s="20">
        <f t="shared" si="19"/>
        <v>184.82802465357409</v>
      </c>
      <c r="EN18" s="59">
        <f t="shared" si="20"/>
        <v>478.16135798690743</v>
      </c>
      <c r="EO18" s="59">
        <f ca="1">AVERAGE(OFFSET($EN$3,0,0,'Données projet'!$E$15+1,1))-AVERAGE(OFFSET($H$3,0,0,'Données projet'!$E$15+1,1))</f>
        <v>316.52407313312403</v>
      </c>
      <c r="EP18" s="59">
        <f t="shared" si="46"/>
        <v>340.55949748167382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20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81.10499999999999</v>
      </c>
      <c r="FC18" s="12">
        <f>VLOOKUP(A18,'Données projet'!$A$217:$I$237,9,0)</f>
        <v>5.4069999999999991</v>
      </c>
      <c r="FD18" s="12">
        <f t="array" ref="FD18">INDEX(FC:FC,MIN(IF(ISNUMBER(FC18:FC214),ROW(FC18:FC214),"")))</f>
        <v>5.4069999999999991</v>
      </c>
      <c r="FE18" s="12">
        <f>IF('Données projet'!$A$218&gt;35,FE17+FD18-FM17,IF(A18&lt;'Données projet'!$A$218,$FB$205^A18,IF(A18='Données projet'!$A$218,'Données projet'!$B$218,FE17+FD18-FM17)))</f>
        <v>81.10499999999999</v>
      </c>
      <c r="FF18" s="17">
        <f>FE18*VLOOKUP('Données projet'!$B$16,Paramètres!$A$1:$I$89,3,0)*VLOOKUP('Données projet'!$B$16,Paramètres!$A$1:$I$89,5,0)</f>
        <v>53.139995999999996</v>
      </c>
      <c r="FG18" s="13">
        <f t="shared" si="47"/>
        <v>15.421780505713691</v>
      </c>
      <c r="FH18" s="20">
        <f t="shared" si="22"/>
        <v>119.41176074745134</v>
      </c>
      <c r="FI18" s="59">
        <f t="shared" si="23"/>
        <v>412.74509408078467</v>
      </c>
      <c r="FJ18" s="59">
        <f ca="1">AVERAGE(OFFSET($FI$3,0,0,'Données projet'!$E$16+1,1))-AVERAGE(OFFSET($H$3,0,0,'Données projet'!$E$16+1,1))</f>
        <v>199.99826357281154</v>
      </c>
      <c r="FK18" s="59">
        <f t="shared" si="48"/>
        <v>214.67424457475136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13.517499999999998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6.9411764705882355</v>
      </c>
      <c r="N19" s="13">
        <f>IF('Données projet'!$A$36&gt;35,N18+M19-V18,IF(A19&lt;'Données projet'!$A$36,$K$205^A19,IF(A19='Données projet'!$A$36,'Données projet'!$B$36,N18+M19-V18)))</f>
        <v>89.126447260014572</v>
      </c>
      <c r="O19" s="13">
        <f>N19*VLOOKUP('Données projet'!$B$9,Paramètres!$A$1:$I$89,3,0)*VLOOKUP('Données projet'!$B$9,Paramètres!$A$1:$I$89,5,0)</f>
        <v>53.297615461488718</v>
      </c>
      <c r="P19" s="13">
        <f t="shared" si="33"/>
        <v>15.46219188294774</v>
      </c>
      <c r="Q19" s="20">
        <f t="shared" si="2"/>
        <v>119.75666445822681</v>
      </c>
      <c r="R19" s="59">
        <f t="shared" si="0"/>
        <v>413.08999779156011</v>
      </c>
      <c r="S19" s="59">
        <f ca="1">AVERAGE(OFFSET($R$3,0,0,'Données projet'!$E$9+1,1))-AVERAGE(OFFSET($H$3,0,0,'Données projet'!$E$9+1,1))</f>
        <v>284.60021367910457</v>
      </c>
      <c r="T19" s="59">
        <f t="shared" si="34"/>
        <v>301.41905904220812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339.04161502361472</v>
      </c>
      <c r="AN19" s="59">
        <f ca="1">AVERAGE(OFFSET($AM$3,0,0,'Données projet'!$E$10+1,1))-AVERAGE(OFFSET($H$3,0,0,'Données projet'!$E$10+1,1))</f>
        <v>294.45857786714919</v>
      </c>
      <c r="AO19" s="59">
        <f t="shared" si="36"/>
        <v>221.9773436301067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7.0434782608695654</v>
      </c>
      <c r="BD19" s="12">
        <f>IF('Données projet'!$A$88&gt;35,BD18+BC19-BL18,IF(A19&lt;'Données projet'!$A$88,$BA$205^A19,IF(A19='Données projet'!$A$88,'Données projet'!$B$88,BD18+BC19-BL18)))</f>
        <v>34.439268882271627</v>
      </c>
      <c r="BE19" s="13">
        <f>BD19*VLOOKUP('Données projet'!$B$11,Paramètres!$A$1:$I$89,3,0)*VLOOKUP('Données projet'!$B$11,Paramètres!$A$1:$I$89,5,0)</f>
        <v>19.251551305189839</v>
      </c>
      <c r="BF19" s="13">
        <f t="shared" si="37"/>
        <v>6.2879051914538895</v>
      </c>
      <c r="BG19" s="20">
        <f t="shared" si="7"/>
        <v>44.481220064987831</v>
      </c>
      <c r="BH19" s="59">
        <f t="shared" si="8"/>
        <v>337.81455339832115</v>
      </c>
      <c r="BI19" s="59">
        <f ca="1">AVERAGE(OFFSET($BH$3,0,0,'Données projet'!$E$11+1,1))-AVERAGE(OFFSET($H$3,0,0,'Données projet'!$E$11+1,1))</f>
        <v>304.91676868833792</v>
      </c>
      <c r="BJ19" s="59">
        <f t="shared" si="38"/>
        <v>365.95065044620048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259.87681411271632</v>
      </c>
      <c r="CE19" s="59">
        <f t="shared" si="40"/>
        <v>191.8684235641158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5.75</v>
      </c>
      <c r="CT19" s="12">
        <f>IF('Données projet'!$A$140&gt;35,CT18+CS19-DB18,IF(A19&lt;'Données projet'!$A$140,$CQ$205^A19,IF(A19='Données projet'!$A$140,'Données projet'!$B$140,CT18+CS19-DB18)))</f>
        <v>44.52031948927695</v>
      </c>
      <c r="CU19" s="17">
        <f>CT19*VLOOKUP('Données projet'!$B$13,Paramètres!$A$1:$I$89,3,0)*VLOOKUP('Données projet'!$B$13,Paramètres!$A$1:$I$89,5,0)</f>
        <v>20.835509520981613</v>
      </c>
      <c r="CV19" s="13">
        <f t="shared" si="41"/>
        <v>6.7429104192276883</v>
      </c>
      <c r="CW19" s="20">
        <f t="shared" si="13"/>
        <v>48.03241472919786</v>
      </c>
      <c r="CX19" s="59">
        <f t="shared" si="14"/>
        <v>341.36574806253117</v>
      </c>
      <c r="CY19" s="59">
        <f ca="1">AVERAGE(OFFSET($CX$3,0,0,'Données projet'!$E$13+1,1))-AVERAGE(OFFSET($H$3,0,0,'Données projet'!$E$13+1,1))</f>
        <v>137.59122085719031</v>
      </c>
      <c r="CZ19" s="59">
        <f t="shared" si="42"/>
        <v>130.1134470448718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3.6388888888888888</v>
      </c>
      <c r="DO19" s="12">
        <f>IF('Données projet'!$A$166&gt;35,DO18+DN19-DW18,IF(A19&lt;'Données projet'!$A$166,$DL$205^A19,IF(A19='Données projet'!$A$166,'Données projet'!$B$166,DO18+DN19-DW18)))</f>
        <v>58.2222222222222</v>
      </c>
      <c r="DP19" s="17">
        <f>DO19*VLOOKUP('Données projet'!$B$14,Paramètres!$A$1:$I$89,3,0)*VLOOKUP('Données projet'!$B$14,Paramètres!$A$1:$I$89,5,0)</f>
        <v>59.037333333333322</v>
      </c>
      <c r="DQ19" s="13">
        <f t="shared" si="43"/>
        <v>16.924648030357364</v>
      </c>
      <c r="DR19" s="20">
        <f t="shared" si="16"/>
        <v>132.30045087509458</v>
      </c>
      <c r="DS19" s="59">
        <f t="shared" si="17"/>
        <v>425.63378420842787</v>
      </c>
      <c r="DT19" s="59">
        <f ca="1">AVERAGE(OFFSET($DS$3,0,0,'Données projet'!$E$14+1,1))-AVERAGE(OFFSET($H$3,0,0,'Données projet'!$E$14+1,1))</f>
        <v>313.90901812281373</v>
      </c>
      <c r="DU19" s="59">
        <f t="shared" si="44"/>
        <v>210.54265725995265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9.9262999999999995</v>
      </c>
      <c r="EJ19" s="12">
        <f>IF('Données projet'!$A$192&gt;35,EJ18+EI19-ER18,IF(A19&lt;'Données projet'!$A$192,$EG$205^A19,IF(A19='Données projet'!$A$192,'Données projet'!$B$192,EJ18+EI19-ER18)))</f>
        <v>94.505049999999997</v>
      </c>
      <c r="EK19" s="17">
        <f>EJ19*VLOOKUP('Données projet'!$B$15,Paramètres!$A$1:$I$89,3,0)*VLOOKUP('Données projet'!$B$15,Paramètres!$A$1:$I$89,5,0)</f>
        <v>75.188217780000002</v>
      </c>
      <c r="EL19" s="13">
        <f t="shared" si="45"/>
        <v>20.956464687583811</v>
      </c>
      <c r="EM19" s="20">
        <f t="shared" si="19"/>
        <v>167.45198863104181</v>
      </c>
      <c r="EN19" s="59">
        <f t="shared" si="20"/>
        <v>460.78532196437516</v>
      </c>
      <c r="EO19" s="59">
        <f ca="1">AVERAGE(OFFSET($EN$3,0,0,'Données projet'!$E$15+1,1))-AVERAGE(OFFSET($H$3,0,0,'Données projet'!$E$15+1,1))</f>
        <v>316.52407313312403</v>
      </c>
      <c r="EP19" s="59">
        <f t="shared" si="46"/>
        <v>340.55949748167382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7.9145000000000021</v>
      </c>
      <c r="FE19" s="12">
        <f>IF('Données projet'!$A$218&gt;35,FE18+FD19-FM18,IF(A19&lt;'Données projet'!$A$218,$FB$205^A19,IF(A19='Données projet'!$A$218,'Données projet'!$B$218,FE18+FD19-FM18)))</f>
        <v>75.501999999999995</v>
      </c>
      <c r="FF19" s="17">
        <f>FE19*VLOOKUP('Données projet'!$B$16,Paramètres!$A$1:$I$89,3,0)*VLOOKUP('Données projet'!$B$16,Paramètres!$A$1:$I$89,5,0)</f>
        <v>49.468910399999999</v>
      </c>
      <c r="FG19" s="13">
        <f t="shared" si="47"/>
        <v>14.47651833289134</v>
      </c>
      <c r="FH19" s="20">
        <f t="shared" si="22"/>
        <v>111.37162170978574</v>
      </c>
      <c r="FI19" s="59">
        <f t="shared" si="23"/>
        <v>404.70495504311907</v>
      </c>
      <c r="FJ19" s="59">
        <f ca="1">AVERAGE(OFFSET($FI$3,0,0,'Données projet'!$E$16+1,1))-AVERAGE(OFFSET($H$3,0,0,'Données projet'!$E$16+1,1))</f>
        <v>199.99826357281154</v>
      </c>
      <c r="FK19" s="59">
        <f t="shared" si="48"/>
        <v>214.67424457475136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118</v>
      </c>
      <c r="L20" s="12">
        <f>VLOOKUP(A20,'Données projet'!$A$35:$I$55,9,0)</f>
        <v>6.9411764705882355</v>
      </c>
      <c r="M20" s="12">
        <f t="array" ref="M20">INDEX(L:L,MIN(IF(ISNUMBER(L20:L216),ROW(L20:L216),"")))</f>
        <v>6.9411764705882355</v>
      </c>
      <c r="N20" s="13">
        <f>IF('Données projet'!$A$36&gt;35,N19+M20-V19,IF(A20&lt;'Données projet'!$A$36,$K$205^A20,IF(A20='Données projet'!$A$36,'Données projet'!$B$36,N19+M20-V19)))</f>
        <v>118</v>
      </c>
      <c r="O20" s="13">
        <f>N20*VLOOKUP('Données projet'!$B$9,Paramètres!$A$1:$I$89,3,0)*VLOOKUP('Données projet'!$B$9,Paramètres!$A$1:$I$89,5,0)</f>
        <v>70.564000000000007</v>
      </c>
      <c r="P20" s="13">
        <f t="shared" si="33"/>
        <v>19.813453167086163</v>
      </c>
      <c r="Q20" s="20">
        <f t="shared" si="2"/>
        <v>157.40739759934175</v>
      </c>
      <c r="R20" s="59">
        <f t="shared" si="0"/>
        <v>450.74073093267509</v>
      </c>
      <c r="S20" s="59">
        <f ca="1">AVERAGE(OFFSET($R$3,0,0,'Données projet'!$E$9+1,1))-AVERAGE(OFFSET($H$3,0,0,'Données projet'!$E$9+1,1))</f>
        <v>284.60021367910457</v>
      </c>
      <c r="T20" s="59">
        <f t="shared" si="34"/>
        <v>301.41905904220812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15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2.9868126506791217</v>
      </c>
      <c r="AB20" s="21">
        <f>EXP(-LN(2)/2)*AB19+(1-EXP(-LN(2)/2))/(LN(2)/2)*V20*Y20*VLOOKUP('Données projet'!$B$9,Paramètres!$A$1:$I$89,3,0)*0.475*44/12</f>
        <v>4.4686944318774549</v>
      </c>
      <c r="AC20" s="22">
        <f t="shared" si="3"/>
        <v>7.4555070825565766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349.8661782737675</v>
      </c>
      <c r="AN20" s="59">
        <f ca="1">AVERAGE(OFFSET($AM$3,0,0,'Données projet'!$E$10+1,1))-AVERAGE(OFFSET($H$3,0,0,'Données projet'!$E$10+1,1))</f>
        <v>294.45857786714919</v>
      </c>
      <c r="AO20" s="59">
        <f t="shared" si="36"/>
        <v>221.9773436301067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7.0434782608695654</v>
      </c>
      <c r="BD20" s="12">
        <f>IF('Données projet'!$A$88&gt;35,BD19+BC20-BL19,IF(A20&lt;'Données projet'!$A$88,$BA$205^A20,IF(A20='Données projet'!$A$88,'Données projet'!$B$88,BD19+BC20-BL19)))</f>
        <v>42.965492402926131</v>
      </c>
      <c r="BE20" s="13">
        <f>BD20*VLOOKUP('Données projet'!$B$11,Paramètres!$A$1:$I$89,3,0)*VLOOKUP('Données projet'!$B$11,Paramètres!$A$1:$I$89,5,0)</f>
        <v>24.017710253235709</v>
      </c>
      <c r="BF20" s="13">
        <f t="shared" si="37"/>
        <v>7.6452164876494173</v>
      </c>
      <c r="BG20" s="20">
        <f t="shared" si="7"/>
        <v>55.146264073708259</v>
      </c>
      <c r="BH20" s="59">
        <f t="shared" si="8"/>
        <v>348.47959740704158</v>
      </c>
      <c r="BI20" s="59">
        <f ca="1">AVERAGE(OFFSET($BH$3,0,0,'Données projet'!$E$11+1,1))-AVERAGE(OFFSET($H$3,0,0,'Données projet'!$E$11+1,1))</f>
        <v>304.91676868833792</v>
      </c>
      <c r="BJ20" s="59">
        <f t="shared" si="38"/>
        <v>365.95065044620048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259.87681411271632</v>
      </c>
      <c r="CE20" s="59">
        <f t="shared" si="40"/>
        <v>191.8684235641158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5.75</v>
      </c>
      <c r="CT20" s="12">
        <f>IF('Données projet'!$A$140&gt;35,CT19+CS20-DB19,IF(A20&lt;'Données projet'!$A$140,$CQ$205^A20,IF(A20='Données projet'!$A$140,'Données projet'!$B$140,CT19+CS20-DB19)))</f>
        <v>56.440800444763006</v>
      </c>
      <c r="CU20" s="17">
        <f>CT20*VLOOKUP('Données projet'!$B$13,Paramètres!$A$1:$I$89,3,0)*VLOOKUP('Données projet'!$B$13,Paramètres!$A$1:$I$89,5,0)</f>
        <v>26.414294608149088</v>
      </c>
      <c r="CV20" s="13">
        <f t="shared" si="41"/>
        <v>8.3155124979120405</v>
      </c>
      <c r="CW20" s="20">
        <f t="shared" si="13"/>
        <v>60.487747376389791</v>
      </c>
      <c r="CX20" s="59">
        <f t="shared" si="14"/>
        <v>353.82108070972311</v>
      </c>
      <c r="CY20" s="59">
        <f ca="1">AVERAGE(OFFSET($CX$3,0,0,'Données projet'!$E$13+1,1))-AVERAGE(OFFSET($H$3,0,0,'Données projet'!$E$13+1,1))</f>
        <v>137.59122085719031</v>
      </c>
      <c r="CZ20" s="59">
        <f t="shared" si="42"/>
        <v>130.1134470448718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3.6388888888888888</v>
      </c>
      <c r="DO20" s="12">
        <f>IF('Données projet'!$A$166&gt;35,DO19+DN20-DW19,IF(A20&lt;'Données projet'!$A$166,$DL$205^A20,IF(A20='Données projet'!$A$166,'Données projet'!$B$166,DO19+DN20-DW19)))</f>
        <v>61.861111111111086</v>
      </c>
      <c r="DP20" s="17">
        <f>DO20*VLOOKUP('Données projet'!$B$14,Paramètres!$A$1:$I$89,3,0)*VLOOKUP('Données projet'!$B$14,Paramètres!$A$1:$I$89,5,0)</f>
        <v>62.727166666666641</v>
      </c>
      <c r="DQ20" s="13">
        <f t="shared" si="43"/>
        <v>17.855988436051231</v>
      </c>
      <c r="DR20" s="20">
        <f t="shared" si="16"/>
        <v>140.3489951372336</v>
      </c>
      <c r="DS20" s="59">
        <f t="shared" si="17"/>
        <v>433.68232847056692</v>
      </c>
      <c r="DT20" s="59">
        <f ca="1">AVERAGE(OFFSET($DS$3,0,0,'Données projet'!$E$14+1,1))-AVERAGE(OFFSET($H$3,0,0,'Données projet'!$E$14+1,1))</f>
        <v>313.90901812281373</v>
      </c>
      <c r="DU20" s="59">
        <f t="shared" si="44"/>
        <v>210.54265725995265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9.9262999999999995</v>
      </c>
      <c r="EJ20" s="12">
        <f>IF('Données projet'!$A$192&gt;35,EJ19+EI20-ER19,IF(A20&lt;'Données projet'!$A$192,$EG$205^A20,IF(A20='Données projet'!$A$192,'Données projet'!$B$192,EJ19+EI20-ER19)))</f>
        <v>104.43134999999999</v>
      </c>
      <c r="EK20" s="17">
        <f>EJ20*VLOOKUP('Données projet'!$B$15,Paramètres!$A$1:$I$89,3,0)*VLOOKUP('Données projet'!$B$15,Paramètres!$A$1:$I$89,5,0)</f>
        <v>83.085582060000007</v>
      </c>
      <c r="EL20" s="13">
        <f t="shared" si="45"/>
        <v>22.889955267087561</v>
      </c>
      <c r="EM20" s="20">
        <f t="shared" si="19"/>
        <v>184.57406084467752</v>
      </c>
      <c r="EN20" s="59">
        <f t="shared" si="20"/>
        <v>477.9073941780108</v>
      </c>
      <c r="EO20" s="59">
        <f ca="1">AVERAGE(OFFSET($EN$3,0,0,'Données projet'!$E$15+1,1))-AVERAGE(OFFSET($H$3,0,0,'Données projet'!$E$15+1,1))</f>
        <v>316.52407313312403</v>
      </c>
      <c r="EP20" s="59">
        <f t="shared" si="46"/>
        <v>340.55949748167382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7.9145000000000021</v>
      </c>
      <c r="FE20" s="12">
        <f>IF('Données projet'!$A$218&gt;35,FE19+FD20-FM19,IF(A20&lt;'Données projet'!$A$218,$FB$205^A20,IF(A20='Données projet'!$A$218,'Données projet'!$B$218,FE19+FD20-FM19)))</f>
        <v>83.416499999999999</v>
      </c>
      <c r="FF20" s="17">
        <f>FE20*VLOOKUP('Données projet'!$B$16,Paramètres!$A$1:$I$89,3,0)*VLOOKUP('Données projet'!$B$16,Paramètres!$A$1:$I$89,5,0)</f>
        <v>54.654490799999998</v>
      </c>
      <c r="FG20" s="13">
        <f t="shared" si="47"/>
        <v>15.809504848597445</v>
      </c>
      <c r="FH20" s="20">
        <f t="shared" si="22"/>
        <v>122.72479242130721</v>
      </c>
      <c r="FI20" s="59">
        <f t="shared" si="23"/>
        <v>416.05812575464051</v>
      </c>
      <c r="FJ20" s="59">
        <f ca="1">AVERAGE(OFFSET($FI$3,0,0,'Données projet'!$E$16+1,1))-AVERAGE(OFFSET($H$3,0,0,'Données projet'!$E$16+1,1))</f>
        <v>199.99826357281154</v>
      </c>
      <c r="FK20" s="59">
        <f t="shared" si="48"/>
        <v>214.67424457475136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11.333333333333334</v>
      </c>
      <c r="N21" s="13">
        <f>IF('Données projet'!$A$36&gt;35,N20+M21-V20,IF(A21&lt;'Données projet'!$A$36,$K$205^A21,IF(A21='Données projet'!$A$36,'Données projet'!$B$36,N20+M21-V20)))</f>
        <v>114.33333333333334</v>
      </c>
      <c r="O21" s="13">
        <f>N21*VLOOKUP('Données projet'!$B$9,Paramètres!$A$1:$I$89,3,0)*VLOOKUP('Données projet'!$B$9,Paramètres!$A$1:$I$89,5,0)</f>
        <v>68.37133333333334</v>
      </c>
      <c r="P21" s="13">
        <f t="shared" si="33"/>
        <v>19.268449754335993</v>
      </c>
      <c r="Q21" s="20">
        <f t="shared" si="2"/>
        <v>152.63928887769075</v>
      </c>
      <c r="R21" s="59">
        <f t="shared" si="0"/>
        <v>445.97262221102403</v>
      </c>
      <c r="S21" s="59">
        <f ca="1">AVERAGE(OFFSET($R$3,0,0,'Données projet'!$E$9+1,1))-AVERAGE(OFFSET($H$3,0,0,'Données projet'!$E$9+1,1))</f>
        <v>284.60021367910457</v>
      </c>
      <c r="T21" s="59">
        <f t="shared" si="34"/>
        <v>301.41905904220812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2.9051381016766502</v>
      </c>
      <c r="AB21" s="21">
        <f>EXP(-LN(2)/2)*AB20+(1-EXP(-LN(2)/2))/(LN(2)/2)*V21*Y21*VLOOKUP('Données projet'!$B$9,Paramètres!$A$1:$I$89,3,0)*0.475*44/12</f>
        <v>3.1598441358311149</v>
      </c>
      <c r="AC21" s="22">
        <f t="shared" si="3"/>
        <v>6.0649822375077651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363.26248699382734</v>
      </c>
      <c r="AN21" s="59">
        <f ca="1">AVERAGE(OFFSET($AM$3,0,0,'Données projet'!$E$10+1,1))-AVERAGE(OFFSET($H$3,0,0,'Données projet'!$E$10+1,1))</f>
        <v>294.45857786714919</v>
      </c>
      <c r="AO21" s="59">
        <f t="shared" si="36"/>
        <v>221.9773436301067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7.0434782608695654</v>
      </c>
      <c r="BD21" s="12">
        <f>IF('Données projet'!$A$88&gt;35,BD20+BC21-BL20,IF(A21&lt;'Données projet'!$A$88,$BA$205^A21,IF(A21='Données projet'!$A$88,'Données projet'!$B$88,BD20+BC21-BL20)))</f>
        <v>53.602576283963728</v>
      </c>
      <c r="BE21" s="13">
        <f>BD21*VLOOKUP('Données projet'!$B$11,Paramètres!$A$1:$I$89,3,0)*VLOOKUP('Données projet'!$B$11,Paramètres!$A$1:$I$89,5,0)</f>
        <v>29.963840142735723</v>
      </c>
      <c r="BF21" s="13">
        <f t="shared" si="37"/>
        <v>9.2955178812916941</v>
      </c>
      <c r="BG21" s="20">
        <f t="shared" si="7"/>
        <v>68.376715225181087</v>
      </c>
      <c r="BH21" s="59">
        <f t="shared" si="8"/>
        <v>361.71004855851442</v>
      </c>
      <c r="BI21" s="59">
        <f ca="1">AVERAGE(OFFSET($BH$3,0,0,'Données projet'!$E$11+1,1))-AVERAGE(OFFSET($H$3,0,0,'Données projet'!$E$11+1,1))</f>
        <v>304.91676868833792</v>
      </c>
      <c r="BJ21" s="59">
        <f t="shared" si="38"/>
        <v>365.95065044620048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259.87681411271632</v>
      </c>
      <c r="CE21" s="59">
        <f t="shared" si="40"/>
        <v>191.8684235641158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5.75</v>
      </c>
      <c r="CT21" s="12">
        <f>IF('Données projet'!$A$140&gt;35,CT20+CS21-DB20,IF(A21&lt;'Données projet'!$A$140,$CQ$205^A21,IF(A21='Données projet'!$A$140,'Données projet'!$B$140,CT20+CS21-DB20)))</f>
        <v>71.55303446582019</v>
      </c>
      <c r="CU21" s="17">
        <f>CT21*VLOOKUP('Données projet'!$B$13,Paramètres!$A$1:$I$89,3,0)*VLOOKUP('Données projet'!$B$13,Paramètres!$A$1:$I$89,5,0)</f>
        <v>33.486820130003849</v>
      </c>
      <c r="CV21" s="13">
        <f t="shared" si="41"/>
        <v>10.254881616957807</v>
      </c>
      <c r="CW21" s="20">
        <f t="shared" si="13"/>
        <v>76.183463875958196</v>
      </c>
      <c r="CX21" s="59">
        <f t="shared" si="14"/>
        <v>369.5167972092915</v>
      </c>
      <c r="CY21" s="59">
        <f ca="1">AVERAGE(OFFSET($CX$3,0,0,'Données projet'!$E$13+1,1))-AVERAGE(OFFSET($H$3,0,0,'Données projet'!$E$13+1,1))</f>
        <v>137.59122085719031</v>
      </c>
      <c r="CZ21" s="59">
        <f t="shared" si="42"/>
        <v>130.1134470448718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3.6388888888888888</v>
      </c>
      <c r="DO21" s="12">
        <f>IF('Données projet'!$A$166&gt;35,DO20+DN21-DW20,IF(A21&lt;'Données projet'!$A$166,$DL$205^A21,IF(A21='Données projet'!$A$166,'Données projet'!$B$166,DO20+DN21-DW20)))</f>
        <v>65.499999999999972</v>
      </c>
      <c r="DP21" s="17">
        <f>DO21*VLOOKUP('Données projet'!$B$14,Paramètres!$A$1:$I$89,3,0)*VLOOKUP('Données projet'!$B$14,Paramètres!$A$1:$I$89,5,0)</f>
        <v>66.416999999999973</v>
      </c>
      <c r="DQ21" s="13">
        <f t="shared" si="43"/>
        <v>18.78096981043613</v>
      </c>
      <c r="DR21" s="20">
        <f t="shared" si="16"/>
        <v>148.38646408650956</v>
      </c>
      <c r="DS21" s="59">
        <f t="shared" si="17"/>
        <v>441.71979741984285</v>
      </c>
      <c r="DT21" s="59">
        <f ca="1">AVERAGE(OFFSET($DS$3,0,0,'Données projet'!$E$14+1,1))-AVERAGE(OFFSET($H$3,0,0,'Données projet'!$E$14+1,1))</f>
        <v>313.90901812281373</v>
      </c>
      <c r="DU21" s="59">
        <f t="shared" si="44"/>
        <v>210.54265725995265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9.9262999999999995</v>
      </c>
      <c r="EJ21" s="12">
        <f>IF('Données projet'!$A$192&gt;35,EJ20+EI21-ER20,IF(A21&lt;'Données projet'!$A$192,$EG$205^A21,IF(A21='Données projet'!$A$192,'Données projet'!$B$192,EJ20+EI21-ER20)))</f>
        <v>114.35764999999999</v>
      </c>
      <c r="EK21" s="17">
        <f>EJ21*VLOOKUP('Données projet'!$B$15,Paramètres!$A$1:$I$89,3,0)*VLOOKUP('Données projet'!$B$15,Paramètres!$A$1:$I$89,5,0)</f>
        <v>90.982946339999998</v>
      </c>
      <c r="EL21" s="13">
        <f t="shared" si="45"/>
        <v>24.802137904346147</v>
      </c>
      <c r="EM21" s="20">
        <f t="shared" si="19"/>
        <v>201.65902172556949</v>
      </c>
      <c r="EN21" s="59">
        <f t="shared" si="20"/>
        <v>494.99235505890283</v>
      </c>
      <c r="EO21" s="59">
        <f ca="1">AVERAGE(OFFSET($EN$3,0,0,'Données projet'!$E$15+1,1))-AVERAGE(OFFSET($H$3,0,0,'Données projet'!$E$15+1,1))</f>
        <v>316.52407313312403</v>
      </c>
      <c r="EP21" s="59">
        <f t="shared" si="46"/>
        <v>340.55949748167382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7.9145000000000021</v>
      </c>
      <c r="FE21" s="12">
        <f>IF('Données projet'!$A$218&gt;35,FE20+FD21-FM20,IF(A21&lt;'Données projet'!$A$218,$FB$205^A21,IF(A21='Données projet'!$A$218,'Données projet'!$B$218,FE20+FD21-FM20)))</f>
        <v>91.331000000000003</v>
      </c>
      <c r="FF21" s="17">
        <f>FE21*VLOOKUP('Données projet'!$B$16,Paramètres!$A$1:$I$89,3,0)*VLOOKUP('Données projet'!$B$16,Paramètres!$A$1:$I$89,5,0)</f>
        <v>59.840071200000004</v>
      </c>
      <c r="FG21" s="13">
        <f t="shared" si="47"/>
        <v>17.127827715139652</v>
      </c>
      <c r="FH21" s="20">
        <f t="shared" si="22"/>
        <v>134.05242394386823</v>
      </c>
      <c r="FI21" s="59">
        <f t="shared" si="23"/>
        <v>427.38575727720155</v>
      </c>
      <c r="FJ21" s="59">
        <f ca="1">AVERAGE(OFFSET($FI$3,0,0,'Données projet'!$E$16+1,1))-AVERAGE(OFFSET($H$3,0,0,'Données projet'!$E$16+1,1))</f>
        <v>199.99826357281154</v>
      </c>
      <c r="FK21" s="59">
        <f t="shared" si="48"/>
        <v>214.67424457475136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11.333333333333334</v>
      </c>
      <c r="N22" s="13">
        <f>IF('Données projet'!$A$36&gt;35,N21+M22-V21,IF(A22&lt;'Données projet'!$A$36,$K$205^A22,IF(A22='Données projet'!$A$36,'Données projet'!$B$36,N21+M22-V21)))</f>
        <v>125.66666666666667</v>
      </c>
      <c r="O22" s="13">
        <f>N22*VLOOKUP('Données projet'!$B$9,Paramètres!$A$1:$I$89,3,0)*VLOOKUP('Données projet'!$B$9,Paramètres!$A$1:$I$89,5,0)</f>
        <v>75.148666666666671</v>
      </c>
      <c r="P22" s="13">
        <f t="shared" si="33"/>
        <v>20.946723857947624</v>
      </c>
      <c r="Q22" s="20">
        <f t="shared" si="2"/>
        <v>167.36613849703656</v>
      </c>
      <c r="R22" s="59">
        <f t="shared" si="0"/>
        <v>460.69947183036987</v>
      </c>
      <c r="S22" s="59">
        <f ca="1">AVERAGE(OFFSET($R$3,0,0,'Données projet'!$E$9+1,1))-AVERAGE(OFFSET($H$3,0,0,'Données projet'!$E$9+1,1))</f>
        <v>284.60021367910457</v>
      </c>
      <c r="T22" s="59">
        <f t="shared" si="34"/>
        <v>301.41905904220812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2.8256969475117293</v>
      </c>
      <c r="AB22" s="21">
        <f>EXP(-LN(2)/2)*AB21+(1-EXP(-LN(2)/2))/(LN(2)/2)*V22*Y22*VLOOKUP('Données projet'!$B$9,Paramètres!$A$1:$I$89,3,0)*0.475*44/12</f>
        <v>2.2343472159387279</v>
      </c>
      <c r="AC22" s="22">
        <f t="shared" si="3"/>
        <v>5.0600441634504572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379.84337213080869</v>
      </c>
      <c r="AN22" s="59">
        <f ca="1">AVERAGE(OFFSET($AM$3,0,0,'Données projet'!$E$10+1,1))-AVERAGE(OFFSET($H$3,0,0,'Données projet'!$E$10+1,1))</f>
        <v>294.45857786714919</v>
      </c>
      <c r="AO22" s="59">
        <f t="shared" si="36"/>
        <v>221.9773436301067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7.0434782608695654</v>
      </c>
      <c r="BD22" s="12">
        <f>IF('Données projet'!$A$88&gt;35,BD21+BC22-BL21,IF(A22&lt;'Données projet'!$A$88,$BA$205^A22,IF(A22='Données projet'!$A$88,'Données projet'!$B$88,BD21+BC22-BL21)))</f>
        <v>66.87311196932707</v>
      </c>
      <c r="BE22" s="13">
        <f>BD22*VLOOKUP('Données projet'!$B$11,Paramètres!$A$1:$I$89,3,0)*VLOOKUP('Données projet'!$B$11,Paramètres!$A$1:$I$89,5,0)</f>
        <v>37.382069590853831</v>
      </c>
      <c r="BF22" s="13">
        <f t="shared" si="37"/>
        <v>11.302054404999595</v>
      </c>
      <c r="BG22" s="20">
        <f t="shared" si="7"/>
        <v>84.791515959444709</v>
      </c>
      <c r="BH22" s="59">
        <f t="shared" si="8"/>
        <v>378.12484929277804</v>
      </c>
      <c r="BI22" s="59">
        <f ca="1">AVERAGE(OFFSET($BH$3,0,0,'Données projet'!$E$11+1,1))-AVERAGE(OFFSET($H$3,0,0,'Données projet'!$E$11+1,1))</f>
        <v>304.91676868833792</v>
      </c>
      <c r="BJ22" s="59">
        <f t="shared" si="38"/>
        <v>365.95065044620048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259.87681411271632</v>
      </c>
      <c r="CE22" s="59">
        <f t="shared" si="40"/>
        <v>191.8684235641158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5.75</v>
      </c>
      <c r="CT22" s="12">
        <f>IF('Données projet'!$A$140&gt;35,CT21+CS22-DB21,IF(A22&lt;'Données projet'!$A$140,$CQ$205^A22,IF(A22='Données projet'!$A$140,'Données projet'!$B$140,CT21+CS22-DB21)))</f>
        <v>90.711625294497551</v>
      </c>
      <c r="CU22" s="17">
        <f>CT22*VLOOKUP('Données projet'!$B$13,Paramètres!$A$1:$I$89,3,0)*VLOOKUP('Données projet'!$B$13,Paramètres!$A$1:$I$89,5,0)</f>
        <v>42.453040637824856</v>
      </c>
      <c r="CV22" s="13">
        <f t="shared" si="41"/>
        <v>12.646556301156998</v>
      </c>
      <c r="CW22" s="20">
        <f t="shared" si="13"/>
        <v>95.96513133539338</v>
      </c>
      <c r="CX22" s="59">
        <f t="shared" si="14"/>
        <v>389.29846466872669</v>
      </c>
      <c r="CY22" s="59">
        <f ca="1">AVERAGE(OFFSET($CX$3,0,0,'Données projet'!$E$13+1,1))-AVERAGE(OFFSET($H$3,0,0,'Données projet'!$E$13+1,1))</f>
        <v>137.59122085719031</v>
      </c>
      <c r="CZ22" s="59">
        <f t="shared" si="42"/>
        <v>130.1134470448718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3.6388888888888888</v>
      </c>
      <c r="DO22" s="12">
        <f>IF('Données projet'!$A$166&gt;35,DO21+DN22-DW21,IF(A22&lt;'Données projet'!$A$166,$DL$205^A22,IF(A22='Données projet'!$A$166,'Données projet'!$B$166,DO21+DN22-DW21)))</f>
        <v>69.138888888888857</v>
      </c>
      <c r="DP22" s="17">
        <f>DO22*VLOOKUP('Données projet'!$B$14,Paramètres!$A$1:$I$89,3,0)*VLOOKUP('Données projet'!$B$14,Paramètres!$A$1:$I$89,5,0)</f>
        <v>70.106833333333313</v>
      </c>
      <c r="DQ22" s="13">
        <f t="shared" si="43"/>
        <v>19.699985698111778</v>
      </c>
      <c r="DR22" s="20">
        <f t="shared" si="16"/>
        <v>156.41354314643351</v>
      </c>
      <c r="DS22" s="59">
        <f t="shared" si="17"/>
        <v>449.7468764797668</v>
      </c>
      <c r="DT22" s="59">
        <f ca="1">AVERAGE(OFFSET($DS$3,0,0,'Données projet'!$E$14+1,1))-AVERAGE(OFFSET($H$3,0,0,'Données projet'!$E$14+1,1))</f>
        <v>313.90901812281373</v>
      </c>
      <c r="DU22" s="59">
        <f t="shared" si="44"/>
        <v>210.54265725995265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9.9262999999999995</v>
      </c>
      <c r="EJ22" s="12">
        <f>IF('Données projet'!$A$192&gt;35,EJ21+EI22-ER21,IF(A22&lt;'Données projet'!$A$192,$EG$205^A22,IF(A22='Données projet'!$A$192,'Données projet'!$B$192,EJ21+EI22-ER21)))</f>
        <v>124.28394999999999</v>
      </c>
      <c r="EK22" s="17">
        <f>EJ22*VLOOKUP('Données projet'!$B$15,Paramètres!$A$1:$I$89,3,0)*VLOOKUP('Données projet'!$B$15,Paramètres!$A$1:$I$89,5,0)</f>
        <v>98.880310620000003</v>
      </c>
      <c r="EL22" s="13">
        <f t="shared" si="45"/>
        <v>26.695072434619753</v>
      </c>
      <c r="EM22" s="20">
        <f t="shared" si="19"/>
        <v>218.71045882012939</v>
      </c>
      <c r="EN22" s="59">
        <f t="shared" si="20"/>
        <v>512.04379215346273</v>
      </c>
      <c r="EO22" s="59">
        <f ca="1">AVERAGE(OFFSET($EN$3,0,0,'Données projet'!$E$15+1,1))-AVERAGE(OFFSET($H$3,0,0,'Données projet'!$E$15+1,1))</f>
        <v>316.52407313312403</v>
      </c>
      <c r="EP22" s="59">
        <f t="shared" si="46"/>
        <v>340.55949748167382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7.9145000000000021</v>
      </c>
      <c r="FE22" s="12">
        <f>IF('Données projet'!$A$218&gt;35,FE21+FD22-FM21,IF(A22&lt;'Données projet'!$A$218,$FB$205^A22,IF(A22='Données projet'!$A$218,'Données projet'!$B$218,FE21+FD22-FM21)))</f>
        <v>99.245500000000007</v>
      </c>
      <c r="FF22" s="17">
        <f>FE22*VLOOKUP('Données projet'!$B$16,Paramètres!$A$1:$I$89,3,0)*VLOOKUP('Données projet'!$B$16,Paramètres!$A$1:$I$89,5,0)</f>
        <v>65.025651600000003</v>
      </c>
      <c r="FG22" s="13">
        <f t="shared" si="47"/>
        <v>18.432902126220412</v>
      </c>
      <c r="FH22" s="20">
        <f t="shared" si="22"/>
        <v>145.35698107316722</v>
      </c>
      <c r="FI22" s="59">
        <f t="shared" si="23"/>
        <v>438.69031440650053</v>
      </c>
      <c r="FJ22" s="59">
        <f ca="1">AVERAGE(OFFSET($FI$3,0,0,'Données projet'!$E$16+1,1))-AVERAGE(OFFSET($H$3,0,0,'Données projet'!$E$16+1,1))</f>
        <v>199.99826357281154</v>
      </c>
      <c r="FK22" s="59">
        <f t="shared" si="48"/>
        <v>214.67424457475136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137</v>
      </c>
      <c r="L23" s="12">
        <f>VLOOKUP(A23,'Données projet'!$A$35:$I$55,9,0)</f>
        <v>11.333333333333334</v>
      </c>
      <c r="M23" s="12">
        <f t="array" ref="M23">INDEX(L:L,MIN(IF(ISNUMBER(L23:L219),ROW(L23:L219),"")))</f>
        <v>11.333333333333334</v>
      </c>
      <c r="N23" s="13">
        <f>IF('Données projet'!$A$36&gt;35,N22+M23-V22,IF(A23&lt;'Données projet'!$A$36,$K$205^A23,IF(A23='Données projet'!$A$36,'Données projet'!$B$36,N22+M23-V22)))</f>
        <v>137</v>
      </c>
      <c r="O23" s="13">
        <f>N23*VLOOKUP('Données projet'!$B$9,Paramètres!$A$1:$I$89,3,0)*VLOOKUP('Données projet'!$B$9,Paramètres!$A$1:$I$89,5,0)</f>
        <v>81.926000000000002</v>
      </c>
      <c r="P23" s="13">
        <f t="shared" si="33"/>
        <v>22.607447146245146</v>
      </c>
      <c r="Q23" s="20">
        <f t="shared" si="2"/>
        <v>182.06242044637693</v>
      </c>
      <c r="R23" s="59">
        <f t="shared" si="0"/>
        <v>475.39575377971028</v>
      </c>
      <c r="S23" s="59">
        <f ca="1">AVERAGE(OFFSET($R$3,0,0,'Données projet'!$E$9+1,1))-AVERAGE(OFFSET($H$3,0,0,'Données projet'!$E$9+1,1))</f>
        <v>284.60021367910457</v>
      </c>
      <c r="T23" s="59">
        <f t="shared" si="34"/>
        <v>301.41905904220812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15</v>
      </c>
      <c r="W23" s="16">
        <f>IF(ISNA(VLOOKUP(A23,'Données projet'!$A$35:$I$55,5,0)),0%,VLOOKUP(A23,'Données projet'!$A$35:$I$55,5,0)*VLOOKUP('Données projet'!$B$9,Paramètres!$A$1:$I$89,7,0))</f>
        <v>0.315</v>
      </c>
      <c r="X23" s="16">
        <f>IF(ISNA(VLOOKUP(A23,'Données projet'!$A$35:$I$55,6,0)),0%,VLOOKUP(A23,'Données projet'!$A$35:$I$55,6,0)*VLOOKUP('Données projet'!$B$9,Paramètres!$A$1:$I$89,7,0))</f>
        <v>7.5600000000000001E-2</v>
      </c>
      <c r="Y23" s="16">
        <f>IF(ISNA(VLOOKUP(A23,'Données projet'!$A$35:$I$55,7,0)),0%,VLOOKUP(A23,'Données projet'!$A$35:$I$55,7,0))</f>
        <v>0.13200000000000001</v>
      </c>
      <c r="Z23" s="21">
        <f>EXP(-LN(2)/35)*Z22+(1-EXP(-LN(2)/35))/(LN(2)/35)*V23*W23*VLOOKUP('Données projet'!$B$9,Paramètres!$A$1:$I$89,3,0)*0.475*44/12</f>
        <v>3.7482741970671931</v>
      </c>
      <c r="AA23" s="21">
        <f>EXP(-LN(2)/25)*AA22+(1-EXP(-LN(2)/25))/(LN(2)/25)*Calculateur!V23*Calculateur!X23*VLOOKUP('Données projet'!$B$9,Paramètres!$A$1:$I$89,3,0)*0.475*44/12</f>
        <v>3.6444719110888131</v>
      </c>
      <c r="AB23" s="21">
        <f>EXP(-LN(2)/2)*AB22+(1-EXP(-LN(2)/2))/(LN(2)/2)*V23*Y23*VLOOKUP('Données projet'!$B$9,Paramètres!$A$1:$I$89,3,0)*0.475*44/12</f>
        <v>2.9205303974787946</v>
      </c>
      <c r="AC23" s="22">
        <f t="shared" si="3"/>
        <v>10.3132765056348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400.36809883857921</v>
      </c>
      <c r="AN23" s="59">
        <f ca="1">AVERAGE(OFFSET($AM$3,0,0,'Données projet'!$E$10+1,1))-AVERAGE(OFFSET($H$3,0,0,'Données projet'!$E$10+1,1))</f>
        <v>294.45857786714919</v>
      </c>
      <c r="AO23" s="59">
        <f t="shared" si="36"/>
        <v>221.9773436301067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7.0434782608695654</v>
      </c>
      <c r="BD23" s="12">
        <f>IF('Données projet'!$A$88&gt;35,BD22+BC23-BL22,IF(A23&lt;'Données projet'!$A$88,$BA$205^A23,IF(A23='Données projet'!$A$88,'Données projet'!$B$88,BD22+BC23-BL22)))</f>
        <v>83.429070288922773</v>
      </c>
      <c r="BE23" s="13">
        <f>BD23*VLOOKUP('Données projet'!$B$11,Paramètres!$A$1:$I$89,3,0)*VLOOKUP('Données projet'!$B$11,Paramètres!$A$1:$I$89,5,0)</f>
        <v>46.636850291507827</v>
      </c>
      <c r="BF23" s="13">
        <f t="shared" si="37"/>
        <v>13.741723205186346</v>
      </c>
      <c r="BG23" s="20">
        <f t="shared" si="7"/>
        <v>105.15934884007568</v>
      </c>
      <c r="BH23" s="59">
        <f t="shared" si="8"/>
        <v>398.49268217340898</v>
      </c>
      <c r="BI23" s="59">
        <f ca="1">AVERAGE(OFFSET($BH$3,0,0,'Données projet'!$E$11+1,1))-AVERAGE(OFFSET($H$3,0,0,'Données projet'!$E$11+1,1))</f>
        <v>304.91676868833792</v>
      </c>
      <c r="BJ23" s="59">
        <f t="shared" si="38"/>
        <v>365.95065044620048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259.87681411271632</v>
      </c>
      <c r="CE23" s="59">
        <f t="shared" si="40"/>
        <v>191.8684235641158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0.30800000000000005</v>
      </c>
      <c r="CJ23" s="16">
        <f>IF(ISNA(VLOOKUP(A23,'Données projet'!$A$113:$I$133,7,0)),0%,VLOOKUP(A23,'Données projet'!$A$113:$I$133,7,0))</f>
        <v>0.44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6.0948292929800045</v>
      </c>
      <c r="CM23" s="21">
        <f>EXP(-LN(2)/2)*CM22+(1-EXP(-LN(2)/2))/(LN(2)/2)*CG23*CJ23*VLOOKUP('Données projet'!$B$12,Paramètres!$A$1:$I$89,3,0)*0.475*44/12</f>
        <v>7.4607767906127949</v>
      </c>
      <c r="CN23" s="22">
        <f t="shared" si="12"/>
        <v>13.555606083592799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115</v>
      </c>
      <c r="CR23" s="12">
        <f>VLOOKUP(A23,'Données projet'!$A$139:$I$159,9,0)</f>
        <v>5.75</v>
      </c>
      <c r="CS23" s="12">
        <f t="array" ref="CS23">INDEX(CR:CR,MIN(IF(ISNUMBER(CR23:CR219),ROW(CR23:CR219),"")))</f>
        <v>5.75</v>
      </c>
      <c r="CT23" s="12">
        <f>IF('Données projet'!$A$140&gt;35,CT22+CS23-DB22,IF(A23&lt;'Données projet'!$A$140,$CQ$205^A23,IF(A23='Données projet'!$A$140,'Données projet'!$B$140,CT22+CS23-DB22)))</f>
        <v>115</v>
      </c>
      <c r="CU23" s="17">
        <f>CT23*VLOOKUP('Données projet'!$B$13,Paramètres!$A$1:$I$89,3,0)*VLOOKUP('Données projet'!$B$13,Paramètres!$A$1:$I$89,5,0)</f>
        <v>53.82</v>
      </c>
      <c r="CV23" s="13">
        <f t="shared" si="41"/>
        <v>15.596024630246266</v>
      </c>
      <c r="CW23" s="20">
        <f t="shared" si="13"/>
        <v>120.89957623101225</v>
      </c>
      <c r="CX23" s="59">
        <f t="shared" si="14"/>
        <v>414.23290956434556</v>
      </c>
      <c r="CY23" s="59">
        <f ca="1">AVERAGE(OFFSET($CX$3,0,0,'Données projet'!$E$13+1,1))-AVERAGE(OFFSET($H$3,0,0,'Données projet'!$E$13+1,1))</f>
        <v>137.59122085719031</v>
      </c>
      <c r="CZ23" s="59">
        <f t="shared" si="42"/>
        <v>130.1134470448718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0.30800000000000005</v>
      </c>
      <c r="DE23" s="16">
        <f>IF(ISNA(VLOOKUP(A23,'Données projet'!$A$139:$I$159,7,0)),0%,VLOOKUP(A23,'Données projet'!$A$139:$I$159,7,0))</f>
        <v>0.44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4.3806585543293775</v>
      </c>
      <c r="DH23" s="21">
        <f>EXP(-LN(2)/2)*DH22+(1-EXP(-LN(2)/2))/(LN(2)/2)*DB23*DE23*VLOOKUP('Données projet'!$B$13,Paramètres!$A$1:$I$89,3,0)*0.475*44/12</f>
        <v>5.362433318252946</v>
      </c>
      <c r="DI23" s="22">
        <f t="shared" si="15"/>
        <v>9.7430918725823226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3.6388888888888888</v>
      </c>
      <c r="DO23" s="12">
        <f>IF('Données projet'!$A$166&gt;35,DO22+DN23-DW22,IF(A23&lt;'Données projet'!$A$166,$DL$205^A23,IF(A23='Données projet'!$A$166,'Données projet'!$B$166,DO22+DN23-DW22)))</f>
        <v>72.777777777777743</v>
      </c>
      <c r="DP23" s="17">
        <f>DO23*VLOOKUP('Données projet'!$B$14,Paramètres!$A$1:$I$89,3,0)*VLOOKUP('Données projet'!$B$14,Paramètres!$A$1:$I$89,5,0)</f>
        <v>73.796666666666638</v>
      </c>
      <c r="DQ23" s="13">
        <f t="shared" si="43"/>
        <v>20.613385878215244</v>
      </c>
      <c r="DR23" s="20">
        <f t="shared" si="16"/>
        <v>164.43084151566924</v>
      </c>
      <c r="DS23" s="59">
        <f t="shared" si="17"/>
        <v>457.76417484900253</v>
      </c>
      <c r="DT23" s="59">
        <f ca="1">AVERAGE(OFFSET($DS$3,0,0,'Données projet'!$E$14+1,1))-AVERAGE(OFFSET($H$3,0,0,'Données projet'!$E$14+1,1))</f>
        <v>313.90901812281373</v>
      </c>
      <c r="DU23" s="59">
        <f t="shared" si="44"/>
        <v>210.54265725995265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9.9262999999999995</v>
      </c>
      <c r="EJ23" s="12">
        <f>IF('Données projet'!$A$192&gt;35,EJ22+EI23-ER22,IF(A23&lt;'Données projet'!$A$192,$EG$205^A23,IF(A23='Données projet'!$A$192,'Données projet'!$B$192,EJ22+EI23-ER22)))</f>
        <v>134.21025</v>
      </c>
      <c r="EK23" s="17">
        <f>EJ23*VLOOKUP('Données projet'!$B$15,Paramètres!$A$1:$I$89,3,0)*VLOOKUP('Données projet'!$B$15,Paramètres!$A$1:$I$89,5,0)</f>
        <v>106.77767489999999</v>
      </c>
      <c r="EL23" s="13">
        <f t="shared" si="45"/>
        <v>28.570470942098542</v>
      </c>
      <c r="EM23" s="20">
        <f t="shared" si="19"/>
        <v>235.73135400832163</v>
      </c>
      <c r="EN23" s="59">
        <f t="shared" si="20"/>
        <v>529.06468734165492</v>
      </c>
      <c r="EO23" s="59">
        <f ca="1">AVERAGE(OFFSET($EN$3,0,0,'Données projet'!$E$15+1,1))-AVERAGE(OFFSET($H$3,0,0,'Données projet'!$E$15+1,1))</f>
        <v>316.52407313312403</v>
      </c>
      <c r="EP23" s="59">
        <f t="shared" si="46"/>
        <v>340.55949748167382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7.9145000000000021</v>
      </c>
      <c r="FE23" s="12">
        <f>IF('Données projet'!$A$218&gt;35,FE22+FD23-FM22,IF(A23&lt;'Données projet'!$A$218,$FB$205^A23,IF(A23='Données projet'!$A$218,'Données projet'!$B$218,FE22+FD23-FM22)))</f>
        <v>107.16000000000001</v>
      </c>
      <c r="FF23" s="17">
        <f>FE23*VLOOKUP('Données projet'!$B$16,Paramètres!$A$1:$I$89,3,0)*VLOOKUP('Données projet'!$B$16,Paramètres!$A$1:$I$89,5,0)</f>
        <v>70.21123200000001</v>
      </c>
      <c r="FG23" s="13">
        <f t="shared" si="47"/>
        <v>19.72590471944833</v>
      </c>
      <c r="FH23" s="20">
        <f t="shared" si="22"/>
        <v>156.64051311970584</v>
      </c>
      <c r="FI23" s="59">
        <f t="shared" si="23"/>
        <v>449.97384645303919</v>
      </c>
      <c r="FJ23" s="59">
        <f ca="1">AVERAGE(OFFSET($FI$3,0,0,'Données projet'!$E$16+1,1))-AVERAGE(OFFSET($H$3,0,0,'Données projet'!$E$16+1,1))</f>
        <v>199.99826357281154</v>
      </c>
      <c r="FK23" s="59">
        <f t="shared" si="48"/>
        <v>214.67424457475136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16.399999999999999</v>
      </c>
      <c r="N24" s="13">
        <f>IF('Données projet'!$A$36&gt;35,N23+M24-V23,IF(A24&lt;'Données projet'!$A$36,$K$205^A24,IF(A24='Données projet'!$A$36,'Données projet'!$B$36,N23+M24-V23)))</f>
        <v>138.4</v>
      </c>
      <c r="O24" s="13">
        <f>N24*VLOOKUP('Données projet'!$B$9,Paramètres!$A$1:$I$89,3,0)*VLOOKUP('Données projet'!$B$9,Paramètres!$A$1:$I$89,5,0)</f>
        <v>82.763200000000012</v>
      </c>
      <c r="P24" s="13">
        <f t="shared" si="33"/>
        <v>22.811459894537176</v>
      </c>
      <c r="Q24" s="20">
        <f t="shared" si="2"/>
        <v>183.8758659829856</v>
      </c>
      <c r="R24" s="59">
        <f t="shared" si="0"/>
        <v>477.20919931631892</v>
      </c>
      <c r="S24" s="59">
        <f ca="1">AVERAGE(OFFSET($R$3,0,0,'Données projet'!$E$9+1,1))-AVERAGE(OFFSET($H$3,0,0,'Données projet'!$E$9+1,1))</f>
        <v>284.60021367910457</v>
      </c>
      <c r="T24" s="59">
        <f t="shared" si="34"/>
        <v>301.41905904220812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3.6747728262842201</v>
      </c>
      <c r="AA24" s="21">
        <f>EXP(-LN(2)/25)*AA23+(1-EXP(-LN(2)/25))/(LN(2)/25)*Calculateur!V24*Calculateur!X24*VLOOKUP('Données projet'!$B$9,Paramètres!$A$1:$I$89,3,0)*0.475*44/12</f>
        <v>3.5448136350256414</v>
      </c>
      <c r="AB24" s="21">
        <f>EXP(-LN(2)/2)*AB23+(1-EXP(-LN(2)/2))/(LN(2)/2)*V24*Y24*VLOOKUP('Données projet'!$B$9,Paramètres!$A$1:$I$89,3,0)*0.475*44/12</f>
        <v>2.0651268487186987</v>
      </c>
      <c r="AC24" s="22">
        <f t="shared" si="3"/>
        <v>9.2847133100285593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425.77744411092726</v>
      </c>
      <c r="AN24" s="59">
        <f ca="1">AVERAGE(OFFSET($AM$3,0,0,'Données projet'!$E$10+1,1))-AVERAGE(OFFSET($H$3,0,0,'Données projet'!$E$10+1,1))</f>
        <v>294.45857786714919</v>
      </c>
      <c r="AO24" s="59">
        <f t="shared" si="36"/>
        <v>221.9773436301067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7.0434782608695654</v>
      </c>
      <c r="BD24" s="12">
        <f>IF('Données projet'!$A$88&gt;35,BD23+BC24-BL23,IF(A24&lt;'Données projet'!$A$88,$BA$205^A24,IF(A24='Données projet'!$A$88,'Données projet'!$B$88,BD23+BC24-BL23)))</f>
        <v>104.08383226529931</v>
      </c>
      <c r="BE24" s="13">
        <f>BD24*VLOOKUP('Données projet'!$B$11,Paramètres!$A$1:$I$89,3,0)*VLOOKUP('Données projet'!$B$11,Paramètres!$A$1:$I$89,5,0)</f>
        <v>58.182862236302313</v>
      </c>
      <c r="BF24" s="13">
        <f t="shared" si="37"/>
        <v>16.708020496204991</v>
      </c>
      <c r="BG24" s="20">
        <f t="shared" si="7"/>
        <v>130.43495409245023</v>
      </c>
      <c r="BH24" s="59">
        <f t="shared" si="8"/>
        <v>423.76828742578357</v>
      </c>
      <c r="BI24" s="59">
        <f ca="1">AVERAGE(OFFSET($BH$3,0,0,'Données projet'!$E$11+1,1))-AVERAGE(OFFSET($H$3,0,0,'Données projet'!$E$11+1,1))</f>
        <v>304.91676868833792</v>
      </c>
      <c r="BJ24" s="59">
        <f t="shared" si="38"/>
        <v>365.95065044620048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135.19999999999999</v>
      </c>
      <c r="BZ24" s="13">
        <f>BY24*VLOOKUP('Données projet'!$B$12,Paramètres!$A$1:$I$89,3,0)*VLOOKUP('Données projet'!$B$12,Paramètres!$A$1:$I$89,5,0)</f>
        <v>63.273600000000002</v>
      </c>
      <c r="CA24" s="13">
        <f t="shared" si="39"/>
        <v>17.99336150025</v>
      </c>
      <c r="CB24" s="20">
        <f t="shared" si="10"/>
        <v>141.53995794626874</v>
      </c>
      <c r="CC24" s="59">
        <f t="shared" si="11"/>
        <v>434.87329127960209</v>
      </c>
      <c r="CD24" s="59">
        <f ca="1">AVERAGE(OFFSET($CC$3,0,0,'Données projet'!$E$12+1,1))-AVERAGE(OFFSET($H$3,0,0,'Données projet'!$E$12+1,1))</f>
        <v>259.87681411271632</v>
      </c>
      <c r="CE24" s="59">
        <f t="shared" si="40"/>
        <v>191.8684235641158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5.9281658654503238</v>
      </c>
      <c r="CM24" s="21">
        <f>EXP(-LN(2)/2)*CM23+(1-EXP(-LN(2)/2))/(LN(2)/2)*CG24*CJ24*VLOOKUP('Données projet'!$B$12,Paramètres!$A$1:$I$89,3,0)*0.475*44/12</f>
        <v>5.275565861561514</v>
      </c>
      <c r="CN24" s="22">
        <f t="shared" si="12"/>
        <v>11.203731727011839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6.5</v>
      </c>
      <c r="CT24" s="12">
        <f>IF('Données projet'!$A$140&gt;35,CT23+CS24-DB23,IF(A24&lt;'Données projet'!$A$140,$CQ$205^A24,IF(A24='Données projet'!$A$140,'Données projet'!$B$140,CT23+CS24-DB23)))</f>
        <v>98.5</v>
      </c>
      <c r="CU24" s="17">
        <f>CT24*VLOOKUP('Données projet'!$B$13,Paramètres!$A$1:$I$89,3,0)*VLOOKUP('Données projet'!$B$13,Paramètres!$A$1:$I$89,5,0)</f>
        <v>46.098000000000006</v>
      </c>
      <c r="CV24" s="13">
        <f t="shared" si="41"/>
        <v>13.601335517465165</v>
      </c>
      <c r="CW24" s="20">
        <f t="shared" si="13"/>
        <v>103.97634269291849</v>
      </c>
      <c r="CX24" s="59">
        <f t="shared" si="14"/>
        <v>397.30967602625179</v>
      </c>
      <c r="CY24" s="59">
        <f ca="1">AVERAGE(OFFSET($CX$3,0,0,'Données projet'!$E$13+1,1))-AVERAGE(OFFSET($H$3,0,0,'Données projet'!$E$13+1,1))</f>
        <v>137.59122085719031</v>
      </c>
      <c r="CZ24" s="59">
        <f t="shared" si="42"/>
        <v>130.1134470448718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4.2608692157924191</v>
      </c>
      <c r="DH24" s="21">
        <f>EXP(-LN(2)/2)*DH23+(1-EXP(-LN(2)/2))/(LN(2)/2)*DB24*DE24*VLOOKUP('Données projet'!$B$13,Paramètres!$A$1:$I$89,3,0)*0.475*44/12</f>
        <v>3.7918129629973381</v>
      </c>
      <c r="DI24" s="22">
        <f t="shared" si="15"/>
        <v>8.0526821787897571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3.6388888888888888</v>
      </c>
      <c r="DO24" s="12">
        <f>IF('Données projet'!$A$166&gt;35,DO23+DN24-DW23,IF(A24&lt;'Données projet'!$A$166,$DL$205^A24,IF(A24='Données projet'!$A$166,'Données projet'!$B$166,DO23+DN24-DW23)))</f>
        <v>76.416666666666629</v>
      </c>
      <c r="DP24" s="17">
        <f>DO24*VLOOKUP('Données projet'!$B$14,Paramètres!$A$1:$I$89,3,0)*VLOOKUP('Données projet'!$B$14,Paramètres!$A$1:$I$89,5,0)</f>
        <v>77.486499999999964</v>
      </c>
      <c r="DQ24" s="13">
        <f t="shared" si="43"/>
        <v>21.521483176085201</v>
      </c>
      <c r="DR24" s="20">
        <f t="shared" si="16"/>
        <v>172.43890403168166</v>
      </c>
      <c r="DS24" s="59">
        <f t="shared" si="17"/>
        <v>465.77223736501497</v>
      </c>
      <c r="DT24" s="59">
        <f ca="1">AVERAGE(OFFSET($DS$3,0,0,'Données projet'!$E$14+1,1))-AVERAGE(OFFSET($H$3,0,0,'Données projet'!$E$14+1,1))</f>
        <v>313.90901812281373</v>
      </c>
      <c r="DU24" s="59">
        <f t="shared" si="44"/>
        <v>210.54265725995265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9.9262999999999995</v>
      </c>
      <c r="EJ24" s="12">
        <f>IF('Données projet'!$A$192&gt;35,EJ23+EI24-ER23,IF(A24&lt;'Données projet'!$A$192,$EG$205^A24,IF(A24='Données projet'!$A$192,'Données projet'!$B$192,EJ23+EI24-ER23)))</f>
        <v>144.13655</v>
      </c>
      <c r="EK24" s="17">
        <f>EJ24*VLOOKUP('Données projet'!$B$15,Paramètres!$A$1:$I$89,3,0)*VLOOKUP('Données projet'!$B$15,Paramètres!$A$1:$I$89,5,0)</f>
        <v>114.67503918000001</v>
      </c>
      <c r="EL24" s="13">
        <f t="shared" si="45"/>
        <v>30.429777890837975</v>
      </c>
      <c r="EM24" s="20">
        <f t="shared" si="19"/>
        <v>252.72422306504282</v>
      </c>
      <c r="EN24" s="59">
        <f t="shared" si="20"/>
        <v>546.05755639837616</v>
      </c>
      <c r="EO24" s="59">
        <f ca="1">AVERAGE(OFFSET($EN$3,0,0,'Données projet'!$E$15+1,1))-AVERAGE(OFFSET($H$3,0,0,'Données projet'!$E$15+1,1))</f>
        <v>316.52407313312403</v>
      </c>
      <c r="EP24" s="59">
        <f t="shared" si="46"/>
        <v>340.55949748167382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7.9145000000000021</v>
      </c>
      <c r="FE24" s="12">
        <f>IF('Données projet'!$A$218&gt;35,FE23+FD24-FM23,IF(A24&lt;'Données projet'!$A$218,$FB$205^A24,IF(A24='Données projet'!$A$218,'Données projet'!$B$218,FE23+FD24-FM23)))</f>
        <v>115.07450000000001</v>
      </c>
      <c r="FF24" s="17">
        <f>FE24*VLOOKUP('Données projet'!$B$16,Paramètres!$A$1:$I$89,3,0)*VLOOKUP('Données projet'!$B$16,Paramètres!$A$1:$I$89,5,0)</f>
        <v>75.396812400000002</v>
      </c>
      <c r="FG24" s="13">
        <f t="shared" si="47"/>
        <v>21.007828468289951</v>
      </c>
      <c r="FH24" s="20">
        <f t="shared" si="22"/>
        <v>167.90474951227165</v>
      </c>
      <c r="FI24" s="59">
        <f t="shared" si="23"/>
        <v>461.23808284560494</v>
      </c>
      <c r="FJ24" s="59">
        <f ca="1">AVERAGE(OFFSET($FI$3,0,0,'Données projet'!$E$16+1,1))-AVERAGE(OFFSET($H$3,0,0,'Données projet'!$E$16+1,1))</f>
        <v>199.99826357281154</v>
      </c>
      <c r="FK24" s="59">
        <f t="shared" si="48"/>
        <v>214.67424457475136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16.399999999999999</v>
      </c>
      <c r="N25" s="13">
        <f>IF('Données projet'!$A$36&gt;35,N24+M25-V24,IF(A25&lt;'Données projet'!$A$36,$K$205^A25,IF(A25='Données projet'!$A$36,'Données projet'!$B$36,N24+M25-V24)))</f>
        <v>154.80000000000001</v>
      </c>
      <c r="O25" s="13">
        <f>N25*VLOOKUP('Données projet'!$B$9,Paramètres!$A$1:$I$89,3,0)*VLOOKUP('Données projet'!$B$9,Paramètres!$A$1:$I$89,5,0)</f>
        <v>92.570400000000021</v>
      </c>
      <c r="P25" s="13">
        <f t="shared" si="33"/>
        <v>25.184123943972491</v>
      </c>
      <c r="Q25" s="20">
        <f t="shared" si="2"/>
        <v>205.0891292024188</v>
      </c>
      <c r="R25" s="59">
        <f t="shared" si="0"/>
        <v>498.42246253575212</v>
      </c>
      <c r="S25" s="59">
        <f ca="1">AVERAGE(OFFSET($R$3,0,0,'Données projet'!$E$9+1,1))-AVERAGE(OFFSET($H$3,0,0,'Données projet'!$E$9+1,1))</f>
        <v>284.60021367910457</v>
      </c>
      <c r="T25" s="59">
        <f t="shared" si="34"/>
        <v>301.41905904220812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3.6027127725508916</v>
      </c>
      <c r="AA25" s="21">
        <f>EXP(-LN(2)/25)*AA24+(1-EXP(-LN(2)/25))/(LN(2)/25)*Calculateur!V25*Calculateur!X25*VLOOKUP('Données projet'!$B$9,Paramètres!$A$1:$I$89,3,0)*0.475*44/12</f>
        <v>3.4478805197622178</v>
      </c>
      <c r="AB25" s="21">
        <f>EXP(-LN(2)/2)*AB24+(1-EXP(-LN(2)/2))/(LN(2)/2)*V25*Y25*VLOOKUP('Données projet'!$B$9,Paramètres!$A$1:$I$89,3,0)*0.475*44/12</f>
        <v>1.4602651987393973</v>
      </c>
      <c r="AC25" s="22">
        <f t="shared" si="3"/>
        <v>8.5108584910525078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457.23719620976442</v>
      </c>
      <c r="AN25" s="59">
        <f ca="1">AVERAGE(OFFSET($AM$3,0,0,'Données projet'!$E$10+1,1))-AVERAGE(OFFSET($H$3,0,0,'Données projet'!$E$10+1,1))</f>
        <v>294.45857786714919</v>
      </c>
      <c r="AO25" s="59">
        <f t="shared" si="36"/>
        <v>221.9773436301067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16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0.25200000000000006</v>
      </c>
      <c r="AT25" s="16">
        <f>IF(ISNA(VLOOKUP(A25,'Données projet'!$A$61:$I$81,7,0)),0%,VLOOKUP(A25,'Données projet'!$A$61:$I$81,7,0))</f>
        <v>0.44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3.1859334940577297</v>
      </c>
      <c r="AW25" s="21">
        <f>EXP(-LN(2)/2)*AW24+(1-EXP(-LN(2)/2))/(LN(2)/2)*AQ25*AT25*VLOOKUP('Données projet'!$B$10,Paramètres!$A$1:$I$89,3,0)*0.475*44/12</f>
        <v>4.7666073940026195</v>
      </c>
      <c r="AX25" s="21">
        <f t="shared" si="6"/>
        <v>7.9525408880603496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7.0434782608695654</v>
      </c>
      <c r="BD25" s="12">
        <f>IF('Données projet'!$A$88&gt;35,BD24+BC25-BL24,IF(A25&lt;'Données projet'!$A$88,$BA$205^A25,IF(A25='Données projet'!$A$88,'Données projet'!$B$88,BD24+BC25-BL24)))</f>
        <v>129.852149874303</v>
      </c>
      <c r="BE25" s="13">
        <f>BD25*VLOOKUP('Données projet'!$B$11,Paramètres!$A$1:$I$89,3,0)*VLOOKUP('Données projet'!$B$11,Paramètres!$A$1:$I$89,5,0)</f>
        <v>72.587351779735371</v>
      </c>
      <c r="BF25" s="13">
        <f t="shared" si="37"/>
        <v>20.314624645928472</v>
      </c>
      <c r="BG25" s="20">
        <f t="shared" si="7"/>
        <v>161.80427560803119</v>
      </c>
      <c r="BH25" s="59">
        <f t="shared" si="8"/>
        <v>455.13760894136453</v>
      </c>
      <c r="BI25" s="59">
        <f ca="1">AVERAGE(OFFSET($BH$3,0,0,'Données projet'!$E$11+1,1))-AVERAGE(OFFSET($H$3,0,0,'Données projet'!$E$11+1,1))</f>
        <v>304.91676868833792</v>
      </c>
      <c r="BJ25" s="59">
        <f t="shared" si="38"/>
        <v>365.95065044620048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144.39999999999998</v>
      </c>
      <c r="BZ25" s="13">
        <f>BY25*VLOOKUP('Données projet'!$B$12,Paramètres!$A$1:$I$89,3,0)*VLOOKUP('Données projet'!$B$12,Paramètres!$A$1:$I$89,5,0)</f>
        <v>67.579199999999986</v>
      </c>
      <c r="CA25" s="13">
        <f t="shared" si="39"/>
        <v>19.07106176040384</v>
      </c>
      <c r="CB25" s="20">
        <f t="shared" si="10"/>
        <v>150.91587256603665</v>
      </c>
      <c r="CC25" s="59">
        <f t="shared" si="11"/>
        <v>444.24920589936994</v>
      </c>
      <c r="CD25" s="59">
        <f ca="1">AVERAGE(OFFSET($CC$3,0,0,'Données projet'!$E$12+1,1))-AVERAGE(OFFSET($H$3,0,0,'Données projet'!$E$12+1,1))</f>
        <v>259.87681411271632</v>
      </c>
      <c r="CE25" s="59">
        <f t="shared" si="40"/>
        <v>191.8684235641158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5.7660598581108911</v>
      </c>
      <c r="CM25" s="21">
        <f>EXP(-LN(2)/2)*CM24+(1-EXP(-LN(2)/2))/(LN(2)/2)*CG25*CJ25*VLOOKUP('Données projet'!$B$12,Paramètres!$A$1:$I$89,3,0)*0.475*44/12</f>
        <v>3.7303883953063979</v>
      </c>
      <c r="CN25" s="22">
        <f t="shared" si="12"/>
        <v>9.496448253417288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6.5</v>
      </c>
      <c r="CT25" s="12">
        <f>IF('Données projet'!$A$140&gt;35,CT24+CS25-DB24,IF(A25&lt;'Données projet'!$A$140,$CQ$205^A25,IF(A25='Données projet'!$A$140,'Données projet'!$B$140,CT24+CS25-DB24)))</f>
        <v>105</v>
      </c>
      <c r="CU25" s="17">
        <f>CT25*VLOOKUP('Données projet'!$B$13,Paramètres!$A$1:$I$89,3,0)*VLOOKUP('Données projet'!$B$13,Paramètres!$A$1:$I$89,5,0)</f>
        <v>49.14</v>
      </c>
      <c r="CV25" s="13">
        <f t="shared" si="41"/>
        <v>14.391437147300868</v>
      </c>
      <c r="CW25" s="20">
        <f t="shared" si="13"/>
        <v>110.65058636488233</v>
      </c>
      <c r="CX25" s="59">
        <f t="shared" si="14"/>
        <v>403.98391969821563</v>
      </c>
      <c r="CY25" s="59">
        <f ca="1">AVERAGE(OFFSET($CX$3,0,0,'Données projet'!$E$13+1,1))-AVERAGE(OFFSET($H$3,0,0,'Données projet'!$E$13+1,1))</f>
        <v>137.59122085719031</v>
      </c>
      <c r="CZ25" s="59">
        <f t="shared" si="42"/>
        <v>130.1134470448718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4.144355523017202</v>
      </c>
      <c r="DH25" s="21">
        <f>EXP(-LN(2)/2)*DH24+(1-EXP(-LN(2)/2))/(LN(2)/2)*DB25*DE25*VLOOKUP('Données projet'!$B$13,Paramètres!$A$1:$I$89,3,0)*0.475*44/12</f>
        <v>2.6812166591264734</v>
      </c>
      <c r="DI25" s="22">
        <f t="shared" si="15"/>
        <v>6.8255721821436754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3.6388888888888888</v>
      </c>
      <c r="DO25" s="12">
        <f>IF('Données projet'!$A$166&gt;35,DO24+DN25-DW24,IF(A25&lt;'Données projet'!$A$166,$DL$205^A25,IF(A25='Données projet'!$A$166,'Données projet'!$B$166,DO24+DN25-DW24)))</f>
        <v>80.055555555555515</v>
      </c>
      <c r="DP25" s="17">
        <f>DO25*VLOOKUP('Données projet'!$B$14,Paramètres!$A$1:$I$89,3,0)*VLOOKUP('Données projet'!$B$14,Paramètres!$A$1:$I$89,5,0)</f>
        <v>81.176333333333289</v>
      </c>
      <c r="DQ25" s="13">
        <f t="shared" si="43"/>
        <v>22.424558940704895</v>
      </c>
      <c r="DR25" s="20">
        <f t="shared" si="16"/>
        <v>180.43822071061652</v>
      </c>
      <c r="DS25" s="59">
        <f t="shared" si="17"/>
        <v>473.77155404394983</v>
      </c>
      <c r="DT25" s="59">
        <f ca="1">AVERAGE(OFFSET($DS$3,0,0,'Données projet'!$E$14+1,1))-AVERAGE(OFFSET($H$3,0,0,'Données projet'!$E$14+1,1))</f>
        <v>313.90901812281373</v>
      </c>
      <c r="DU25" s="59">
        <f t="shared" si="44"/>
        <v>210.54265725995265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9.9262999999999995</v>
      </c>
      <c r="EJ25" s="12">
        <f>IF('Données projet'!$A$192&gt;35,EJ24+EI25-ER24,IF(A25&lt;'Données projet'!$A$192,$EG$205^A25,IF(A25='Données projet'!$A$192,'Données projet'!$B$192,EJ24+EI25-ER24)))</f>
        <v>154.06285</v>
      </c>
      <c r="EK25" s="17">
        <f>EJ25*VLOOKUP('Données projet'!$B$15,Paramètres!$A$1:$I$89,3,0)*VLOOKUP('Données projet'!$B$15,Paramètres!$A$1:$I$89,5,0)</f>
        <v>122.57240346</v>
      </c>
      <c r="EL25" s="13">
        <f t="shared" si="45"/>
        <v>32.274227528896077</v>
      </c>
      <c r="EM25" s="20">
        <f t="shared" si="19"/>
        <v>269.69121563899404</v>
      </c>
      <c r="EN25" s="59">
        <f t="shared" si="20"/>
        <v>563.02454897232735</v>
      </c>
      <c r="EO25" s="59">
        <f ca="1">AVERAGE(OFFSET($EN$3,0,0,'Données projet'!$E$15+1,1))-AVERAGE(OFFSET($H$3,0,0,'Données projet'!$E$15+1,1))</f>
        <v>316.52407313312403</v>
      </c>
      <c r="EP25" s="59">
        <f t="shared" si="46"/>
        <v>340.55949748167382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7.9145000000000021</v>
      </c>
      <c r="FE25" s="12">
        <f>IF('Données projet'!$A$218&gt;35,FE24+FD25-FM24,IF(A25&lt;'Données projet'!$A$218,$FB$205^A25,IF(A25='Données projet'!$A$218,'Données projet'!$B$218,FE24+FD25-FM24)))</f>
        <v>122.98900000000002</v>
      </c>
      <c r="FF25" s="17">
        <f>FE25*VLOOKUP('Données projet'!$B$16,Paramètres!$A$1:$I$89,3,0)*VLOOKUP('Données projet'!$B$16,Paramètres!$A$1:$I$89,5,0)</f>
        <v>80.582392800000022</v>
      </c>
      <c r="FG25" s="13">
        <f t="shared" si="47"/>
        <v>22.279522026022324</v>
      </c>
      <c r="FH25" s="20">
        <f t="shared" si="22"/>
        <v>179.15116832198888</v>
      </c>
      <c r="FI25" s="59">
        <f t="shared" si="23"/>
        <v>472.48450165532222</v>
      </c>
      <c r="FJ25" s="59">
        <f ca="1">AVERAGE(OFFSET($FI$3,0,0,'Données projet'!$E$16+1,1))-AVERAGE(OFFSET($H$3,0,0,'Données projet'!$E$16+1,1))</f>
        <v>199.99826357281154</v>
      </c>
      <c r="FK25" s="59">
        <f t="shared" si="48"/>
        <v>214.67424457475136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16.399999999999999</v>
      </c>
      <c r="N26" s="13">
        <f>IF('Données projet'!$A$36&gt;35,N25+M26-V25,IF(A26&lt;'Données projet'!$A$36,$K$205^A26,IF(A26='Données projet'!$A$36,'Données projet'!$B$36,N25+M26-V25)))</f>
        <v>171.20000000000002</v>
      </c>
      <c r="O26" s="13">
        <f>N26*VLOOKUP('Données projet'!$B$9,Paramètres!$A$1:$I$89,3,0)*VLOOKUP('Données projet'!$B$9,Paramètres!$A$1:$I$89,5,0)</f>
        <v>102.37760000000002</v>
      </c>
      <c r="P26" s="13">
        <f t="shared" si="33"/>
        <v>27.527651005505614</v>
      </c>
      <c r="Q26" s="20">
        <f t="shared" si="2"/>
        <v>226.25164550125564</v>
      </c>
      <c r="R26" s="59">
        <f t="shared" si="0"/>
        <v>519.58497883458892</v>
      </c>
      <c r="S26" s="59">
        <f ca="1">AVERAGE(OFFSET($R$3,0,0,'Données projet'!$E$9+1,1))-AVERAGE(OFFSET($H$3,0,0,'Données projet'!$E$9+1,1))</f>
        <v>284.60021367910457</v>
      </c>
      <c r="T26" s="59">
        <f t="shared" si="34"/>
        <v>301.41905904220812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3.532065772518981</v>
      </c>
      <c r="AA26" s="21">
        <f>EXP(-LN(2)/25)*AA25+(1-EXP(-LN(2)/25))/(LN(2)/25)*Calculateur!V26*Calculateur!X26*VLOOKUP('Données projet'!$B$9,Paramètres!$A$1:$I$89,3,0)*0.475*44/12</f>
        <v>3.3535980456331638</v>
      </c>
      <c r="AB26" s="21">
        <f>EXP(-LN(2)/2)*AB25+(1-EXP(-LN(2)/2))/(LN(2)/2)*V26*Y26*VLOOKUP('Données projet'!$B$9,Paramètres!$A$1:$I$89,3,0)*0.475*44/12</f>
        <v>1.0325634243593493</v>
      </c>
      <c r="AC26" s="22">
        <f t="shared" si="3"/>
        <v>7.9182272425114935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12.333333333333334</v>
      </c>
      <c r="AI26" s="13">
        <f>IF('Données projet'!$A$62&gt;35,AI25+AH26-AQ25,IF(A26&lt;'Données projet'!$A$62,$AF$205^A26,IF(A26='Données projet'!$A$62,'Données projet'!$B$62,AI25+AH26-AQ25)))</f>
        <v>119.33333333333334</v>
      </c>
      <c r="AJ26" s="13">
        <f>AI26*VLOOKUP('Données projet'!$B$10,Paramètres!$A$1:$I$89,3,0)*VLOOKUP('Données projet'!$B$10,Paramètres!$A$1:$I$89,5,0)</f>
        <v>71.361333333333349</v>
      </c>
      <c r="AK26" s="13">
        <f t="shared" si="35"/>
        <v>20.011144716858571</v>
      </c>
      <c r="AL26" s="20">
        <f t="shared" si="4"/>
        <v>159.14039927075092</v>
      </c>
      <c r="AM26" s="59">
        <f t="shared" si="5"/>
        <v>452.47373260408426</v>
      </c>
      <c r="AN26" s="59">
        <f ca="1">AVERAGE(OFFSET($AM$3,0,0,'Données projet'!$E$10+1,1))-AVERAGE(OFFSET($H$3,0,0,'Données projet'!$E$10+1,1))</f>
        <v>294.45857786714919</v>
      </c>
      <c r="AO26" s="59">
        <f t="shared" si="36"/>
        <v>221.9773436301067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3.09881397512176</v>
      </c>
      <c r="AW26" s="21">
        <f>EXP(-LN(2)/2)*AW25+(1-EXP(-LN(2)/2))/(LN(2)/2)*AQ26*AT26*VLOOKUP('Données projet'!$B$10,Paramètres!$A$1:$I$89,3,0)*0.475*44/12</f>
        <v>3.37050041155319</v>
      </c>
      <c r="AX26" s="21">
        <f t="shared" si="6"/>
        <v>6.4693143866749505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>
        <f>VLOOKUP(A26,'Données projet'!$A$87:$I$107,2,0)</f>
        <v>162</v>
      </c>
      <c r="BB26" s="12">
        <f>VLOOKUP(A26,'Données projet'!$A$87:$I$107,9,0)</f>
        <v>7.0434782608695654</v>
      </c>
      <c r="BC26" s="12">
        <f t="array" ref="BC26">INDEX(BB:BB,MIN(IF(ISNUMBER(BB26:BB222),ROW(BB26:BB222),"")))</f>
        <v>7.0434782608695654</v>
      </c>
      <c r="BD26" s="12">
        <f>IF('Données projet'!$A$88&gt;35,BD25+BC26-BL25,IF(A26&lt;'Données projet'!$A$88,$BA$205^A26,IF(A26='Données projet'!$A$88,'Données projet'!$B$88,BD25+BC26-BL25)))</f>
        <v>162</v>
      </c>
      <c r="BE26" s="13">
        <f>BD26*VLOOKUP('Données projet'!$B$11,Paramètres!$A$1:$I$89,3,0)*VLOOKUP('Données projet'!$B$11,Paramètres!$A$1:$I$89,5,0)</f>
        <v>90.557999999999993</v>
      </c>
      <c r="BF26" s="13">
        <f t="shared" si="37"/>
        <v>24.699752708509138</v>
      </c>
      <c r="BG26" s="20">
        <f t="shared" si="7"/>
        <v>200.74058596732007</v>
      </c>
      <c r="BH26" s="59">
        <f t="shared" si="8"/>
        <v>494.07391930065342</v>
      </c>
      <c r="BI26" s="59">
        <f ca="1">AVERAGE(OFFSET($BH$3,0,0,'Données projet'!$E$11+1,1))-AVERAGE(OFFSET($H$3,0,0,'Données projet'!$E$11+1,1))</f>
        <v>304.91676868833792</v>
      </c>
      <c r="BJ26" s="59">
        <f t="shared" si="38"/>
        <v>365.95065044620048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0.30800000000000005</v>
      </c>
      <c r="BO26" s="16">
        <f>IF(ISNA(VLOOKUP(A26,'Données projet'!$A$87:$I$107,7,0)),0%,VLOOKUP(A26,'Données projet'!$A$87:$I$107,7,0))</f>
        <v>0.44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153.59999999999997</v>
      </c>
      <c r="BZ26" s="13">
        <f>BY26*VLOOKUP('Données projet'!$B$12,Paramètres!$A$1:$I$89,3,0)*VLOOKUP('Données projet'!$B$12,Paramètres!$A$1:$I$89,5,0)</f>
        <v>71.884799999999984</v>
      </c>
      <c r="CA26" s="13">
        <f t="shared" si="39"/>
        <v>20.140793597217179</v>
      </c>
      <c r="CB26" s="20">
        <f t="shared" si="10"/>
        <v>160.27790884848653</v>
      </c>
      <c r="CC26" s="59">
        <f t="shared" si="11"/>
        <v>453.61124218181988</v>
      </c>
      <c r="CD26" s="59">
        <f ca="1">AVERAGE(OFFSET($CC$3,0,0,'Données projet'!$E$12+1,1))-AVERAGE(OFFSET($H$3,0,0,'Données projet'!$E$12+1,1))</f>
        <v>259.87681411271632</v>
      </c>
      <c r="CE26" s="59">
        <f t="shared" si="40"/>
        <v>191.8684235641158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5.6083866480669391</v>
      </c>
      <c r="CM26" s="21">
        <f>EXP(-LN(2)/2)*CM25+(1-EXP(-LN(2)/2))/(LN(2)/2)*CG26*CJ26*VLOOKUP('Données projet'!$B$12,Paramètres!$A$1:$I$89,3,0)*0.475*44/12</f>
        <v>2.6377829307807574</v>
      </c>
      <c r="CN26" s="22">
        <f t="shared" si="12"/>
        <v>8.246169578847697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6.5</v>
      </c>
      <c r="CT26" s="12">
        <f>IF('Données projet'!$A$140&gt;35,CT25+CS26-DB25,IF(A26&lt;'Données projet'!$A$140,$CQ$205^A26,IF(A26='Données projet'!$A$140,'Données projet'!$B$140,CT25+CS26-DB25)))</f>
        <v>111.5</v>
      </c>
      <c r="CU26" s="17">
        <f>CT26*VLOOKUP('Données projet'!$B$13,Paramètres!$A$1:$I$89,3,0)*VLOOKUP('Données projet'!$B$13,Paramètres!$A$1:$I$89,5,0)</f>
        <v>52.182000000000002</v>
      </c>
      <c r="CV26" s="13">
        <f t="shared" si="41"/>
        <v>15.175862166895936</v>
      </c>
      <c r="CW26" s="20">
        <f t="shared" si="13"/>
        <v>117.31494327401042</v>
      </c>
      <c r="CX26" s="59">
        <f t="shared" si="14"/>
        <v>410.64827660734375</v>
      </c>
      <c r="CY26" s="59">
        <f ca="1">AVERAGE(OFFSET($CX$3,0,0,'Données projet'!$E$13+1,1))-AVERAGE(OFFSET($H$3,0,0,'Données projet'!$E$13+1,1))</f>
        <v>137.59122085719031</v>
      </c>
      <c r="CZ26" s="59">
        <f t="shared" si="42"/>
        <v>130.1134470448718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4.0310279032981118</v>
      </c>
      <c r="DH26" s="21">
        <f>EXP(-LN(2)/2)*DH25+(1-EXP(-LN(2)/2))/(LN(2)/2)*DB26*DE26*VLOOKUP('Données projet'!$B$13,Paramètres!$A$1:$I$89,3,0)*0.475*44/12</f>
        <v>1.8959064814986695</v>
      </c>
      <c r="DI26" s="22">
        <f t="shared" si="15"/>
        <v>5.9269343847967813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3.6388888888888888</v>
      </c>
      <c r="DO26" s="12">
        <f>IF('Données projet'!$A$166&gt;35,DO25+DN26-DW25,IF(A26&lt;'Données projet'!$A$166,$DL$205^A26,IF(A26='Données projet'!$A$166,'Données projet'!$B$166,DO25+DN26-DW25)))</f>
        <v>83.6944444444444</v>
      </c>
      <c r="DP26" s="17">
        <f>DO26*VLOOKUP('Données projet'!$B$14,Paramètres!$A$1:$I$89,3,0)*VLOOKUP('Données projet'!$B$14,Paramètres!$A$1:$I$89,5,0)</f>
        <v>84.866166666666629</v>
      </c>
      <c r="DQ26" s="13">
        <f t="shared" si="43"/>
        <v>23.322867498094642</v>
      </c>
      <c r="DR26" s="20">
        <f t="shared" si="16"/>
        <v>188.42923450362585</v>
      </c>
      <c r="DS26" s="59">
        <f t="shared" si="17"/>
        <v>481.76256783695919</v>
      </c>
      <c r="DT26" s="59">
        <f ca="1">AVERAGE(OFFSET($DS$3,0,0,'Données projet'!$E$14+1,1))-AVERAGE(OFFSET($H$3,0,0,'Données projet'!$E$14+1,1))</f>
        <v>313.90901812281373</v>
      </c>
      <c r="DU26" s="59">
        <f t="shared" si="44"/>
        <v>210.54265725995265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9.9262999999999995</v>
      </c>
      <c r="EJ26" s="12">
        <f>IF('Données projet'!$A$192&gt;35,EJ25+EI26-ER25,IF(A26&lt;'Données projet'!$A$192,$EG$205^A26,IF(A26='Données projet'!$A$192,'Données projet'!$B$192,EJ25+EI26-ER25)))</f>
        <v>163.98915</v>
      </c>
      <c r="EK26" s="17">
        <f>EJ26*VLOOKUP('Données projet'!$B$15,Paramètres!$A$1:$I$89,3,0)*VLOOKUP('Données projet'!$B$15,Paramètres!$A$1:$I$89,5,0)</f>
        <v>130.46976774000001</v>
      </c>
      <c r="EL26" s="13">
        <f t="shared" si="45"/>
        <v>34.10488606577983</v>
      </c>
      <c r="EM26" s="20">
        <f t="shared" si="19"/>
        <v>286.6341887117332</v>
      </c>
      <c r="EN26" s="59">
        <f t="shared" si="20"/>
        <v>579.96752204506652</v>
      </c>
      <c r="EO26" s="59">
        <f ca="1">AVERAGE(OFFSET($EN$3,0,0,'Données projet'!$E$15+1,1))-AVERAGE(OFFSET($H$3,0,0,'Données projet'!$E$15+1,1))</f>
        <v>316.52407313312403</v>
      </c>
      <c r="EP26" s="59">
        <f t="shared" si="46"/>
        <v>340.55949748167382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7.9145000000000021</v>
      </c>
      <c r="FE26" s="12">
        <f>IF('Données projet'!$A$218&gt;35,FE25+FD26-FM25,IF(A26&lt;'Données projet'!$A$218,$FB$205^A26,IF(A26='Données projet'!$A$218,'Données projet'!$B$218,FE25+FD26-FM25)))</f>
        <v>130.90350000000001</v>
      </c>
      <c r="FF26" s="17">
        <f>FE26*VLOOKUP('Données projet'!$B$16,Paramètres!$A$1:$I$89,3,0)*VLOOKUP('Données projet'!$B$16,Paramètres!$A$1:$I$89,5,0)</f>
        <v>85.7679732</v>
      </c>
      <c r="FG26" s="13">
        <f t="shared" si="47"/>
        <v>23.541718646377461</v>
      </c>
      <c r="FH26" s="20">
        <f t="shared" si="22"/>
        <v>190.38104663244076</v>
      </c>
      <c r="FI26" s="59">
        <f t="shared" si="23"/>
        <v>483.71437996577407</v>
      </c>
      <c r="FJ26" s="59">
        <f ca="1">AVERAGE(OFFSET($FI$3,0,0,'Données projet'!$E$16+1,1))-AVERAGE(OFFSET($H$3,0,0,'Données projet'!$E$16+1,1))</f>
        <v>199.99826357281154</v>
      </c>
      <c r="FK26" s="59">
        <f t="shared" si="48"/>
        <v>214.67424457475136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16.399999999999999</v>
      </c>
      <c r="N27" s="13">
        <f>IF('Données projet'!$A$36&gt;35,N26+M27-V26,IF(A27&lt;'Données projet'!$A$36,$K$205^A27,IF(A27='Données projet'!$A$36,'Données projet'!$B$36,N26+M27-V26)))</f>
        <v>187.60000000000002</v>
      </c>
      <c r="O27" s="13">
        <f>N27*VLOOKUP('Données projet'!$B$9,Paramètres!$A$1:$I$89,3,0)*VLOOKUP('Données projet'!$B$9,Paramètres!$A$1:$I$89,5,0)</f>
        <v>112.18480000000002</v>
      </c>
      <c r="P27" s="13">
        <f t="shared" si="33"/>
        <v>29.845149809641946</v>
      </c>
      <c r="Q27" s="20">
        <f t="shared" si="2"/>
        <v>247.36882925179307</v>
      </c>
      <c r="R27" s="59">
        <f t="shared" si="0"/>
        <v>540.70216258512642</v>
      </c>
      <c r="S27" s="59">
        <f ca="1">AVERAGE(OFFSET($R$3,0,0,'Données projet'!$E$9+1,1))-AVERAGE(OFFSET($H$3,0,0,'Données projet'!$E$9+1,1))</f>
        <v>284.60021367910457</v>
      </c>
      <c r="T27" s="59">
        <f t="shared" si="34"/>
        <v>301.41905904220812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3.462804117067281</v>
      </c>
      <c r="AA27" s="21">
        <f>EXP(-LN(2)/25)*AA26+(1-EXP(-LN(2)/25))/(LN(2)/25)*Calculateur!V27*Calculateur!X27*VLOOKUP('Données projet'!$B$9,Paramètres!$A$1:$I$89,3,0)*0.475*44/12</f>
        <v>3.2618937307172686</v>
      </c>
      <c r="AB27" s="21">
        <f>EXP(-LN(2)/2)*AB26+(1-EXP(-LN(2)/2))/(LN(2)/2)*V27*Y27*VLOOKUP('Données projet'!$B$9,Paramètres!$A$1:$I$89,3,0)*0.475*44/12</f>
        <v>0.73013259936969865</v>
      </c>
      <c r="AC27" s="22">
        <f t="shared" si="3"/>
        <v>7.4548304471542481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12.333333333333334</v>
      </c>
      <c r="AI27" s="13">
        <f>IF('Données projet'!$A$62&gt;35,AI26+AH27-AQ26,IF(A27&lt;'Données projet'!$A$62,$AF$205^A27,IF(A27='Données projet'!$A$62,'Données projet'!$B$62,AI26+AH27-AQ26)))</f>
        <v>131.66666666666669</v>
      </c>
      <c r="AJ27" s="13">
        <f>AI27*VLOOKUP('Données projet'!$B$10,Paramètres!$A$1:$I$89,3,0)*VLOOKUP('Données projet'!$B$10,Paramètres!$A$1:$I$89,5,0)</f>
        <v>78.736666666666679</v>
      </c>
      <c r="AK27" s="13">
        <f t="shared" si="35"/>
        <v>21.828006984037064</v>
      </c>
      <c r="AL27" s="20">
        <f t="shared" si="4"/>
        <v>175.15013994164235</v>
      </c>
      <c r="AM27" s="59">
        <f t="shared" si="5"/>
        <v>468.48347327497567</v>
      </c>
      <c r="AN27" s="59">
        <f ca="1">AVERAGE(OFFSET($AM$3,0,0,'Données projet'!$E$10+1,1))-AVERAGE(OFFSET($H$3,0,0,'Données projet'!$E$10+1,1))</f>
        <v>294.45857786714919</v>
      </c>
      <c r="AO27" s="59">
        <f t="shared" si="36"/>
        <v>221.9773436301067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3.0140767440125109</v>
      </c>
      <c r="AW27" s="21">
        <f>EXP(-LN(2)/2)*AW26+(1-EXP(-LN(2)/2))/(LN(2)/2)*AQ27*AT27*VLOOKUP('Données projet'!$B$10,Paramètres!$A$1:$I$89,3,0)*0.475*44/12</f>
        <v>2.3833036970013102</v>
      </c>
      <c r="AX27" s="21">
        <f t="shared" si="6"/>
        <v>5.3973804410138211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28</v>
      </c>
      <c r="BD27" s="12">
        <f>IF('Données projet'!$A$88&gt;35,BD26+BC27-BL26,IF(A27&lt;'Données projet'!$A$88,$BA$205^A27,IF(A27='Données projet'!$A$88,'Données projet'!$B$88,BD26+BC27-BL26)))</f>
        <v>190</v>
      </c>
      <c r="BE27" s="13">
        <f>BD27*VLOOKUP('Données projet'!$B$11,Paramètres!$A$1:$I$89,3,0)*VLOOKUP('Données projet'!$B$11,Paramètres!$A$1:$I$89,5,0)</f>
        <v>106.21000000000001</v>
      </c>
      <c r="BF27" s="13">
        <f t="shared" si="37"/>
        <v>28.436217026228483</v>
      </c>
      <c r="BG27" s="20">
        <f t="shared" si="7"/>
        <v>234.50882798734798</v>
      </c>
      <c r="BH27" s="59">
        <f t="shared" si="8"/>
        <v>527.84216132068127</v>
      </c>
      <c r="BI27" s="59">
        <f ca="1">AVERAGE(OFFSET($BH$3,0,0,'Données projet'!$E$11+1,1))-AVERAGE(OFFSET($H$3,0,0,'Données projet'!$E$11+1,1))</f>
        <v>304.91676868833792</v>
      </c>
      <c r="BJ27" s="59">
        <f t="shared" si="38"/>
        <v>365.95065044620048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162.79999999999995</v>
      </c>
      <c r="BZ27" s="13">
        <f>BY27*VLOOKUP('Données projet'!$B$12,Paramètres!$A$1:$I$89,3,0)*VLOOKUP('Données projet'!$B$12,Paramètres!$A$1:$I$89,5,0)</f>
        <v>76.190399999999983</v>
      </c>
      <c r="CA27" s="13">
        <f t="shared" si="39"/>
        <v>21.203088642228987</v>
      </c>
      <c r="CB27" s="20">
        <f t="shared" si="10"/>
        <v>169.62699271854879</v>
      </c>
      <c r="CC27" s="59">
        <f t="shared" si="11"/>
        <v>462.96032605188213</v>
      </c>
      <c r="CD27" s="59">
        <f ca="1">AVERAGE(OFFSET($CC$3,0,0,'Données projet'!$E$12+1,1))-AVERAGE(OFFSET($H$3,0,0,'Données projet'!$E$12+1,1))</f>
        <v>259.87681411271632</v>
      </c>
      <c r="CE27" s="59">
        <f t="shared" si="40"/>
        <v>191.8684235641158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5.4550250202433128</v>
      </c>
      <c r="CM27" s="21">
        <f>EXP(-LN(2)/2)*CM26+(1-EXP(-LN(2)/2))/(LN(2)/2)*CG27*CJ27*VLOOKUP('Données projet'!$B$12,Paramètres!$A$1:$I$89,3,0)*0.475*44/12</f>
        <v>1.8651941976531992</v>
      </c>
      <c r="CN27" s="22">
        <f t="shared" si="12"/>
        <v>7.3202192178965122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6.5</v>
      </c>
      <c r="CT27" s="12">
        <f>IF('Données projet'!$A$140&gt;35,CT26+CS27-DB26,IF(A27&lt;'Données projet'!$A$140,$CQ$205^A27,IF(A27='Données projet'!$A$140,'Données projet'!$B$140,CT26+CS27-DB26)))</f>
        <v>118</v>
      </c>
      <c r="CU27" s="17">
        <f>CT27*VLOOKUP('Données projet'!$B$13,Paramètres!$A$1:$I$89,3,0)*VLOOKUP('Données projet'!$B$13,Paramètres!$A$1:$I$89,5,0)</f>
        <v>55.223999999999997</v>
      </c>
      <c r="CV27" s="13">
        <f t="shared" si="41"/>
        <v>15.954979198073962</v>
      </c>
      <c r="CW27" s="20">
        <f t="shared" si="13"/>
        <v>123.97005543664547</v>
      </c>
      <c r="CX27" s="59">
        <f t="shared" si="14"/>
        <v>417.30338876997877</v>
      </c>
      <c r="CY27" s="59">
        <f ca="1">AVERAGE(OFFSET($CX$3,0,0,'Données projet'!$E$13+1,1))-AVERAGE(OFFSET($H$3,0,0,'Données projet'!$E$13+1,1))</f>
        <v>137.59122085719031</v>
      </c>
      <c r="CZ27" s="59">
        <f t="shared" si="42"/>
        <v>130.1134470448718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3.9207992332998804</v>
      </c>
      <c r="DH27" s="21">
        <f>EXP(-LN(2)/2)*DH26+(1-EXP(-LN(2)/2))/(LN(2)/2)*DB27*DE27*VLOOKUP('Données projet'!$B$13,Paramètres!$A$1:$I$89,3,0)*0.475*44/12</f>
        <v>1.3406083295632369</v>
      </c>
      <c r="DI27" s="22">
        <f t="shared" si="15"/>
        <v>5.2614075628631172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3.6388888888888888</v>
      </c>
      <c r="DO27" s="12">
        <f>IF('Données projet'!$A$166&gt;35,DO26+DN27-DW26,IF(A27&lt;'Données projet'!$A$166,$DL$205^A27,IF(A27='Données projet'!$A$166,'Données projet'!$B$166,DO26+DN27-DW26)))</f>
        <v>87.333333333333286</v>
      </c>
      <c r="DP27" s="17">
        <f>DO27*VLOOKUP('Données projet'!$B$14,Paramètres!$A$1:$I$89,3,0)*VLOOKUP('Données projet'!$B$14,Paramètres!$A$1:$I$89,5,0)</f>
        <v>88.555999999999955</v>
      </c>
      <c r="DQ27" s="13">
        <f t="shared" si="43"/>
        <v>24.216639808347114</v>
      </c>
      <c r="DR27" s="20">
        <f t="shared" si="16"/>
        <v>196.41234766620448</v>
      </c>
      <c r="DS27" s="59">
        <f t="shared" si="17"/>
        <v>489.7456809995378</v>
      </c>
      <c r="DT27" s="59">
        <f ca="1">AVERAGE(OFFSET($DS$3,0,0,'Données projet'!$E$14+1,1))-AVERAGE(OFFSET($H$3,0,0,'Données projet'!$E$14+1,1))</f>
        <v>313.90901812281373</v>
      </c>
      <c r="DU27" s="59">
        <f t="shared" si="44"/>
        <v>210.54265725995265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9.9262999999999995</v>
      </c>
      <c r="EJ27" s="12">
        <f>IF('Données projet'!$A$192&gt;35,EJ26+EI27-ER26,IF(A27&lt;'Données projet'!$A$192,$EG$205^A27,IF(A27='Données projet'!$A$192,'Données projet'!$B$192,EJ26+EI27-ER26)))</f>
        <v>173.91544999999999</v>
      </c>
      <c r="EK27" s="17">
        <f>EJ27*VLOOKUP('Données projet'!$B$15,Paramètres!$A$1:$I$89,3,0)*VLOOKUP('Données projet'!$B$15,Paramètres!$A$1:$I$89,5,0)</f>
        <v>138.36713201999999</v>
      </c>
      <c r="EL27" s="13">
        <f t="shared" si="45"/>
        <v>35.922683342121665</v>
      </c>
      <c r="EM27" s="20">
        <f t="shared" si="19"/>
        <v>303.55476175569521</v>
      </c>
      <c r="EN27" s="59">
        <f t="shared" si="20"/>
        <v>596.88809508902852</v>
      </c>
      <c r="EO27" s="59">
        <f ca="1">AVERAGE(OFFSET($EN$3,0,0,'Données projet'!$E$15+1,1))-AVERAGE(OFFSET($H$3,0,0,'Données projet'!$E$15+1,1))</f>
        <v>316.52407313312403</v>
      </c>
      <c r="EP27" s="59">
        <f t="shared" si="46"/>
        <v>340.55949748167382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7.9145000000000021</v>
      </c>
      <c r="FE27" s="12">
        <f>IF('Données projet'!$A$218&gt;35,FE26+FD27-FM26,IF(A27&lt;'Données projet'!$A$218,$FB$205^A27,IF(A27='Données projet'!$A$218,'Données projet'!$B$218,FE26+FD27-FM26)))</f>
        <v>138.81800000000001</v>
      </c>
      <c r="FF27" s="17">
        <f>FE27*VLOOKUP('Données projet'!$B$16,Paramètres!$A$1:$I$89,3,0)*VLOOKUP('Données projet'!$B$16,Paramètres!$A$1:$I$89,5,0)</f>
        <v>90.953553600000006</v>
      </c>
      <c r="FG27" s="13">
        <f t="shared" si="47"/>
        <v>24.795057907439027</v>
      </c>
      <c r="FH27" s="20">
        <f t="shared" si="22"/>
        <v>201.59549837545629</v>
      </c>
      <c r="FI27" s="59">
        <f t="shared" si="23"/>
        <v>494.92883170878963</v>
      </c>
      <c r="FJ27" s="59">
        <f ca="1">AVERAGE(OFFSET($FI$3,0,0,'Données projet'!$E$16+1,1))-AVERAGE(OFFSET($H$3,0,0,'Données projet'!$E$16+1,1))</f>
        <v>199.99826357281154</v>
      </c>
      <c r="FK27" s="59">
        <f t="shared" si="48"/>
        <v>214.67424457475136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204</v>
      </c>
      <c r="L28" s="12">
        <f>VLOOKUP(A28,'Données projet'!$A$35:$I$55,9,0)</f>
        <v>16.399999999999999</v>
      </c>
      <c r="M28" s="12">
        <f t="array" ref="M28">INDEX(L:L,MIN(IF(ISNUMBER(L28:L224),ROW(L28:L224),"")))</f>
        <v>16.399999999999999</v>
      </c>
      <c r="N28" s="13">
        <f>IF('Données projet'!$A$36&gt;35,N27+M28-V27,IF(A28&lt;'Données projet'!$A$36,$K$205^A28,IF(A28='Données projet'!$A$36,'Données projet'!$B$36,N27+M28-V27)))</f>
        <v>204.00000000000003</v>
      </c>
      <c r="O28" s="13">
        <f>N28*VLOOKUP('Données projet'!$B$9,Paramètres!$A$1:$I$89,3,0)*VLOOKUP('Données projet'!$B$9,Paramètres!$A$1:$I$89,5,0)</f>
        <v>121.99200000000003</v>
      </c>
      <c r="P28" s="13">
        <f t="shared" si="33"/>
        <v>32.139154469866327</v>
      </c>
      <c r="Q28" s="20">
        <f t="shared" si="2"/>
        <v>268.44509403501723</v>
      </c>
      <c r="R28" s="59">
        <f t="shared" si="0"/>
        <v>561.77842736835055</v>
      </c>
      <c r="S28" s="59">
        <f ca="1">AVERAGE(OFFSET($R$3,0,0,'Données projet'!$E$9+1,1))-AVERAGE(OFFSET($H$3,0,0,'Données projet'!$E$9+1,1))</f>
        <v>284.60021367910457</v>
      </c>
      <c r="T28" s="59">
        <f t="shared" si="34"/>
        <v>301.41905904220812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36</v>
      </c>
      <c r="W28" s="16">
        <f>IF(ISNA(VLOOKUP(A28,'Données projet'!$A$35:$I$55,5,0)),0%,VLOOKUP(A28,'Données projet'!$A$35:$I$55,5,0)*VLOOKUP('Données projet'!$B$9,Paramètres!$A$1:$I$89,7,0))</f>
        <v>0.315</v>
      </c>
      <c r="X28" s="16">
        <f>IF(ISNA(VLOOKUP(A28,'Données projet'!$A$35:$I$55,6,0)),0%,VLOOKUP(A28,'Données projet'!$A$35:$I$55,6,0)*VLOOKUP('Données projet'!$B$9,Paramètres!$A$1:$I$89,7,0))</f>
        <v>7.5600000000000001E-2</v>
      </c>
      <c r="Y28" s="16">
        <f>IF(ISNA(VLOOKUP(A28,'Données projet'!$A$35:$I$55,7,0)),0%,VLOOKUP(A28,'Données projet'!$A$35:$I$55,7,0))</f>
        <v>0.13200000000000001</v>
      </c>
      <c r="Z28" s="21">
        <f>EXP(-LN(2)/35)*Z27+(1-EXP(-LN(2)/35))/(LN(2)/35)*V28*W28*VLOOKUP('Données projet'!$B$9,Paramètres!$A$1:$I$89,3,0)*0.475*44/12</f>
        <v>12.390758713394813</v>
      </c>
      <c r="AA28" s="21">
        <f>EXP(-LN(2)/25)*AA27+(1-EXP(-LN(2)/25))/(LN(2)/25)*Calculateur!V28*Calculateur!X28*VLOOKUP('Données projet'!$B$9,Paramètres!$A$1:$I$89,3,0)*0.475*44/12</f>
        <v>5.323202183604236</v>
      </c>
      <c r="AB28" s="21">
        <f>EXP(-LN(2)/2)*AB27+(1-EXP(-LN(2)/2))/(LN(2)/2)*V28*Y28*VLOOKUP('Données projet'!$B$9,Paramètres!$A$1:$I$89,3,0)*0.475*44/12</f>
        <v>3.7337417031314426</v>
      </c>
      <c r="AC28" s="22">
        <f t="shared" si="3"/>
        <v>21.447702600130491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144</v>
      </c>
      <c r="AG28" s="12">
        <f>VLOOKUP(A28,'Données projet'!$A$61:$I$81,9,0)</f>
        <v>12.333333333333334</v>
      </c>
      <c r="AH28" s="12">
        <f t="array" ref="AH28">INDEX(AG:AG,MIN(IF(ISNUMBER(AG28:AG224),ROW(AG28:AG224),"")))</f>
        <v>12.333333333333334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86.112000000000009</v>
      </c>
      <c r="AK28" s="13">
        <f t="shared" si="35"/>
        <v>23.625136642852297</v>
      </c>
      <c r="AL28" s="20">
        <f t="shared" si="4"/>
        <v>191.12551298630106</v>
      </c>
      <c r="AM28" s="59">
        <f t="shared" si="5"/>
        <v>484.4588463196344</v>
      </c>
      <c r="AN28" s="59">
        <f ca="1">AVERAGE(OFFSET($AM$3,0,0,'Données projet'!$E$10+1,1))-AVERAGE(OFFSET($H$3,0,0,'Données projet'!$E$10+1,1))</f>
        <v>294.45857786714919</v>
      </c>
      <c r="AO28" s="59">
        <f t="shared" si="36"/>
        <v>221.9773436301067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0.315</v>
      </c>
      <c r="AS28" s="16">
        <f>IF(ISNA(VLOOKUP(A28,'Données projet'!$A$61:$I$81,6,0)),0%,VLOOKUP(A28,'Données projet'!$A$61:$I$81,6,0)*VLOOKUP('Données projet'!$B$10,Paramètres!$A$1:$I$89,7,0))</f>
        <v>7.5600000000000001E-2</v>
      </c>
      <c r="AT28" s="16">
        <f>IF(ISNA(VLOOKUP(A28,'Données projet'!$A$61:$I$81,7,0)),0%,VLOOKUP(A28,'Données projet'!$A$61:$I$81,7,0))</f>
        <v>0.13200000000000001</v>
      </c>
      <c r="AU28" s="21">
        <f>EXP(-LN(2)/35)*AU27+(1-EXP(-LN(2)/35))/(LN(2)/35)*AQ28*AR28*VLOOKUP('Données projet'!$B$10,Paramètres!$A$1:$I$89,3,0)*0.475*44/12</f>
        <v>4.2480440900094845</v>
      </c>
      <c r="AV28" s="21">
        <f>EXP(-LN(2)/25)*AV27+(1-EXP(-LN(2)/25))/(LN(2)/25)*Calculateur!AQ28*Calculateur!AS28*VLOOKUP('Données projet'!$B$10,Paramètres!$A$1:$I$89,3,0)*0.475*44/12</f>
        <v>3.9471729581749826</v>
      </c>
      <c r="AW28" s="21">
        <f>EXP(-LN(2)/2)*AW27+(1-EXP(-LN(2)/2))/(LN(2)/2)*AQ28*AT28*VLOOKUP('Données projet'!$B$10,Paramètres!$A$1:$I$89,3,0)*0.475*44/12</f>
        <v>3.2046063126149305</v>
      </c>
      <c r="AX28" s="21">
        <f t="shared" si="6"/>
        <v>11.399823360799399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218</v>
      </c>
      <c r="BB28" s="12">
        <f>VLOOKUP(A28,'Données projet'!$A$87:$I$107,9,0)</f>
        <v>28</v>
      </c>
      <c r="BC28" s="12">
        <f t="array" ref="BC28">INDEX(BB:BB,MIN(IF(ISNUMBER(BB28:BB224),ROW(BB28:BB224),"")))</f>
        <v>28</v>
      </c>
      <c r="BD28" s="12">
        <f>IF('Données projet'!$A$88&gt;35,BD27+BC28-BL27,IF(A28&lt;'Données projet'!$A$88,$BA$205^A28,IF(A28='Données projet'!$A$88,'Données projet'!$B$88,BD27+BC28-BL27)))</f>
        <v>218</v>
      </c>
      <c r="BE28" s="13">
        <f>BD28*VLOOKUP('Données projet'!$B$11,Paramètres!$A$1:$I$89,3,0)*VLOOKUP('Données projet'!$B$11,Paramètres!$A$1:$I$89,5,0)</f>
        <v>121.86199999999999</v>
      </c>
      <c r="BF28" s="13">
        <f t="shared" si="37"/>
        <v>32.108890276712884</v>
      </c>
      <c r="BG28" s="20">
        <f t="shared" si="7"/>
        <v>268.16596723194158</v>
      </c>
      <c r="BH28" s="59">
        <f t="shared" si="8"/>
        <v>561.49930056527489</v>
      </c>
      <c r="BI28" s="59">
        <f ca="1">AVERAGE(OFFSET($BH$3,0,0,'Données projet'!$E$11+1,1))-AVERAGE(OFFSET($H$3,0,0,'Données projet'!$E$11+1,1))</f>
        <v>304.91676868833792</v>
      </c>
      <c r="BJ28" s="59">
        <f t="shared" si="38"/>
        <v>365.95065044620048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14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0.30800000000000005</v>
      </c>
      <c r="BO28" s="16">
        <f>IF(ISNA(VLOOKUP(A28,'Données projet'!$A$87:$I$107,7,0)),0%,VLOOKUP(A28,'Données projet'!$A$87:$I$107,7,0))</f>
        <v>0.44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3.1849715576162865</v>
      </c>
      <c r="BR28" s="21">
        <f>EXP(-LN(2)/2)*BR27+(1-EXP(-LN(2)/2))/(LN(2)/2)*BL28*BO28*VLOOKUP('Données projet'!$B$11,Paramètres!$A$1:$I$89,3,0)*0.475*44/12</f>
        <v>3.898773982594534</v>
      </c>
      <c r="BS28" s="22">
        <f t="shared" si="9"/>
        <v>7.0837455402108205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171.99999999999994</v>
      </c>
      <c r="BZ28" s="13">
        <f>BY28*VLOOKUP('Données projet'!$B$12,Paramètres!$A$1:$I$89,3,0)*VLOOKUP('Données projet'!$B$12,Paramètres!$A$1:$I$89,5,0)</f>
        <v>80.495999999999981</v>
      </c>
      <c r="CA28" s="13">
        <f t="shared" si="39"/>
        <v>22.258415047134097</v>
      </c>
      <c r="CB28" s="20">
        <f t="shared" si="10"/>
        <v>178.96393954042514</v>
      </c>
      <c r="CC28" s="59">
        <f t="shared" si="11"/>
        <v>472.29727287375846</v>
      </c>
      <c r="CD28" s="59">
        <f ca="1">AVERAGE(OFFSET($CC$3,0,0,'Données projet'!$E$12+1,1))-AVERAGE(OFFSET($H$3,0,0,'Données projet'!$E$12+1,1))</f>
        <v>259.87681411271632</v>
      </c>
      <c r="CE28" s="59">
        <f t="shared" si="40"/>
        <v>191.8684235641158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5.3058570741974611</v>
      </c>
      <c r="CM28" s="21">
        <f>EXP(-LN(2)/2)*CM27+(1-EXP(-LN(2)/2))/(LN(2)/2)*CG28*CJ28*VLOOKUP('Données projet'!$B$12,Paramètres!$A$1:$I$89,3,0)*0.475*44/12</f>
        <v>1.3188914653903789</v>
      </c>
      <c r="CN28" s="22">
        <f t="shared" si="12"/>
        <v>6.6247485395878396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6.5</v>
      </c>
      <c r="CT28" s="12">
        <f>IF('Données projet'!$A$140&gt;35,CT27+CS28-DB27,IF(A28&lt;'Données projet'!$A$140,$CQ$205^A28,IF(A28='Données projet'!$A$140,'Données projet'!$B$140,CT27+CS28-DB27)))</f>
        <v>124.5</v>
      </c>
      <c r="CU28" s="17">
        <f>CT28*VLOOKUP('Données projet'!$B$13,Paramètres!$A$1:$I$89,3,0)*VLOOKUP('Données projet'!$B$13,Paramètres!$A$1:$I$89,5,0)</f>
        <v>58.266000000000005</v>
      </c>
      <c r="CV28" s="13">
        <f t="shared" si="41"/>
        <v>16.729113958144108</v>
      </c>
      <c r="CW28" s="20">
        <f t="shared" si="13"/>
        <v>130.61649014376766</v>
      </c>
      <c r="CX28" s="59">
        <f t="shared" si="14"/>
        <v>423.94982347710095</v>
      </c>
      <c r="CY28" s="59">
        <f ca="1">AVERAGE(OFFSET($CX$3,0,0,'Données projet'!$E$13+1,1))-AVERAGE(OFFSET($H$3,0,0,'Données projet'!$E$13+1,1))</f>
        <v>137.59122085719031</v>
      </c>
      <c r="CZ28" s="59">
        <f t="shared" si="42"/>
        <v>130.1134470448718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3.8135847720794245</v>
      </c>
      <c r="DH28" s="21">
        <f>EXP(-LN(2)/2)*DH27+(1-EXP(-LN(2)/2))/(LN(2)/2)*DB28*DE28*VLOOKUP('Données projet'!$B$13,Paramètres!$A$1:$I$89,3,0)*0.475*44/12</f>
        <v>0.94795324074933485</v>
      </c>
      <c r="DI28" s="22">
        <f t="shared" si="15"/>
        <v>4.7615380128287592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3.6388888888888888</v>
      </c>
      <c r="DO28" s="12">
        <f>IF('Données projet'!$A$166&gt;35,DO27+DN28-DW27,IF(A28&lt;'Données projet'!$A$166,$DL$205^A28,IF(A28='Données projet'!$A$166,'Données projet'!$B$166,DO27+DN28-DW27)))</f>
        <v>90.972222222222172</v>
      </c>
      <c r="DP28" s="17">
        <f>DO28*VLOOKUP('Données projet'!$B$14,Paramètres!$A$1:$I$89,3,0)*VLOOKUP('Données projet'!$B$14,Paramètres!$A$1:$I$89,5,0)</f>
        <v>92.245833333333294</v>
      </c>
      <c r="DQ28" s="13">
        <f t="shared" si="43"/>
        <v>25.106086495982034</v>
      </c>
      <c r="DR28" s="20">
        <f t="shared" si="16"/>
        <v>204.3879270360575</v>
      </c>
      <c r="DS28" s="59">
        <f t="shared" si="17"/>
        <v>497.72126036939085</v>
      </c>
      <c r="DT28" s="59">
        <f ca="1">AVERAGE(OFFSET($DS$3,0,0,'Données projet'!$E$14+1,1))-AVERAGE(OFFSET($H$3,0,0,'Données projet'!$E$14+1,1))</f>
        <v>313.90901812281373</v>
      </c>
      <c r="DU28" s="59">
        <f t="shared" si="44"/>
        <v>210.54265725995265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183.84174999999999</v>
      </c>
      <c r="EH28" s="12">
        <f>VLOOKUP(A28,'Données projet'!$A$191:$I$211,9,0)</f>
        <v>9.9262999999999995</v>
      </c>
      <c r="EI28" s="12">
        <f t="array" ref="EI28">INDEX(EH:EH,MIN(IF(ISNUMBER(EH28:EH224),ROW(EH28:EH224),"")))</f>
        <v>9.9262999999999995</v>
      </c>
      <c r="EJ28" s="12">
        <f>IF('Données projet'!$A$192&gt;35,EJ27+EI28-ER27,IF(A28&lt;'Données projet'!$A$192,$EG$205^A28,IF(A28='Données projet'!$A$192,'Données projet'!$B$192,EJ27+EI28-ER27)))</f>
        <v>183.84174999999999</v>
      </c>
      <c r="EK28" s="17">
        <f>EJ28*VLOOKUP('Données projet'!$B$15,Paramètres!$A$1:$I$89,3,0)*VLOOKUP('Données projet'!$B$15,Paramètres!$A$1:$I$89,5,0)</f>
        <v>146.26449630000002</v>
      </c>
      <c r="EL28" s="13">
        <f t="shared" si="45"/>
        <v>37.728437061237422</v>
      </c>
      <c r="EM28" s="20">
        <f t="shared" si="19"/>
        <v>320.45435893748851</v>
      </c>
      <c r="EN28" s="59">
        <f t="shared" si="20"/>
        <v>613.78769227082182</v>
      </c>
      <c r="EO28" s="59">
        <f ca="1">AVERAGE(OFFSET($EN$3,0,0,'Données projet'!$E$15+1,1))-AVERAGE(OFFSET($H$3,0,0,'Données projet'!$E$15+1,1))</f>
        <v>316.52407313312403</v>
      </c>
      <c r="EP28" s="59">
        <f t="shared" si="46"/>
        <v>340.55949748167382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30.64029166666667</v>
      </c>
      <c r="ES28" s="16">
        <f>IF(ISNA(VLOOKUP(A28,'Données projet'!$A$191:$I$211,5,0)),0%,VLOOKUP(A28,'Données projet'!$A$191:$I$211,5,0)*VLOOKUP('Données projet'!$B$15,Paramètres!$A$1:$I$89,7,0))</f>
        <v>0.371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9.9978977193184964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9.9978977193184964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146.73250000000002</v>
      </c>
      <c r="FC28" s="12">
        <f>VLOOKUP(A28,'Données projet'!$A$217:$I$237,9,0)</f>
        <v>7.9145000000000021</v>
      </c>
      <c r="FD28" s="12">
        <f t="array" ref="FD28">INDEX(FC:FC,MIN(IF(ISNUMBER(FC28:FC224),ROW(FC28:FC224),"")))</f>
        <v>7.9145000000000021</v>
      </c>
      <c r="FE28" s="12">
        <f>IF('Données projet'!$A$218&gt;35,FE27+FD28-FM27,IF(A28&lt;'Données projet'!$A$218,$FB$205^A28,IF(A28='Données projet'!$A$218,'Données projet'!$B$218,FE27+FD28-FM27)))</f>
        <v>146.73250000000002</v>
      </c>
      <c r="FF28" s="17">
        <f>FE28*VLOOKUP('Données projet'!$B$16,Paramètres!$A$1:$I$89,3,0)*VLOOKUP('Données projet'!$B$16,Paramètres!$A$1:$I$89,5,0)</f>
        <v>96.139134000000013</v>
      </c>
      <c r="FG28" s="13">
        <f t="shared" si="47"/>
        <v>26.040102338896133</v>
      </c>
      <c r="FH28" s="20">
        <f t="shared" si="22"/>
        <v>212.79550329024411</v>
      </c>
      <c r="FI28" s="59">
        <f t="shared" si="23"/>
        <v>506.1288366235774</v>
      </c>
      <c r="FJ28" s="59">
        <f ca="1">AVERAGE(OFFSET($FI$3,0,0,'Données projet'!$E$16+1,1))-AVERAGE(OFFSET($H$3,0,0,'Données projet'!$E$16+1,1))</f>
        <v>199.99826357281154</v>
      </c>
      <c r="FK28" s="59">
        <f t="shared" si="48"/>
        <v>214.67424457475136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24.455416666666672</v>
      </c>
      <c r="FN28" s="16">
        <f>IF(ISNA(VLOOKUP(A28,'Données projet'!$A$217:$I$237,5,0)),0%,VLOOKUP(A28,'Données projet'!$A$217:$I$237,5,0)*VLOOKUP('Données projet'!$B$16,Paramètres!$A$1:$I$89,7,0))</f>
        <v>0.30099999999999999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5.331661408372617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5.331661408372617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17.600000000000001</v>
      </c>
      <c r="N29" s="13">
        <f>IF('Données projet'!$A$36&gt;35,N28+M29-V28,IF(A29&lt;'Données projet'!$A$36,$K$205^A29,IF(A29='Données projet'!$A$36,'Données projet'!$B$36,N28+M29-V28)))</f>
        <v>185.60000000000002</v>
      </c>
      <c r="O29" s="13">
        <f>N29*VLOOKUP('Données projet'!$B$9,Paramètres!$A$1:$I$89,3,0)*VLOOKUP('Données projet'!$B$9,Paramètres!$A$1:$I$89,5,0)</f>
        <v>110.98880000000003</v>
      </c>
      <c r="P29" s="13">
        <f t="shared" si="33"/>
        <v>29.56383208945169</v>
      </c>
      <c r="Q29" s="20">
        <f t="shared" si="2"/>
        <v>244.79583422246174</v>
      </c>
      <c r="R29" s="59">
        <f t="shared" si="0"/>
        <v>538.12916755579499</v>
      </c>
      <c r="S29" s="59">
        <f ca="1">AVERAGE(OFFSET($R$3,0,0,'Données projet'!$E$9+1,1))-AVERAGE(OFFSET($H$3,0,0,'Données projet'!$E$9+1,1))</f>
        <v>284.60021367910457</v>
      </c>
      <c r="T29" s="59">
        <f t="shared" si="34"/>
        <v>301.41905904220812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12.147783492641704</v>
      </c>
      <c r="AA29" s="21">
        <f>EXP(-LN(2)/25)*AA28+(1-EXP(-LN(2)/25))/(LN(2)/25)*Calculateur!V29*Calculateur!X29*VLOOKUP('Données projet'!$B$9,Paramètres!$A$1:$I$89,3,0)*0.475*44/12</f>
        <v>5.1776389399585421</v>
      </c>
      <c r="AB29" s="21">
        <f>EXP(-LN(2)/2)*AB28+(1-EXP(-LN(2)/2))/(LN(2)/2)*V29*Y29*VLOOKUP('Données projet'!$B$9,Paramètres!$A$1:$I$89,3,0)*0.475*44/12</f>
        <v>2.6401540774832526</v>
      </c>
      <c r="AC29" s="22">
        <f t="shared" si="3"/>
        <v>19.965576510083498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140.40000000000003</v>
      </c>
      <c r="AJ29" s="13">
        <f>AI29*VLOOKUP('Données projet'!$B$10,Paramètres!$A$1:$I$89,3,0)*VLOOKUP('Données projet'!$B$10,Paramètres!$A$1:$I$89,5,0)</f>
        <v>83.959200000000024</v>
      </c>
      <c r="AK29" s="13">
        <f t="shared" si="35"/>
        <v>23.102490880810642</v>
      </c>
      <c r="AL29" s="20">
        <f t="shared" si="4"/>
        <v>186.46577828407854</v>
      </c>
      <c r="AM29" s="59">
        <f t="shared" si="5"/>
        <v>479.79911161741188</v>
      </c>
      <c r="AN29" s="59">
        <f ca="1">AVERAGE(OFFSET($AM$3,0,0,'Données projet'!$E$10+1,1))-AVERAGE(OFFSET($H$3,0,0,'Données projet'!$E$10+1,1))</f>
        <v>294.45857786714919</v>
      </c>
      <c r="AO29" s="59">
        <f t="shared" si="36"/>
        <v>221.9773436301067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4.1647425364554485</v>
      </c>
      <c r="AV29" s="21">
        <f>EXP(-LN(2)/25)*AV28+(1-EXP(-LN(2)/25))/(LN(2)/25)*Calculateur!AQ29*Calculateur!AS29*VLOOKUP('Données projet'!$B$10,Paramètres!$A$1:$I$89,3,0)*0.475*44/12</f>
        <v>3.8392373060608831</v>
      </c>
      <c r="AW29" s="21">
        <f>EXP(-LN(2)/2)*AW28+(1-EXP(-LN(2)/2))/(LN(2)/2)*AQ29*AT29*VLOOKUP('Données projet'!$B$10,Paramètres!$A$1:$I$89,3,0)*0.475*44/12</f>
        <v>2.2659988546832346</v>
      </c>
      <c r="AX29" s="21">
        <f t="shared" si="6"/>
        <v>10.269978697199566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24.8</v>
      </c>
      <c r="BD29" s="12">
        <f>IF('Données projet'!$A$88&gt;35,BD28+BC29-BL28,IF(A29&lt;'Données projet'!$A$88,$BA$205^A29,IF(A29='Données projet'!$A$88,'Données projet'!$B$88,BD28+BC29-BL28)))</f>
        <v>228.8</v>
      </c>
      <c r="BE29" s="13">
        <f>BD29*VLOOKUP('Données projet'!$B$11,Paramètres!$A$1:$I$89,3,0)*VLOOKUP('Données projet'!$B$11,Paramètres!$A$1:$I$89,5,0)</f>
        <v>127.89920000000001</v>
      </c>
      <c r="BF29" s="13">
        <f t="shared" si="37"/>
        <v>33.510466808314675</v>
      </c>
      <c r="BG29" s="20">
        <f t="shared" si="7"/>
        <v>281.12183635781474</v>
      </c>
      <c r="BH29" s="59">
        <f t="shared" si="8"/>
        <v>574.45516969114806</v>
      </c>
      <c r="BI29" s="59">
        <f ca="1">AVERAGE(OFFSET($BH$3,0,0,'Données projet'!$E$11+1,1))-AVERAGE(OFFSET($H$3,0,0,'Données projet'!$E$11+1,1))</f>
        <v>304.91676868833792</v>
      </c>
      <c r="BJ29" s="59">
        <f t="shared" si="38"/>
        <v>365.95065044620048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3.0978783428828942</v>
      </c>
      <c r="BR29" s="21">
        <f>EXP(-LN(2)/2)*BR28+(1-EXP(-LN(2)/2))/(LN(2)/2)*BL29*BO29*VLOOKUP('Données projet'!$B$11,Paramètres!$A$1:$I$89,3,0)*0.475*44/12</f>
        <v>2.7568495214062776</v>
      </c>
      <c r="BS29" s="22">
        <f t="shared" si="9"/>
        <v>5.8547278642891722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181.19999999999993</v>
      </c>
      <c r="BZ29" s="13">
        <f>BY29*VLOOKUP('Données projet'!$B$12,Paramètres!$A$1:$I$89,3,0)*VLOOKUP('Données projet'!$B$12,Paramètres!$A$1:$I$89,5,0)</f>
        <v>84.801599999999965</v>
      </c>
      <c r="CA29" s="13">
        <f t="shared" si="39"/>
        <v>23.30718805376894</v>
      </c>
      <c r="CB29" s="20">
        <f t="shared" si="10"/>
        <v>188.28947252698083</v>
      </c>
      <c r="CC29" s="59">
        <f t="shared" si="11"/>
        <v>481.62280586031414</v>
      </c>
      <c r="CD29" s="59">
        <f ca="1">AVERAGE(OFFSET($CC$3,0,0,'Données projet'!$E$12+1,1))-AVERAGE(OFFSET($H$3,0,0,'Données projet'!$E$12+1,1))</f>
        <v>259.87681411271632</v>
      </c>
      <c r="CE29" s="59">
        <f t="shared" si="40"/>
        <v>191.8684235641158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5.1607681334806346</v>
      </c>
      <c r="CM29" s="21">
        <f>EXP(-LN(2)/2)*CM28+(1-EXP(-LN(2)/2))/(LN(2)/2)*CG29*CJ29*VLOOKUP('Données projet'!$B$12,Paramètres!$A$1:$I$89,3,0)*0.475*44/12</f>
        <v>0.9325970988265998</v>
      </c>
      <c r="CN29" s="22">
        <f t="shared" si="12"/>
        <v>6.0933652323072343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6.5</v>
      </c>
      <c r="CT29" s="12">
        <f>IF('Données projet'!$A$140&gt;35,CT28+CS29-DB28,IF(A29&lt;'Données projet'!$A$140,$CQ$205^A29,IF(A29='Données projet'!$A$140,'Données projet'!$B$140,CT28+CS29-DB28)))</f>
        <v>131</v>
      </c>
      <c r="CU29" s="17">
        <f>CT29*VLOOKUP('Données projet'!$B$13,Paramètres!$A$1:$I$89,3,0)*VLOOKUP('Données projet'!$B$13,Paramètres!$A$1:$I$89,5,0)</f>
        <v>61.308</v>
      </c>
      <c r="CV29" s="13">
        <f t="shared" si="41"/>
        <v>17.498556232826882</v>
      </c>
      <c r="CW29" s="20">
        <f t="shared" si="13"/>
        <v>137.25475210550681</v>
      </c>
      <c r="CX29" s="59">
        <f t="shared" si="14"/>
        <v>430.58808543884015</v>
      </c>
      <c r="CY29" s="59">
        <f ca="1">AVERAGE(OFFSET($CX$3,0,0,'Données projet'!$E$13+1,1))-AVERAGE(OFFSET($H$3,0,0,'Données projet'!$E$13+1,1))</f>
        <v>137.59122085719031</v>
      </c>
      <c r="CZ29" s="59">
        <f t="shared" si="42"/>
        <v>130.1134470448718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3.7093020959392056</v>
      </c>
      <c r="DH29" s="21">
        <f>EXP(-LN(2)/2)*DH28+(1-EXP(-LN(2)/2))/(LN(2)/2)*DB29*DE29*VLOOKUP('Données projet'!$B$13,Paramètres!$A$1:$I$89,3,0)*0.475*44/12</f>
        <v>0.67030416478161858</v>
      </c>
      <c r="DI29" s="22">
        <f t="shared" si="15"/>
        <v>4.3796062607208244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3.6388888888888888</v>
      </c>
      <c r="DO29" s="12">
        <f>IF('Données projet'!$A$166&gt;35,DO28+DN29-DW28,IF(A29&lt;'Données projet'!$A$166,$DL$205^A29,IF(A29='Données projet'!$A$166,'Données projet'!$B$166,DO28+DN29-DW28)))</f>
        <v>94.611111111111057</v>
      </c>
      <c r="DP29" s="17">
        <f>DO29*VLOOKUP('Données projet'!$B$14,Paramètres!$A$1:$I$89,3,0)*VLOOKUP('Données projet'!$B$14,Paramètres!$A$1:$I$89,5,0)</f>
        <v>95.93566666666662</v>
      </c>
      <c r="DQ29" s="13">
        <f t="shared" si="43"/>
        <v>25.991400381795867</v>
      </c>
      <c r="DR29" s="20">
        <f t="shared" si="16"/>
        <v>212.35630844273882</v>
      </c>
      <c r="DS29" s="59">
        <f t="shared" si="17"/>
        <v>505.68964177607211</v>
      </c>
      <c r="DT29" s="59">
        <f ca="1">AVERAGE(OFFSET($DS$3,0,0,'Données projet'!$E$14+1,1))-AVERAGE(OFFSET($H$3,0,0,'Données projet'!$E$14+1,1))</f>
        <v>313.90901812281373</v>
      </c>
      <c r="DU29" s="59">
        <f t="shared" si="44"/>
        <v>210.54265725995265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12.454300000000007</v>
      </c>
      <c r="EJ29" s="12">
        <f>IF('Données projet'!$A$192&gt;35,EJ28+EI29-ER28,IF(A29&lt;'Données projet'!$A$192,$EG$205^A29,IF(A29='Données projet'!$A$192,'Données projet'!$B$192,EJ28+EI29-ER28)))</f>
        <v>165.65575833333332</v>
      </c>
      <c r="EK29" s="17">
        <f>EJ29*VLOOKUP('Données projet'!$B$15,Paramètres!$A$1:$I$89,3,0)*VLOOKUP('Données projet'!$B$15,Paramètres!$A$1:$I$89,5,0)</f>
        <v>131.79572132999999</v>
      </c>
      <c r="EL29" s="13">
        <f t="shared" si="45"/>
        <v>34.410965928595736</v>
      </c>
      <c r="EM29" s="20">
        <f t="shared" si="19"/>
        <v>289.4766469753875</v>
      </c>
      <c r="EN29" s="59">
        <f t="shared" si="20"/>
        <v>582.80998030872081</v>
      </c>
      <c r="EO29" s="59">
        <f ca="1">AVERAGE(OFFSET($EN$3,0,0,'Données projet'!$E$15+1,1))-AVERAGE(OFFSET($H$3,0,0,'Données projet'!$E$15+1,1))</f>
        <v>316.52407313312403</v>
      </c>
      <c r="EP29" s="59">
        <f t="shared" si="46"/>
        <v>340.55949748167382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9.8018450431581297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9.8018450431581297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9.9205000000000041</v>
      </c>
      <c r="FE29" s="12">
        <f>IF('Données projet'!$A$218&gt;35,FE28+FD29-FM28,IF(A29&lt;'Données projet'!$A$218,$FB$205^A29,IF(A29='Données projet'!$A$218,'Données projet'!$B$218,FE28+FD29-FM28)))</f>
        <v>132.19758333333334</v>
      </c>
      <c r="FF29" s="17">
        <f>FE29*VLOOKUP('Données projet'!$B$16,Paramètres!$A$1:$I$89,3,0)*VLOOKUP('Données projet'!$B$16,Paramètres!$A$1:$I$89,5,0)</f>
        <v>86.615856600000001</v>
      </c>
      <c r="FG29" s="13">
        <f t="shared" si="47"/>
        <v>23.74723946837636</v>
      </c>
      <c r="FH29" s="20">
        <f t="shared" si="22"/>
        <v>192.21572565242215</v>
      </c>
      <c r="FI29" s="59">
        <f t="shared" si="23"/>
        <v>485.54905898575544</v>
      </c>
      <c r="FJ29" s="59">
        <f ca="1">AVERAGE(OFFSET($FI$3,0,0,'Données projet'!$E$16+1,1))-AVERAGE(OFFSET($H$3,0,0,'Données projet'!$E$16+1,1))</f>
        <v>199.99826357281154</v>
      </c>
      <c r="FK29" s="59">
        <f t="shared" si="48"/>
        <v>214.67424457475136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5.2271107801467815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5.2271107801467815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17.600000000000001</v>
      </c>
      <c r="N30" s="13">
        <f>IF('Données projet'!$A$36&gt;35,N29+M30-V29,IF(A30&lt;'Données projet'!$A$36,$K$205^A30,IF(A30='Données projet'!$A$36,'Données projet'!$B$36,N29+M30-V29)))</f>
        <v>203.20000000000002</v>
      </c>
      <c r="O30" s="13">
        <f>N30*VLOOKUP('Données projet'!$B$9,Paramètres!$A$1:$I$89,3,0)*VLOOKUP('Données projet'!$B$9,Paramètres!$A$1:$I$89,5,0)</f>
        <v>121.51360000000001</v>
      </c>
      <c r="P30" s="13">
        <f t="shared" si="33"/>
        <v>32.027763694063836</v>
      </c>
      <c r="Q30" s="20">
        <f t="shared" si="2"/>
        <v>267.41787510049454</v>
      </c>
      <c r="R30" s="59">
        <f t="shared" si="0"/>
        <v>560.75120843382786</v>
      </c>
      <c r="S30" s="59">
        <f ca="1">AVERAGE(OFFSET($R$3,0,0,'Données projet'!$E$9+1,1))-AVERAGE(OFFSET($H$3,0,0,'Données projet'!$E$9+1,1))</f>
        <v>284.60021367910457</v>
      </c>
      <c r="T30" s="59">
        <f t="shared" si="34"/>
        <v>301.41905904220812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11.909572867767311</v>
      </c>
      <c r="AA30" s="21">
        <f>EXP(-LN(2)/25)*AA29+(1-EXP(-LN(2)/25))/(LN(2)/25)*Calculateur!V30*Calculateur!X30*VLOOKUP('Données projet'!$B$9,Paramètres!$A$1:$I$89,3,0)*0.475*44/12</f>
        <v>5.0360561308651777</v>
      </c>
      <c r="AB30" s="21">
        <f>EXP(-LN(2)/2)*AB29+(1-EXP(-LN(2)/2))/(LN(2)/2)*V30*Y30*VLOOKUP('Données projet'!$B$9,Paramètres!$A$1:$I$89,3,0)*0.475*44/12</f>
        <v>1.8668708515657217</v>
      </c>
      <c r="AC30" s="22">
        <f t="shared" si="3"/>
        <v>18.812499850198211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153.80000000000004</v>
      </c>
      <c r="AJ30" s="13">
        <f>AI30*VLOOKUP('Données projet'!$B$10,Paramètres!$A$1:$I$89,3,0)*VLOOKUP('Données projet'!$B$10,Paramètres!$A$1:$I$89,5,0)</f>
        <v>91.972400000000022</v>
      </c>
      <c r="AK30" s="13">
        <f t="shared" si="35"/>
        <v>25.040318527820091</v>
      </c>
      <c r="AL30" s="20">
        <f t="shared" si="4"/>
        <v>203.79715143595334</v>
      </c>
      <c r="AM30" s="59">
        <f t="shared" si="5"/>
        <v>497.13048476928668</v>
      </c>
      <c r="AN30" s="59">
        <f ca="1">AVERAGE(OFFSET($AM$3,0,0,'Données projet'!$E$10+1,1))-AVERAGE(OFFSET($H$3,0,0,'Données projet'!$E$10+1,1))</f>
        <v>294.45857786714919</v>
      </c>
      <c r="AO30" s="59">
        <f t="shared" si="36"/>
        <v>221.9773436301067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4.0830744755576767</v>
      </c>
      <c r="AV30" s="21">
        <f>EXP(-LN(2)/25)*AV29+(1-EXP(-LN(2)/25))/(LN(2)/25)*Calculateur!AQ30*Calculateur!AS30*VLOOKUP('Données projet'!$B$10,Paramètres!$A$1:$I$89,3,0)*0.475*44/12</f>
        <v>3.7342531600299331</v>
      </c>
      <c r="AW30" s="21">
        <f>EXP(-LN(2)/2)*AW29+(1-EXP(-LN(2)/2))/(LN(2)/2)*AQ30*AT30*VLOOKUP('Données projet'!$B$10,Paramètres!$A$1:$I$89,3,0)*0.475*44/12</f>
        <v>1.6023031563074654</v>
      </c>
      <c r="AX30" s="21">
        <f t="shared" si="6"/>
        <v>9.4196307918950755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24.8</v>
      </c>
      <c r="BD30" s="12">
        <f>IF('Données projet'!$A$88&gt;35,BD29+BC30-BL29,IF(A30&lt;'Données projet'!$A$88,$BA$205^A30,IF(A30='Données projet'!$A$88,'Données projet'!$B$88,BD29+BC30-BL29)))</f>
        <v>253.60000000000002</v>
      </c>
      <c r="BE30" s="13">
        <f>BD30*VLOOKUP('Données projet'!$B$11,Paramètres!$A$1:$I$89,3,0)*VLOOKUP('Données projet'!$B$11,Paramètres!$A$1:$I$89,5,0)</f>
        <v>141.76240000000001</v>
      </c>
      <c r="BF30" s="13">
        <f t="shared" si="37"/>
        <v>36.70045216027021</v>
      </c>
      <c r="BG30" s="20">
        <f t="shared" si="7"/>
        <v>310.82280084580395</v>
      </c>
      <c r="BH30" s="59">
        <f t="shared" si="8"/>
        <v>604.15613417913733</v>
      </c>
      <c r="BI30" s="59">
        <f ca="1">AVERAGE(OFFSET($BH$3,0,0,'Données projet'!$E$11+1,1))-AVERAGE(OFFSET($H$3,0,0,'Données projet'!$E$11+1,1))</f>
        <v>304.91676868833792</v>
      </c>
      <c r="BJ30" s="59">
        <f t="shared" si="38"/>
        <v>365.95065044620048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3.0131666966864197</v>
      </c>
      <c r="BR30" s="21">
        <f>EXP(-LN(2)/2)*BR29+(1-EXP(-LN(2)/2))/(LN(2)/2)*BL30*BO30*VLOOKUP('Données projet'!$B$11,Paramètres!$A$1:$I$89,3,0)*0.475*44/12</f>
        <v>1.9493869912972672</v>
      </c>
      <c r="BS30" s="22">
        <f t="shared" si="9"/>
        <v>4.9625536879836867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190.39999999999992</v>
      </c>
      <c r="BZ30" s="13">
        <f>BY30*VLOOKUP('Données projet'!$B$12,Paramètres!$A$1:$I$89,3,0)*VLOOKUP('Données projet'!$B$12,Paramètres!$A$1:$I$89,5,0)</f>
        <v>89.107199999999963</v>
      </c>
      <c r="CA30" s="13">
        <f t="shared" si="39"/>
        <v>24.349778356363331</v>
      </c>
      <c r="CB30" s="20">
        <f t="shared" si="10"/>
        <v>197.60423730399938</v>
      </c>
      <c r="CC30" s="59">
        <f t="shared" si="11"/>
        <v>490.93757063733267</v>
      </c>
      <c r="CD30" s="59">
        <f ca="1">AVERAGE(OFFSET($CC$3,0,0,'Données projet'!$E$12+1,1))-AVERAGE(OFFSET($H$3,0,0,'Données projet'!$E$12+1,1))</f>
        <v>259.87681411271632</v>
      </c>
      <c r="CE30" s="59">
        <f t="shared" si="40"/>
        <v>191.8684235641158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5.0196466574776055</v>
      </c>
      <c r="CM30" s="21">
        <f>EXP(-LN(2)/2)*CM29+(1-EXP(-LN(2)/2))/(LN(2)/2)*CG30*CJ30*VLOOKUP('Données projet'!$B$12,Paramètres!$A$1:$I$89,3,0)*0.475*44/12</f>
        <v>0.65944573269518958</v>
      </c>
      <c r="CN30" s="22">
        <f t="shared" si="12"/>
        <v>5.6790923901727952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6.5</v>
      </c>
      <c r="CT30" s="12">
        <f>IF('Données projet'!$A$140&gt;35,CT29+CS30-DB29,IF(A30&lt;'Données projet'!$A$140,$CQ$205^A30,IF(A30='Données projet'!$A$140,'Données projet'!$B$140,CT29+CS30-DB29)))</f>
        <v>137.5</v>
      </c>
      <c r="CU30" s="17">
        <f>CT30*VLOOKUP('Données projet'!$B$13,Paramètres!$A$1:$I$89,3,0)*VLOOKUP('Données projet'!$B$13,Paramètres!$A$1:$I$89,5,0)</f>
        <v>64.350000000000009</v>
      </c>
      <c r="CV30" s="13">
        <f t="shared" si="41"/>
        <v>18.263565425931397</v>
      </c>
      <c r="CW30" s="20">
        <f t="shared" si="13"/>
        <v>143.88529311683052</v>
      </c>
      <c r="CX30" s="59">
        <f t="shared" si="14"/>
        <v>437.21862645016381</v>
      </c>
      <c r="CY30" s="59">
        <f ca="1">AVERAGE(OFFSET($CX$3,0,0,'Données projet'!$E$13+1,1))-AVERAGE(OFFSET($H$3,0,0,'Données projet'!$E$13+1,1))</f>
        <v>137.59122085719031</v>
      </c>
      <c r="CZ30" s="59">
        <f t="shared" si="42"/>
        <v>130.1134470448718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3.6078710350620287</v>
      </c>
      <c r="DH30" s="21">
        <f>EXP(-LN(2)/2)*DH29+(1-EXP(-LN(2)/2))/(LN(2)/2)*DB30*DE30*VLOOKUP('Données projet'!$B$13,Paramètres!$A$1:$I$89,3,0)*0.475*44/12</f>
        <v>0.47397662037466748</v>
      </c>
      <c r="DI30" s="22">
        <f t="shared" si="15"/>
        <v>4.0818476554366958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3.6388888888888888</v>
      </c>
      <c r="DO30" s="12">
        <f>IF('Données projet'!$A$166&gt;35,DO29+DN30-DW29,IF(A30&lt;'Données projet'!$A$166,$DL$205^A30,IF(A30='Données projet'!$A$166,'Données projet'!$B$166,DO29+DN30-DW29)))</f>
        <v>98.249999999999943</v>
      </c>
      <c r="DP30" s="17">
        <f>DO30*VLOOKUP('Données projet'!$B$14,Paramètres!$A$1:$I$89,3,0)*VLOOKUP('Données projet'!$B$14,Paramètres!$A$1:$I$89,5,0)</f>
        <v>99.62549999999996</v>
      </c>
      <c r="DQ30" s="13">
        <f t="shared" si="43"/>
        <v>26.872758614240439</v>
      </c>
      <c r="DR30" s="20">
        <f t="shared" si="16"/>
        <v>220.31780041980201</v>
      </c>
      <c r="DS30" s="59">
        <f t="shared" si="17"/>
        <v>513.65113375313535</v>
      </c>
      <c r="DT30" s="59">
        <f ca="1">AVERAGE(OFFSET($DS$3,0,0,'Données projet'!$E$14+1,1))-AVERAGE(OFFSET($H$3,0,0,'Données projet'!$E$14+1,1))</f>
        <v>313.90901812281373</v>
      </c>
      <c r="DU30" s="59">
        <f t="shared" si="44"/>
        <v>210.54265725995265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12.454300000000007</v>
      </c>
      <c r="EJ30" s="12">
        <f>IF('Données projet'!$A$192&gt;35,EJ29+EI30-ER29,IF(A30&lt;'Données projet'!$A$192,$EG$205^A30,IF(A30='Données projet'!$A$192,'Données projet'!$B$192,EJ29+EI30-ER29)))</f>
        <v>178.11005833333334</v>
      </c>
      <c r="EK30" s="17">
        <f>EJ30*VLOOKUP('Données projet'!$B$15,Paramètres!$A$1:$I$89,3,0)*VLOOKUP('Données projet'!$B$15,Paramètres!$A$1:$I$89,5,0)</f>
        <v>141.70436241000002</v>
      </c>
      <c r="EL30" s="13">
        <f t="shared" si="45"/>
        <v>36.687175593480227</v>
      </c>
      <c r="EM30" s="20">
        <f t="shared" si="19"/>
        <v>310.69859535606139</v>
      </c>
      <c r="EN30" s="59">
        <f t="shared" si="20"/>
        <v>604.0319286893947</v>
      </c>
      <c r="EO30" s="59">
        <f ca="1">AVERAGE(OFFSET($EN$3,0,0,'Données projet'!$E$15+1,1))-AVERAGE(OFFSET($H$3,0,0,'Données projet'!$E$15+1,1))</f>
        <v>316.52407313312403</v>
      </c>
      <c r="EP30" s="59">
        <f t="shared" si="46"/>
        <v>340.55949748167382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9.6096368403969432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9.6096368403969432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9.9205000000000041</v>
      </c>
      <c r="FE30" s="12">
        <f>IF('Données projet'!$A$218&gt;35,FE29+FD30-FM29,IF(A30&lt;'Données projet'!$A$218,$FB$205^A30,IF(A30='Données projet'!$A$218,'Données projet'!$B$218,FE29+FD30-FM29)))</f>
        <v>142.11808333333335</v>
      </c>
      <c r="FF30" s="17">
        <f>FE30*VLOOKUP('Données projet'!$B$16,Paramètres!$A$1:$I$89,3,0)*VLOOKUP('Données projet'!$B$16,Paramètres!$A$1:$I$89,5,0)</f>
        <v>93.115768200000005</v>
      </c>
      <c r="FG30" s="13">
        <f t="shared" si="47"/>
        <v>25.315178346715836</v>
      </c>
      <c r="FH30" s="20">
        <f t="shared" si="22"/>
        <v>206.26723190219673</v>
      </c>
      <c r="FI30" s="59">
        <f t="shared" si="23"/>
        <v>499.60056523553004</v>
      </c>
      <c r="FJ30" s="59">
        <f ca="1">AVERAGE(OFFSET($FI$3,0,0,'Données projet'!$E$16+1,1))-AVERAGE(OFFSET($H$3,0,0,'Données projet'!$E$16+1,1))</f>
        <v>199.99826357281154</v>
      </c>
      <c r="FK30" s="59">
        <f t="shared" si="48"/>
        <v>214.67424457475136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5.1246103259708686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5.1246103259708686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17.600000000000001</v>
      </c>
      <c r="N31" s="13">
        <f>IF('Données projet'!$A$36&gt;35,N30+M31-V30,IF(A31&lt;'Données projet'!$A$36,$K$205^A31,IF(A31='Données projet'!$A$36,'Données projet'!$B$36,N30+M31-V30)))</f>
        <v>220.8</v>
      </c>
      <c r="O31" s="13">
        <f>N31*VLOOKUP('Données projet'!$B$9,Paramètres!$A$1:$I$89,3,0)*VLOOKUP('Données projet'!$B$9,Paramètres!$A$1:$I$89,5,0)</f>
        <v>132.03840000000002</v>
      </c>
      <c r="P31" s="13">
        <f t="shared" si="33"/>
        <v>34.466946374534373</v>
      </c>
      <c r="Q31" s="20">
        <f t="shared" si="2"/>
        <v>289.99681160231404</v>
      </c>
      <c r="R31" s="59">
        <f t="shared" si="0"/>
        <v>583.33014493564735</v>
      </c>
      <c r="S31" s="59">
        <f ca="1">AVERAGE(OFFSET($R$3,0,0,'Données projet'!$E$9+1,1))-AVERAGE(OFFSET($H$3,0,0,'Données projet'!$E$9+1,1))</f>
        <v>284.60021367910457</v>
      </c>
      <c r="T31" s="59">
        <f t="shared" si="34"/>
        <v>301.41905904220812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11.676033407952572</v>
      </c>
      <c r="AA31" s="21">
        <f>EXP(-LN(2)/25)*AA30+(1-EXP(-LN(2)/25))/(LN(2)/25)*Calculateur!V31*Calculateur!X31*VLOOKUP('Données projet'!$B$9,Paramètres!$A$1:$I$89,3,0)*0.475*44/12</f>
        <v>4.8983449111319874</v>
      </c>
      <c r="AB31" s="21">
        <f>EXP(-LN(2)/2)*AB30+(1-EXP(-LN(2)/2))/(LN(2)/2)*V31*Y31*VLOOKUP('Données projet'!$B$9,Paramètres!$A$1:$I$89,3,0)*0.475*44/12</f>
        <v>1.3200770387416265</v>
      </c>
      <c r="AC31" s="22">
        <f t="shared" si="3"/>
        <v>17.894455357826185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167.20000000000005</v>
      </c>
      <c r="AJ31" s="13">
        <f>AI31*VLOOKUP('Données projet'!$B$10,Paramètres!$A$1:$I$89,3,0)*VLOOKUP('Données projet'!$B$10,Paramètres!$A$1:$I$89,5,0)</f>
        <v>99.985600000000034</v>
      </c>
      <c r="AK31" s="13">
        <f t="shared" si="35"/>
        <v>26.958566918169435</v>
      </c>
      <c r="AL31" s="20">
        <f t="shared" si="4"/>
        <v>221.09442404914515</v>
      </c>
      <c r="AM31" s="59">
        <f t="shared" si="5"/>
        <v>514.42775738247849</v>
      </c>
      <c r="AN31" s="59">
        <f ca="1">AVERAGE(OFFSET($AM$3,0,0,'Données projet'!$E$10+1,1))-AVERAGE(OFFSET($H$3,0,0,'Données projet'!$E$10+1,1))</f>
        <v>294.45857786714919</v>
      </c>
      <c r="AO31" s="59">
        <f t="shared" si="36"/>
        <v>221.9773436301067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4.0030078755215115</v>
      </c>
      <c r="AV31" s="21">
        <f>EXP(-LN(2)/25)*AV30+(1-EXP(-LN(2)/25))/(LN(2)/25)*Calculateur!AQ31*Calculateur!AS31*VLOOKUP('Données projet'!$B$10,Paramètres!$A$1:$I$89,3,0)*0.475*44/12</f>
        <v>3.6321398109930758</v>
      </c>
      <c r="AW31" s="21">
        <f>EXP(-LN(2)/2)*AW30+(1-EXP(-LN(2)/2))/(LN(2)/2)*AQ31*AT31*VLOOKUP('Données projet'!$B$10,Paramètres!$A$1:$I$89,3,0)*0.475*44/12</f>
        <v>1.1329994273416175</v>
      </c>
      <c r="AX31" s="21">
        <f t="shared" si="6"/>
        <v>8.7681471138562053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24.8</v>
      </c>
      <c r="BD31" s="12">
        <f>IF('Données projet'!$A$88&gt;35,BD30+BC31-BL30,IF(A31&lt;'Données projet'!$A$88,$BA$205^A31,IF(A31='Données projet'!$A$88,'Données projet'!$B$88,BD30+BC31-BL30)))</f>
        <v>278.40000000000003</v>
      </c>
      <c r="BE31" s="13">
        <f>BD31*VLOOKUP('Données projet'!$B$11,Paramètres!$A$1:$I$89,3,0)*VLOOKUP('Données projet'!$B$11,Paramètres!$A$1:$I$89,5,0)</f>
        <v>155.62560000000002</v>
      </c>
      <c r="BF31" s="13">
        <f t="shared" si="37"/>
        <v>39.854271109683154</v>
      </c>
      <c r="BG31" s="20">
        <f t="shared" si="7"/>
        <v>340.46077551603156</v>
      </c>
      <c r="BH31" s="59">
        <f t="shared" si="8"/>
        <v>633.79410884936487</v>
      </c>
      <c r="BI31" s="59">
        <f ca="1">AVERAGE(OFFSET($BH$3,0,0,'Données projet'!$E$11+1,1))-AVERAGE(OFFSET($H$3,0,0,'Données projet'!$E$11+1,1))</f>
        <v>304.91676868833792</v>
      </c>
      <c r="BJ31" s="59">
        <f t="shared" si="38"/>
        <v>365.95065044620048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2.9307714949099797</v>
      </c>
      <c r="BR31" s="21">
        <f>EXP(-LN(2)/2)*BR30+(1-EXP(-LN(2)/2))/(LN(2)/2)*BL31*BO31*VLOOKUP('Données projet'!$B$11,Paramètres!$A$1:$I$89,3,0)*0.475*44/12</f>
        <v>1.378424760703139</v>
      </c>
      <c r="BS31" s="22">
        <f t="shared" si="9"/>
        <v>4.3091962556131183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199.59999999999991</v>
      </c>
      <c r="BZ31" s="13">
        <f>BY31*VLOOKUP('Données projet'!$B$12,Paramètres!$A$1:$I$89,3,0)*VLOOKUP('Données projet'!$B$12,Paramètres!$A$1:$I$89,5,0)</f>
        <v>93.412799999999962</v>
      </c>
      <c r="CA31" s="13">
        <f t="shared" si="39"/>
        <v>25.386518801727536</v>
      </c>
      <c r="CB31" s="20">
        <f t="shared" si="10"/>
        <v>206.90881357967535</v>
      </c>
      <c r="CC31" s="59">
        <f t="shared" si="11"/>
        <v>500.2421469130087</v>
      </c>
      <c r="CD31" s="59">
        <f ca="1">AVERAGE(OFFSET($CC$3,0,0,'Données projet'!$E$12+1,1))-AVERAGE(OFFSET($H$3,0,0,'Données projet'!$E$12+1,1))</f>
        <v>259.87681411271632</v>
      </c>
      <c r="CE31" s="59">
        <f t="shared" si="40"/>
        <v>191.8684235641158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4.8823841556571352</v>
      </c>
      <c r="CM31" s="21">
        <f>EXP(-LN(2)/2)*CM30+(1-EXP(-LN(2)/2))/(LN(2)/2)*CG31*CJ31*VLOOKUP('Données projet'!$B$12,Paramètres!$A$1:$I$89,3,0)*0.475*44/12</f>
        <v>0.46629854941329996</v>
      </c>
      <c r="CN31" s="22">
        <f t="shared" si="12"/>
        <v>5.3486827050704351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6.5</v>
      </c>
      <c r="CT31" s="12">
        <f>IF('Données projet'!$A$140&gt;35,CT30+CS31-DB30,IF(A31&lt;'Données projet'!$A$140,$CQ$205^A31,IF(A31='Données projet'!$A$140,'Données projet'!$B$140,CT30+CS31-DB30)))</f>
        <v>144</v>
      </c>
      <c r="CU31" s="17">
        <f>CT31*VLOOKUP('Données projet'!$B$13,Paramètres!$A$1:$I$89,3,0)*VLOOKUP('Données projet'!$B$13,Paramètres!$A$1:$I$89,5,0)</f>
        <v>67.391999999999996</v>
      </c>
      <c r="CV31" s="13">
        <f t="shared" si="41"/>
        <v>19.02437502991798</v>
      </c>
      <c r="CW31" s="20">
        <f t="shared" si="13"/>
        <v>150.5085198437738</v>
      </c>
      <c r="CX31" s="59">
        <f t="shared" si="14"/>
        <v>443.84185317710711</v>
      </c>
      <c r="CY31" s="59">
        <f ca="1">AVERAGE(OFFSET($CX$3,0,0,'Données projet'!$E$13+1,1))-AVERAGE(OFFSET($H$3,0,0,'Données projet'!$E$13+1,1))</f>
        <v>137.59122085719031</v>
      </c>
      <c r="CZ31" s="59">
        <f t="shared" si="42"/>
        <v>130.1134470448718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3.5092136118785655</v>
      </c>
      <c r="DH31" s="21">
        <f>EXP(-LN(2)/2)*DH30+(1-EXP(-LN(2)/2))/(LN(2)/2)*DB31*DE31*VLOOKUP('Données projet'!$B$13,Paramètres!$A$1:$I$89,3,0)*0.475*44/12</f>
        <v>0.33515208239080935</v>
      </c>
      <c r="DI31" s="22">
        <f t="shared" si="15"/>
        <v>3.8443656942693747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3.6388888888888888</v>
      </c>
      <c r="DO31" s="12">
        <f>IF('Données projet'!$A$166&gt;35,DO30+DN31-DW30,IF(A31&lt;'Données projet'!$A$166,$DL$205^A31,IF(A31='Données projet'!$A$166,'Données projet'!$B$166,DO30+DN31-DW30)))</f>
        <v>101.88888888888883</v>
      </c>
      <c r="DP31" s="17">
        <f>DO31*VLOOKUP('Données projet'!$B$14,Paramètres!$A$1:$I$89,3,0)*VLOOKUP('Données projet'!$B$14,Paramètres!$A$1:$I$89,5,0)</f>
        <v>103.31533333333329</v>
      </c>
      <c r="DQ31" s="13">
        <f t="shared" si="43"/>
        <v>27.750324476164781</v>
      </c>
      <c r="DR31" s="20">
        <f t="shared" si="16"/>
        <v>228.27268735154249</v>
      </c>
      <c r="DS31" s="59">
        <f t="shared" si="17"/>
        <v>521.60602068487583</v>
      </c>
      <c r="DT31" s="59">
        <f ca="1">AVERAGE(OFFSET($DS$3,0,0,'Données projet'!$E$14+1,1))-AVERAGE(OFFSET($H$3,0,0,'Données projet'!$E$14+1,1))</f>
        <v>313.90901812281373</v>
      </c>
      <c r="DU31" s="59">
        <f t="shared" si="44"/>
        <v>210.54265725995265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12.454300000000007</v>
      </c>
      <c r="EJ31" s="12">
        <f>IF('Données projet'!$A$192&gt;35,EJ30+EI31-ER30,IF(A31&lt;'Données projet'!$A$192,$EG$205^A31,IF(A31='Données projet'!$A$192,'Données projet'!$B$192,EJ30+EI31-ER30)))</f>
        <v>190.56435833333336</v>
      </c>
      <c r="EK31" s="17">
        <f>EJ31*VLOOKUP('Données projet'!$B$15,Paramètres!$A$1:$I$89,3,0)*VLOOKUP('Données projet'!$B$15,Paramètres!$A$1:$I$89,5,0)</f>
        <v>151.61300349000001</v>
      </c>
      <c r="EL31" s="13">
        <f t="shared" si="45"/>
        <v>38.9449179544456</v>
      </c>
      <c r="EM31" s="20">
        <f t="shared" si="19"/>
        <v>331.8883798490761</v>
      </c>
      <c r="EN31" s="59">
        <f t="shared" si="20"/>
        <v>625.22171318240942</v>
      </c>
      <c r="EO31" s="59">
        <f ca="1">AVERAGE(OFFSET($EN$3,0,0,'Données projet'!$E$15+1,1))-AVERAGE(OFFSET($H$3,0,0,'Données projet'!$E$15+1,1))</f>
        <v>316.52407313312403</v>
      </c>
      <c r="EP31" s="59">
        <f t="shared" si="46"/>
        <v>340.55949748167382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9.4211977232564763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9.4211977232564763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9.9205000000000041</v>
      </c>
      <c r="FE31" s="12">
        <f>IF('Données projet'!$A$218&gt;35,FE30+FD31-FM30,IF(A31&lt;'Données projet'!$A$218,$FB$205^A31,IF(A31='Données projet'!$A$218,'Données projet'!$B$218,FE30+FD31-FM30)))</f>
        <v>152.03858333333335</v>
      </c>
      <c r="FF31" s="17">
        <f>FE31*VLOOKUP('Données projet'!$B$16,Paramètres!$A$1:$I$89,3,0)*VLOOKUP('Données projet'!$B$16,Paramètres!$A$1:$I$89,5,0)</f>
        <v>99.615679800000009</v>
      </c>
      <c r="FG31" s="13">
        <f t="shared" si="47"/>
        <v>26.870418051600232</v>
      </c>
      <c r="FH31" s="20">
        <f t="shared" si="22"/>
        <v>220.29662042487041</v>
      </c>
      <c r="FI31" s="59">
        <f t="shared" si="23"/>
        <v>513.62995375820378</v>
      </c>
      <c r="FJ31" s="59">
        <f ca="1">AVERAGE(OFFSET($FI$3,0,0,'Données projet'!$E$16+1,1))-AVERAGE(OFFSET($H$3,0,0,'Données projet'!$E$16+1,1))</f>
        <v>199.99826357281154</v>
      </c>
      <c r="FK31" s="59">
        <f t="shared" si="48"/>
        <v>214.67424457475136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5.0241198431822411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5.0241198431822411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17.600000000000001</v>
      </c>
      <c r="N32" s="13">
        <f>IF('Données projet'!$A$36&gt;35,N31+M32-V31,IF(A32&lt;'Données projet'!$A$36,$K$205^A32,IF(A32='Données projet'!$A$36,'Données projet'!$B$36,N31+M32-V31)))</f>
        <v>238.4</v>
      </c>
      <c r="O32" s="13">
        <f>N32*VLOOKUP('Données projet'!$B$9,Paramètres!$A$1:$I$89,3,0)*VLOOKUP('Données projet'!$B$9,Paramètres!$A$1:$I$89,5,0)</f>
        <v>142.56319999999999</v>
      </c>
      <c r="P32" s="13">
        <f t="shared" si="33"/>
        <v>36.883577154665602</v>
      </c>
      <c r="Q32" s="20">
        <f t="shared" si="2"/>
        <v>312.53647021104257</v>
      </c>
      <c r="R32" s="59">
        <f t="shared" si="0"/>
        <v>605.86980354437583</v>
      </c>
      <c r="S32" s="59">
        <f ca="1">AVERAGE(OFFSET($R$3,0,0,'Données projet'!$E$9+1,1))-AVERAGE(OFFSET($H$3,0,0,'Données projet'!$E$9+1,1))</f>
        <v>284.60021367910457</v>
      </c>
      <c r="T32" s="59">
        <f t="shared" si="34"/>
        <v>301.41905904220812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11.447073514499793</v>
      </c>
      <c r="AA32" s="21">
        <f>EXP(-LN(2)/25)*AA31+(1-EXP(-LN(2)/25))/(LN(2)/25)*Calculateur!V32*Calculateur!X32*VLOOKUP('Données projet'!$B$9,Paramètres!$A$1:$I$89,3,0)*0.475*44/12</f>
        <v>4.7643994119443196</v>
      </c>
      <c r="AB32" s="21">
        <f>EXP(-LN(2)/2)*AB31+(1-EXP(-LN(2)/2))/(LN(2)/2)*V32*Y32*VLOOKUP('Données projet'!$B$9,Paramètres!$A$1:$I$89,3,0)*0.475*44/12</f>
        <v>0.93343542578286098</v>
      </c>
      <c r="AC32" s="22">
        <f t="shared" si="3"/>
        <v>17.144908352226974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180.60000000000005</v>
      </c>
      <c r="AJ32" s="13">
        <f>AI32*VLOOKUP('Données projet'!$B$10,Paramètres!$A$1:$I$89,3,0)*VLOOKUP('Données projet'!$B$10,Paramètres!$A$1:$I$89,5,0)</f>
        <v>107.99880000000003</v>
      </c>
      <c r="AK32" s="13">
        <f t="shared" si="35"/>
        <v>28.85898360070161</v>
      </c>
      <c r="AL32" s="20">
        <f t="shared" si="4"/>
        <v>238.36063977122203</v>
      </c>
      <c r="AM32" s="59">
        <f t="shared" si="5"/>
        <v>531.69397310455531</v>
      </c>
      <c r="AN32" s="59">
        <f ca="1">AVERAGE(OFFSET($AM$3,0,0,'Données projet'!$E$10+1,1))-AVERAGE(OFFSET($H$3,0,0,'Données projet'!$E$10+1,1))</f>
        <v>294.45857786714919</v>
      </c>
      <c r="AO32" s="59">
        <f t="shared" si="36"/>
        <v>221.9773436301067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3.9245113326762513</v>
      </c>
      <c r="AV32" s="21">
        <f>EXP(-LN(2)/25)*AV31+(1-EXP(-LN(2)/25))/(LN(2)/25)*Calculateur!AQ32*Calculateur!AS32*VLOOKUP('Données projet'!$B$10,Paramètres!$A$1:$I$89,3,0)*0.475*44/12</f>
        <v>3.5328187568555389</v>
      </c>
      <c r="AW32" s="21">
        <f>EXP(-LN(2)/2)*AW31+(1-EXP(-LN(2)/2))/(LN(2)/2)*AQ32*AT32*VLOOKUP('Données projet'!$B$10,Paramètres!$A$1:$I$89,3,0)*0.475*44/12</f>
        <v>0.80115157815373284</v>
      </c>
      <c r="AX32" s="21">
        <f t="shared" si="6"/>
        <v>8.2584816676855226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24.8</v>
      </c>
      <c r="BD32" s="12">
        <f>IF('Données projet'!$A$88&gt;35,BD31+BC32-BL31,IF(A32&lt;'Données projet'!$A$88,$BA$205^A32,IF(A32='Données projet'!$A$88,'Données projet'!$B$88,BD31+BC32-BL31)))</f>
        <v>303.20000000000005</v>
      </c>
      <c r="BE32" s="13">
        <f>BD32*VLOOKUP('Données projet'!$B$11,Paramètres!$A$1:$I$89,3,0)*VLOOKUP('Données projet'!$B$11,Paramètres!$A$1:$I$89,5,0)</f>
        <v>169.48880000000003</v>
      </c>
      <c r="BF32" s="13">
        <f t="shared" si="37"/>
        <v>42.975511730949684</v>
      </c>
      <c r="BG32" s="20">
        <f t="shared" si="7"/>
        <v>370.04200959807071</v>
      </c>
      <c r="BH32" s="59">
        <f t="shared" si="8"/>
        <v>663.37534293140402</v>
      </c>
      <c r="BI32" s="59">
        <f ca="1">AVERAGE(OFFSET($BH$3,0,0,'Données projet'!$E$11+1,1))-AVERAGE(OFFSET($H$3,0,0,'Données projet'!$E$11+1,1))</f>
        <v>304.91676868833792</v>
      </c>
      <c r="BJ32" s="59">
        <f t="shared" si="38"/>
        <v>365.95065044620048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2.8506293942590917</v>
      </c>
      <c r="BR32" s="21">
        <f>EXP(-LN(2)/2)*BR31+(1-EXP(-LN(2)/2))/(LN(2)/2)*BL32*BO32*VLOOKUP('Données projet'!$B$11,Paramètres!$A$1:$I$89,3,0)*0.475*44/12</f>
        <v>0.97469349564863372</v>
      </c>
      <c r="BS32" s="22">
        <f t="shared" si="9"/>
        <v>3.8253228899077252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208.7999999999999</v>
      </c>
      <c r="BZ32" s="13">
        <f>BY32*VLOOKUP('Données projet'!$B$12,Paramètres!$A$1:$I$89,3,0)*VLOOKUP('Données projet'!$B$12,Paramètres!$A$1:$I$89,5,0)</f>
        <v>97.71839999999996</v>
      </c>
      <c r="CA32" s="13">
        <f t="shared" si="39"/>
        <v>26.417709819192172</v>
      </c>
      <c r="CB32" s="20">
        <f t="shared" si="10"/>
        <v>216.20372460175963</v>
      </c>
      <c r="CC32" s="59">
        <f t="shared" si="11"/>
        <v>509.53705793509295</v>
      </c>
      <c r="CD32" s="59">
        <f ca="1">AVERAGE(OFFSET($CC$3,0,0,'Données projet'!$E$12+1,1))-AVERAGE(OFFSET($H$3,0,0,'Données projet'!$E$12+1,1))</f>
        <v>259.87681411271632</v>
      </c>
      <c r="CE32" s="59">
        <f t="shared" si="40"/>
        <v>191.8684235641158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4.7488751041672668</v>
      </c>
      <c r="CM32" s="21">
        <f>EXP(-LN(2)/2)*CM31+(1-EXP(-LN(2)/2))/(LN(2)/2)*CG32*CJ32*VLOOKUP('Données projet'!$B$12,Paramètres!$A$1:$I$89,3,0)*0.475*44/12</f>
        <v>0.32972286634759485</v>
      </c>
      <c r="CN32" s="22">
        <f t="shared" si="12"/>
        <v>5.0785979705148616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6.5</v>
      </c>
      <c r="CT32" s="12">
        <f>IF('Données projet'!$A$140&gt;35,CT31+CS32-DB31,IF(A32&lt;'Données projet'!$A$140,$CQ$205^A32,IF(A32='Données projet'!$A$140,'Données projet'!$B$140,CT31+CS32-DB31)))</f>
        <v>150.5</v>
      </c>
      <c r="CU32" s="17">
        <f>CT32*VLOOKUP('Données projet'!$B$13,Paramètres!$A$1:$I$89,3,0)*VLOOKUP('Données projet'!$B$13,Paramètres!$A$1:$I$89,5,0)</f>
        <v>70.433999999999997</v>
      </c>
      <c r="CV32" s="13">
        <f t="shared" si="41"/>
        <v>19.78119626646561</v>
      </c>
      <c r="CW32" s="20">
        <f t="shared" si="13"/>
        <v>157.12480016409424</v>
      </c>
      <c r="CX32" s="59">
        <f t="shared" si="14"/>
        <v>450.45813349742753</v>
      </c>
      <c r="CY32" s="59">
        <f ca="1">AVERAGE(OFFSET($CX$3,0,0,'Données projet'!$E$13+1,1))-AVERAGE(OFFSET($H$3,0,0,'Données projet'!$E$13+1,1))</f>
        <v>137.59122085719031</v>
      </c>
      <c r="CZ32" s="59">
        <f t="shared" si="42"/>
        <v>130.1134470448718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3.4132539811202225</v>
      </c>
      <c r="DH32" s="21">
        <f>EXP(-LN(2)/2)*DH31+(1-EXP(-LN(2)/2))/(LN(2)/2)*DB32*DE32*VLOOKUP('Données projet'!$B$13,Paramètres!$A$1:$I$89,3,0)*0.475*44/12</f>
        <v>0.23698831018733379</v>
      </c>
      <c r="DI32" s="22">
        <f t="shared" si="15"/>
        <v>3.6502422913075563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3.6388888888888888</v>
      </c>
      <c r="DO32" s="12">
        <f>IF('Données projet'!$A$166&gt;35,DO31+DN32-DW31,IF(A32&lt;'Données projet'!$A$166,$DL$205^A32,IF(A32='Données projet'!$A$166,'Données projet'!$B$166,DO31+DN32-DW31)))</f>
        <v>105.52777777777771</v>
      </c>
      <c r="DP32" s="17">
        <f>DO32*VLOOKUP('Données projet'!$B$14,Paramètres!$A$1:$I$89,3,0)*VLOOKUP('Données projet'!$B$14,Paramètres!$A$1:$I$89,5,0)</f>
        <v>107.00516666666663</v>
      </c>
      <c r="DQ32" s="13">
        <f t="shared" si="43"/>
        <v>28.624248926198373</v>
      </c>
      <c r="DR32" s="20">
        <f t="shared" si="16"/>
        <v>236.22123215757321</v>
      </c>
      <c r="DS32" s="59">
        <f t="shared" si="17"/>
        <v>529.5545654909065</v>
      </c>
      <c r="DT32" s="59">
        <f ca="1">AVERAGE(OFFSET($DS$3,0,0,'Données projet'!$E$14+1,1))-AVERAGE(OFFSET($H$3,0,0,'Données projet'!$E$14+1,1))</f>
        <v>313.90901812281373</v>
      </c>
      <c r="DU32" s="59">
        <f t="shared" si="44"/>
        <v>210.54265725995265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12.454300000000007</v>
      </c>
      <c r="EJ32" s="12">
        <f>IF('Données projet'!$A$192&gt;35,EJ31+EI32-ER31,IF(A32&lt;'Données projet'!$A$192,$EG$205^A32,IF(A32='Données projet'!$A$192,'Données projet'!$B$192,EJ31+EI32-ER31)))</f>
        <v>203.01865833333338</v>
      </c>
      <c r="EK32" s="17">
        <f>EJ32*VLOOKUP('Données projet'!$B$15,Paramètres!$A$1:$I$89,3,0)*VLOOKUP('Données projet'!$B$15,Paramètres!$A$1:$I$89,5,0)</f>
        <v>161.52164457000003</v>
      </c>
      <c r="EL32" s="13">
        <f t="shared" si="45"/>
        <v>41.185537289048867</v>
      </c>
      <c r="EM32" s="20">
        <f t="shared" si="19"/>
        <v>353.04834173784343</v>
      </c>
      <c r="EN32" s="59">
        <f t="shared" si="20"/>
        <v>646.38167507117669</v>
      </c>
      <c r="EO32" s="59">
        <f ca="1">AVERAGE(OFFSET($EN$3,0,0,'Données projet'!$E$15+1,1))-AVERAGE(OFFSET($H$3,0,0,'Données projet'!$E$15+1,1))</f>
        <v>316.52407313312403</v>
      </c>
      <c r="EP32" s="59">
        <f t="shared" si="46"/>
        <v>340.55949748167382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9.2364537822666222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9.2364537822666222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9.9205000000000041</v>
      </c>
      <c r="FE32" s="12">
        <f>IF('Données projet'!$A$218&gt;35,FE31+FD32-FM31,IF(A32&lt;'Données projet'!$A$218,$FB$205^A32,IF(A32='Données projet'!$A$218,'Données projet'!$B$218,FE31+FD32-FM31)))</f>
        <v>161.95908333333335</v>
      </c>
      <c r="FF32" s="17">
        <f>FE32*VLOOKUP('Données projet'!$B$16,Paramètres!$A$1:$I$89,3,0)*VLOOKUP('Données projet'!$B$16,Paramètres!$A$1:$I$89,5,0)</f>
        <v>106.11559140000001</v>
      </c>
      <c r="FG32" s="13">
        <f t="shared" si="47"/>
        <v>28.41388150199279</v>
      </c>
      <c r="FH32" s="20">
        <f t="shared" si="22"/>
        <v>234.30549863763744</v>
      </c>
      <c r="FI32" s="59">
        <f t="shared" si="23"/>
        <v>527.63883197097073</v>
      </c>
      <c r="FJ32" s="59">
        <f ca="1">AVERAGE(OFFSET($FI$3,0,0,'Données projet'!$E$16+1,1))-AVERAGE(OFFSET($H$3,0,0,'Données projet'!$E$16+1,1))</f>
        <v>199.99826357281154</v>
      </c>
      <c r="FK32" s="59">
        <f t="shared" si="48"/>
        <v>214.67424457475136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4.9255999174679559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4.9255999174679559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256</v>
      </c>
      <c r="L33" s="12">
        <f>VLOOKUP(A33,'Données projet'!$A$35:$I$55,9,0)</f>
        <v>17.600000000000001</v>
      </c>
      <c r="M33" s="12">
        <f t="array" ref="M33">INDEX(L:L,MIN(IF(ISNUMBER(L33:L229),ROW(L33:L229),"")))</f>
        <v>17.600000000000001</v>
      </c>
      <c r="N33" s="13">
        <f>IF('Données projet'!$A$36&gt;35,N32+M33-V32,IF(A33&lt;'Données projet'!$A$36,$K$205^A33,IF(A33='Données projet'!$A$36,'Données projet'!$B$36,N32+M33-V32)))</f>
        <v>256</v>
      </c>
      <c r="O33" s="13">
        <f>N33*VLOOKUP('Données projet'!$B$9,Paramètres!$A$1:$I$89,3,0)*VLOOKUP('Données projet'!$B$9,Paramètres!$A$1:$I$89,5,0)</f>
        <v>153.08800000000002</v>
      </c>
      <c r="P33" s="13">
        <f t="shared" si="33"/>
        <v>39.27951026543515</v>
      </c>
      <c r="Q33" s="20">
        <f t="shared" si="2"/>
        <v>335.04008037896625</v>
      </c>
      <c r="R33" s="59">
        <f t="shared" si="0"/>
        <v>628.37341371229957</v>
      </c>
      <c r="S33" s="59">
        <f ca="1">AVERAGE(OFFSET($R$3,0,0,'Données projet'!$E$9+1,1))-AVERAGE(OFFSET($H$3,0,0,'Données projet'!$E$9+1,1))</f>
        <v>284.60021367910457</v>
      </c>
      <c r="T33" s="59">
        <f t="shared" si="34"/>
        <v>301.41905904220812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24.71639049434777</v>
      </c>
      <c r="AA33" s="21">
        <f>EXP(-LN(2)/25)*AA32+(1-EXP(-LN(2)/25))/(LN(2)/25)*Calculateur!V33*Calculateur!X33*VLOOKUP('Données projet'!$B$9,Paramètres!$A$1:$I$89,3,0)*0.475*44/12</f>
        <v>7.8598743222092766</v>
      </c>
      <c r="AB33" s="21">
        <f>EXP(-LN(2)/2)*AB32+(1-EXP(-LN(2)/2))/(LN(2)/2)*V33*Y33*VLOOKUP('Données projet'!$B$9,Paramètres!$A$1:$I$89,3,0)*0.475*44/12</f>
        <v>5.4862285057984659</v>
      </c>
      <c r="AC33" s="22">
        <f t="shared" si="3"/>
        <v>38.062493322355515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194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194.00000000000006</v>
      </c>
      <c r="AJ33" s="13">
        <f>AI33*VLOOKUP('Données projet'!$B$10,Paramètres!$A$1:$I$89,3,0)*VLOOKUP('Données projet'!$B$10,Paramètres!$A$1:$I$89,5,0)</f>
        <v>116.01200000000003</v>
      </c>
      <c r="AK33" s="13">
        <f t="shared" si="35"/>
        <v>30.743042086238173</v>
      </c>
      <c r="AL33" s="20">
        <f t="shared" si="4"/>
        <v>255.59836496686489</v>
      </c>
      <c r="AM33" s="59">
        <f t="shared" si="5"/>
        <v>548.93169830019815</v>
      </c>
      <c r="AN33" s="59">
        <f ca="1">AVERAGE(OFFSET($AM$3,0,0,'Données projet'!$E$10+1,1))-AVERAGE(OFFSET($H$3,0,0,'Données projet'!$E$10+1,1))</f>
        <v>294.45857786714919</v>
      </c>
      <c r="AO33" s="59">
        <f t="shared" si="36"/>
        <v>221.9773436301067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12.343642239176992</v>
      </c>
      <c r="AV33" s="21">
        <f>EXP(-LN(2)/25)*AV32+(1-EXP(-LN(2)/25))/(LN(2)/25)*Calculateur!AQ33*Calculateur!AS33*VLOOKUP('Données projet'!$B$10,Paramètres!$A$1:$I$89,3,0)*0.475*44/12</f>
        <v>5.4672462446282619</v>
      </c>
      <c r="AW33" s="21">
        <f>EXP(-LN(2)/2)*AW32+(1-EXP(-LN(2)/2))/(LN(2)/2)*AQ33*AT33*VLOOKUP('Données projet'!$B$10,Paramètres!$A$1:$I$89,3,0)*0.475*44/12</f>
        <v>3.605211927347479</v>
      </c>
      <c r="AX33" s="21">
        <f t="shared" si="6"/>
        <v>21.416100411152733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328</v>
      </c>
      <c r="BB33" s="12">
        <f>VLOOKUP(A33,'Données projet'!$A$87:$I$107,9,0)</f>
        <v>24.8</v>
      </c>
      <c r="BC33" s="12">
        <f t="array" ref="BC33">INDEX(BB:BB,MIN(IF(ISNUMBER(BB33:BB229),ROW(BB33:BB229),"")))</f>
        <v>24.8</v>
      </c>
      <c r="BD33" s="12">
        <f>IF('Données projet'!$A$88&gt;35,BD32+BC33-BL32,IF(A33&lt;'Données projet'!$A$88,$BA$205^A33,IF(A33='Données projet'!$A$88,'Données projet'!$B$88,BD32+BC33-BL32)))</f>
        <v>328.00000000000006</v>
      </c>
      <c r="BE33" s="13">
        <f>BD33*VLOOKUP('Données projet'!$B$11,Paramètres!$A$1:$I$89,3,0)*VLOOKUP('Données projet'!$B$11,Paramètres!$A$1:$I$89,5,0)</f>
        <v>183.35200000000003</v>
      </c>
      <c r="BF33" s="13">
        <f t="shared" si="37"/>
        <v>46.06714169356475</v>
      </c>
      <c r="BG33" s="20">
        <f t="shared" si="7"/>
        <v>399.57167178295862</v>
      </c>
      <c r="BH33" s="59">
        <f t="shared" si="8"/>
        <v>692.90500511629193</v>
      </c>
      <c r="BI33" s="59">
        <f ca="1">AVERAGE(OFFSET($BH$3,0,0,'Données projet'!$E$11+1,1))-AVERAGE(OFFSET($H$3,0,0,'Données projet'!$E$11+1,1))</f>
        <v>304.91676868833792</v>
      </c>
      <c r="BJ33" s="59">
        <f t="shared" si="38"/>
        <v>365.95065044620048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11.990855909651666</v>
      </c>
      <c r="BQ33" s="21">
        <f>EXP(-LN(2)/25)*BQ32+(1-EXP(-LN(2)/25))/(LN(2)/25)*Calculateur!BL33*Calculateur!BN33*VLOOKUP('Données projet'!$B$11,Paramètres!$A$1:$I$89,3,0)*0.475*44/12</f>
        <v>5.6391531854196497</v>
      </c>
      <c r="BR33" s="21">
        <f>EXP(-LN(2)/2)*BR32+(1-EXP(-LN(2)/2))/(LN(2)/2)*BL33*BO33*VLOOKUP('Données projet'!$B$11,Paramètres!$A$1:$I$89,3,0)*0.475*44/12</f>
        <v>4.198108964686651</v>
      </c>
      <c r="BS33" s="22">
        <f t="shared" si="9"/>
        <v>21.828118059757966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218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217.99999999999989</v>
      </c>
      <c r="BZ33" s="13">
        <f>BY33*VLOOKUP('Données projet'!$B$12,Paramètres!$A$1:$I$89,3,0)*VLOOKUP('Données projet'!$B$12,Paramètres!$A$1:$I$89,5,0)</f>
        <v>102.02399999999996</v>
      </c>
      <c r="CA33" s="13">
        <f t="shared" si="39"/>
        <v>27.443623866530572</v>
      </c>
      <c r="CB33" s="20">
        <f t="shared" si="10"/>
        <v>225.48944490087396</v>
      </c>
      <c r="CC33" s="59">
        <f t="shared" si="11"/>
        <v>518.82277823420725</v>
      </c>
      <c r="CD33" s="59">
        <f ca="1">AVERAGE(OFFSET($CC$3,0,0,'Données projet'!$E$12+1,1))-AVERAGE(OFFSET($H$3,0,0,'Données projet'!$E$12+1,1))</f>
        <v>259.87681411271632</v>
      </c>
      <c r="CE33" s="59">
        <f t="shared" si="40"/>
        <v>191.8684235641158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44</v>
      </c>
      <c r="CH33" s="16">
        <f>IF(ISNA(VLOOKUP(A33,'Données projet'!$A$113:$I$133,5,0)),0%,VLOOKUP(A33,'Données projet'!$A$113:$I$133,5,0)*VLOOKUP('Données projet'!$B$12,Paramètres!$A$1:$I$89,7,0))</f>
        <v>0.38500000000000001</v>
      </c>
      <c r="CI33" s="16">
        <f>IF(ISNA(VLOOKUP(A33,'Données projet'!$A$113:$I$133,6,0)),0%,VLOOKUP(A33,'Données projet'!$A$113:$I$133,6,0)*VLOOKUP('Données projet'!$B$12,Paramètres!$A$1:$I$89,7,0))</f>
        <v>9.3500000000000014E-2</v>
      </c>
      <c r="CJ33" s="16">
        <f>IF(ISNA(VLOOKUP(A33,'Données projet'!$A$113:$I$133,7,0)),0%,VLOOKUP(A33,'Données projet'!$A$113:$I$133,7,0))</f>
        <v>0.13</v>
      </c>
      <c r="CK33" s="21">
        <f>EXP(-LN(2)/35)*CK32+(1-EXP(-LN(2)/35))/(LN(2)/35)*CG33*CH33*VLOOKUP('Données projet'!$B$12,Paramètres!$A$1:$I$89,3,0)*0.475*44/12</f>
        <v>10.516896877568239</v>
      </c>
      <c r="CL33" s="21">
        <f>EXP(-LN(2)/25)*CL32+(1-EXP(-LN(2)/25))/(LN(2)/25)*Calculateur!CG33*Calculateur!CI33*VLOOKUP('Données projet'!$B$12,Paramètres!$A$1:$I$89,3,0)*0.475*44/12</f>
        <v>7.1630639133436027</v>
      </c>
      <c r="CM33" s="21">
        <f>EXP(-LN(2)/2)*CM32+(1-EXP(-LN(2)/2))/(LN(2)/2)*CG33*CJ33*VLOOKUP('Données projet'!$B$12,Paramètres!$A$1:$I$89,3,0)*0.475*44/12</f>
        <v>3.264089845893098</v>
      </c>
      <c r="CN33" s="22">
        <f t="shared" si="12"/>
        <v>20.944050636804938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157</v>
      </c>
      <c r="CR33" s="12">
        <f>VLOOKUP(A33,'Données projet'!$A$139:$I$159,9,0)</f>
        <v>6.5</v>
      </c>
      <c r="CS33" s="12">
        <f t="array" ref="CS33">INDEX(CR:CR,MIN(IF(ISNUMBER(CR33:CR229),ROW(CR33:CR229),"")))</f>
        <v>6.5</v>
      </c>
      <c r="CT33" s="12">
        <f>IF('Données projet'!$A$140&gt;35,CT32+CS33-DB32,IF(A33&lt;'Données projet'!$A$140,$CQ$205^A33,IF(A33='Données projet'!$A$140,'Données projet'!$B$140,CT32+CS33-DB32)))</f>
        <v>157</v>
      </c>
      <c r="CU33" s="17">
        <f>CT33*VLOOKUP('Données projet'!$B$13,Paramètres!$A$1:$I$89,3,0)*VLOOKUP('Données projet'!$B$13,Paramètres!$A$1:$I$89,5,0)</f>
        <v>73.475999999999999</v>
      </c>
      <c r="CV33" s="13">
        <f t="shared" si="41"/>
        <v>20.534221080361672</v>
      </c>
      <c r="CW33" s="20">
        <f t="shared" si="13"/>
        <v>163.73446838162991</v>
      </c>
      <c r="CX33" s="59">
        <f t="shared" si="14"/>
        <v>457.06780171496325</v>
      </c>
      <c r="CY33" s="59">
        <f ca="1">AVERAGE(OFFSET($CX$3,0,0,'Données projet'!$E$13+1,1))-AVERAGE(OFFSET($H$3,0,0,'Données projet'!$E$13+1,1))</f>
        <v>137.59122085719031</v>
      </c>
      <c r="CZ33" s="59">
        <f t="shared" si="42"/>
        <v>130.1134470448718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31.400000000000002</v>
      </c>
      <c r="DC33" s="16">
        <f>IF(ISNA(VLOOKUP(A33,'Données projet'!$A$139:$I$159,5,0)),0%,VLOOKUP(A33,'Données projet'!$A$139:$I$159,5,0)*VLOOKUP('Données projet'!$B$13,Paramètres!$A$1:$I$89,7,0))</f>
        <v>0.38500000000000001</v>
      </c>
      <c r="DD33" s="16">
        <f>IF(ISNA(VLOOKUP(A33,'Données projet'!$A$139:$I$159,6,0)),0%,VLOOKUP(A33,'Données projet'!$A$139:$I$159,6,0)*VLOOKUP('Données projet'!$B$13,Paramètres!$A$1:$I$89,7,0))</f>
        <v>9.240000000000001E-2</v>
      </c>
      <c r="DE33" s="16">
        <f>IF(ISNA(VLOOKUP(A33,'Données projet'!$A$139:$I$159,7,0)),0%,VLOOKUP(A33,'Données projet'!$A$139:$I$159,7,0))</f>
        <v>0.13200000000000001</v>
      </c>
      <c r="DF33" s="21">
        <f>EXP(-LN(2)/35)*DF32+(1-EXP(-LN(2)/35))/(LN(2)/35)*DB33*DC33*VLOOKUP('Données projet'!$B$13,Paramètres!$A$1:$I$89,3,0)*0.475*44/12</f>
        <v>7.5052400444464249</v>
      </c>
      <c r="DG33" s="21">
        <f>EXP(-LN(2)/25)*DG32+(1-EXP(-LN(2)/25))/(LN(2)/25)*Calculateur!DB33*Calculateur!DD33*VLOOKUP('Données projet'!$B$13,Paramètres!$A$1:$I$89,3,0)*0.475*44/12</f>
        <v>5.1140837446322527</v>
      </c>
      <c r="DH33" s="21">
        <f>EXP(-LN(2)/2)*DH32+(1-EXP(-LN(2)/2))/(LN(2)/2)*DB33*DE33*VLOOKUP('Données projet'!$B$13,Paramètres!$A$1:$I$89,3,0)*0.475*44/12</f>
        <v>2.3638422089320463</v>
      </c>
      <c r="DI33" s="22">
        <f t="shared" si="15"/>
        <v>14.983165998010724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3.6388888888888888</v>
      </c>
      <c r="DO33" s="12">
        <f>IF('Données projet'!$A$166&gt;35,DO32+DN33-DW32,IF(A33&lt;'Données projet'!$A$166,$DL$205^A33,IF(A33='Données projet'!$A$166,'Données projet'!$B$166,DO32+DN33-DW32)))</f>
        <v>109.1666666666666</v>
      </c>
      <c r="DP33" s="17">
        <f>DO33*VLOOKUP('Données projet'!$B$14,Paramètres!$A$1:$I$89,3,0)*VLOOKUP('Données projet'!$B$14,Paramètres!$A$1:$I$89,5,0)</f>
        <v>110.69499999999994</v>
      </c>
      <c r="DQ33" s="13">
        <f t="shared" si="43"/>
        <v>29.494671921556481</v>
      </c>
      <c r="DR33" s="20">
        <f t="shared" si="16"/>
        <v>244.16367859671081</v>
      </c>
      <c r="DS33" s="59">
        <f t="shared" si="17"/>
        <v>537.4970119300441</v>
      </c>
      <c r="DT33" s="59">
        <f ca="1">AVERAGE(OFFSET($DS$3,0,0,'Données projet'!$E$14+1,1))-AVERAGE(OFFSET($H$3,0,0,'Données projet'!$E$14+1,1))</f>
        <v>313.90901812281373</v>
      </c>
      <c r="DU33" s="59">
        <f t="shared" si="44"/>
        <v>210.54265725995265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12.454300000000007</v>
      </c>
      <c r="EJ33" s="12">
        <f>IF('Données projet'!$A$192&gt;35,EJ32+EI33-ER32,IF(A33&lt;'Données projet'!$A$192,$EG$205^A33,IF(A33='Données projet'!$A$192,'Données projet'!$B$192,EJ32+EI33-ER32)))</f>
        <v>215.47295833333339</v>
      </c>
      <c r="EK33" s="17">
        <f>EJ33*VLOOKUP('Données projet'!$B$15,Paramètres!$A$1:$I$89,3,0)*VLOOKUP('Données projet'!$B$15,Paramètres!$A$1:$I$89,5,0)</f>
        <v>171.43028565000006</v>
      </c>
      <c r="EL33" s="13">
        <f t="shared" si="45"/>
        <v>43.410203623740777</v>
      </c>
      <c r="EM33" s="20">
        <f t="shared" si="19"/>
        <v>374.18051881843195</v>
      </c>
      <c r="EN33" s="59">
        <f t="shared" si="20"/>
        <v>667.51385215176526</v>
      </c>
      <c r="EO33" s="59">
        <f ca="1">AVERAGE(OFFSET($EN$3,0,0,'Données projet'!$E$15+1,1))-AVERAGE(OFFSET($H$3,0,0,'Données projet'!$E$15+1,1))</f>
        <v>316.52407313312403</v>
      </c>
      <c r="EP33" s="59">
        <f t="shared" si="46"/>
        <v>340.55949748167382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9.0553325572769019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9.0553325572769019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9.9205000000000041</v>
      </c>
      <c r="FE33" s="12">
        <f>IF('Données projet'!$A$218&gt;35,FE32+FD33-FM32,IF(A33&lt;'Données projet'!$A$218,$FB$205^A33,IF(A33='Données projet'!$A$218,'Données projet'!$B$218,FE32+FD33-FM32)))</f>
        <v>171.87958333333336</v>
      </c>
      <c r="FF33" s="17">
        <f>FE33*VLOOKUP('Données projet'!$B$16,Paramètres!$A$1:$I$89,3,0)*VLOOKUP('Données projet'!$B$16,Paramètres!$A$1:$I$89,5,0)</f>
        <v>112.61550300000003</v>
      </c>
      <c r="FG33" s="13">
        <f t="shared" si="47"/>
        <v>29.94637216450306</v>
      </c>
      <c r="FH33" s="20">
        <f t="shared" si="22"/>
        <v>248.29526591150952</v>
      </c>
      <c r="FI33" s="59">
        <f t="shared" si="23"/>
        <v>541.6285992448428</v>
      </c>
      <c r="FJ33" s="59">
        <f ca="1">AVERAGE(OFFSET($FI$3,0,0,'Données projet'!$E$16+1,1))-AVERAGE(OFFSET($H$3,0,0,'Données projet'!$E$16+1,1))</f>
        <v>199.99826357281154</v>
      </c>
      <c r="FK33" s="59">
        <f t="shared" si="48"/>
        <v>214.67424457475136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4.8290119074057074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4.8290119074057074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19.399999999999999</v>
      </c>
      <c r="N34" s="13">
        <f>IF('Données projet'!$A$36&gt;35,N33+M34-V33,IF(A34&lt;'Données projet'!$A$36,$K$205^A34,IF(A34='Données projet'!$A$36,'Données projet'!$B$36,N33+M34-V33)))</f>
        <v>221.39999999999998</v>
      </c>
      <c r="O34" s="13">
        <f>N34*VLOOKUP('Données projet'!$B$9,Paramètres!$A$1:$I$89,3,0)*VLOOKUP('Données projet'!$B$9,Paramètres!$A$1:$I$89,5,0)</f>
        <v>132.3972</v>
      </c>
      <c r="P34" s="13">
        <f t="shared" si="33"/>
        <v>34.549691434742741</v>
      </c>
      <c r="Q34" s="20">
        <f t="shared" si="2"/>
        <v>290.76583591551019</v>
      </c>
      <c r="R34" s="59">
        <f t="shared" si="0"/>
        <v>584.09916924884351</v>
      </c>
      <c r="S34" s="59">
        <f ca="1">AVERAGE(OFFSET($R$3,0,0,'Données projet'!$E$9+1,1))-AVERAGE(OFFSET($H$3,0,0,'Données projet'!$E$9+1,1))</f>
        <v>284.60021367910457</v>
      </c>
      <c r="T34" s="59">
        <f t="shared" si="34"/>
        <v>301.41905904220812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24.231717152263229</v>
      </c>
      <c r="AA34" s="21">
        <f>EXP(-LN(2)/25)*AA33+(1-EXP(-LN(2)/25))/(LN(2)/25)*Calculateur!V34*Calculateur!X34*VLOOKUP('Données projet'!$B$9,Paramètres!$A$1:$I$89,3,0)*0.475*44/12</f>
        <v>7.6449456455356373</v>
      </c>
      <c r="AB34" s="21">
        <f>EXP(-LN(2)/2)*AB33+(1-EXP(-LN(2)/2))/(LN(2)/2)*V34*Y34*VLOOKUP('Données projet'!$B$9,Paramètres!$A$1:$I$89,3,0)*0.475*44/12</f>
        <v>3.8793493795890357</v>
      </c>
      <c r="AC34" s="22">
        <f t="shared" si="3"/>
        <v>35.756012177387902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174.60000000000005</v>
      </c>
      <c r="AJ34" s="13">
        <f>AI34*VLOOKUP('Données projet'!$B$10,Paramètres!$A$1:$I$89,3,0)*VLOOKUP('Données projet'!$B$10,Paramètres!$A$1:$I$89,5,0)</f>
        <v>104.41080000000004</v>
      </c>
      <c r="AK34" s="13">
        <f t="shared" si="35"/>
        <v>28.010155571424168</v>
      </c>
      <c r="AL34" s="20">
        <f t="shared" si="4"/>
        <v>230.63316428689714</v>
      </c>
      <c r="AM34" s="59">
        <f t="shared" si="5"/>
        <v>523.96649762023048</v>
      </c>
      <c r="AN34" s="59">
        <f ca="1">AVERAGE(OFFSET($AM$3,0,0,'Données projet'!$E$10+1,1))-AVERAGE(OFFSET($H$3,0,0,'Données projet'!$E$10+1,1))</f>
        <v>294.45857786714919</v>
      </c>
      <c r="AO34" s="59">
        <f t="shared" si="36"/>
        <v>221.9773436301067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12.101590943745082</v>
      </c>
      <c r="AV34" s="21">
        <f>EXP(-LN(2)/25)*AV33+(1-EXP(-LN(2)/25))/(LN(2)/25)*Calculateur!AQ34*Calculateur!AS34*VLOOKUP('Données projet'!$B$10,Paramètres!$A$1:$I$89,3,0)*0.475*44/12</f>
        <v>5.3177441085589177</v>
      </c>
      <c r="AW34" s="21">
        <f>EXP(-LN(2)/2)*AW33+(1-EXP(-LN(2)/2))/(LN(2)/2)*AQ34*AT34*VLOOKUP('Données projet'!$B$10,Paramètres!$A$1:$I$89,3,0)*0.475*44/12</f>
        <v>2.5492698014420254</v>
      </c>
      <c r="AX34" s="21">
        <f t="shared" si="6"/>
        <v>19.968604853746026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24.8</v>
      </c>
      <c r="BD34" s="12">
        <f>IF('Données projet'!$A$88&gt;35,BD33+BC34-BL33,IF(A34&lt;'Données projet'!$A$88,$BA$205^A34,IF(A34='Données projet'!$A$88,'Données projet'!$B$88,BD33+BC34-BL33)))</f>
        <v>310.80000000000007</v>
      </c>
      <c r="BE34" s="13">
        <f>BD34*VLOOKUP('Données projet'!$B$11,Paramètres!$A$1:$I$89,3,0)*VLOOKUP('Données projet'!$B$11,Paramètres!$A$1:$I$89,5,0)</f>
        <v>173.73720000000006</v>
      </c>
      <c r="BF34" s="13">
        <f t="shared" si="37"/>
        <v>43.925969821948698</v>
      </c>
      <c r="BG34" s="20">
        <f t="shared" si="7"/>
        <v>379.09668743989408</v>
      </c>
      <c r="BH34" s="59">
        <f t="shared" si="8"/>
        <v>672.4300207732274</v>
      </c>
      <c r="BI34" s="59">
        <f ca="1">AVERAGE(OFFSET($BH$3,0,0,'Données projet'!$E$11+1,1))-AVERAGE(OFFSET($H$3,0,0,'Données projet'!$E$11+1,1))</f>
        <v>304.91676868833792</v>
      </c>
      <c r="BJ34" s="59">
        <f t="shared" si="38"/>
        <v>365.95065044620048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11.755722538963333</v>
      </c>
      <c r="BQ34" s="21">
        <f>EXP(-LN(2)/25)*BQ33+(1-EXP(-LN(2)/25))/(LN(2)/25)*Calculateur!BL34*Calculateur!BN34*VLOOKUP('Données projet'!$B$11,Paramètres!$A$1:$I$89,3,0)*0.475*44/12</f>
        <v>5.4849502450141721</v>
      </c>
      <c r="BR34" s="21">
        <f>EXP(-LN(2)/2)*BR33+(1-EXP(-LN(2)/2))/(LN(2)/2)*BL34*BO34*VLOOKUP('Données projet'!$B$11,Paramètres!$A$1:$I$89,3,0)*0.475*44/12</f>
        <v>2.9685113170899675</v>
      </c>
      <c r="BS34" s="22">
        <f t="shared" si="9"/>
        <v>20.209184101067471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</v>
      </c>
      <c r="BY34" s="12">
        <f>IF('Données projet'!$A$114&gt;35,BY33+BX34-CG33,IF(A34&lt;'Données projet'!$A$114,$BV$205^A34,IF(A34='Données projet'!$A$114,'Données projet'!$B$114,BY33+BX34-CG33)))</f>
        <v>184.09999999999988</v>
      </c>
      <c r="BZ34" s="13">
        <f>BY34*VLOOKUP('Données projet'!$B$12,Paramètres!$A$1:$I$89,3,0)*VLOOKUP('Données projet'!$B$12,Paramètres!$A$1:$I$89,5,0)</f>
        <v>86.158799999999943</v>
      </c>
      <c r="CA34" s="13">
        <f t="shared" si="39"/>
        <v>23.636481485559017</v>
      </c>
      <c r="CB34" s="20">
        <f t="shared" si="10"/>
        <v>191.22678192068182</v>
      </c>
      <c r="CC34" s="59">
        <f t="shared" si="11"/>
        <v>484.56011525401516</v>
      </c>
      <c r="CD34" s="59">
        <f ca="1">AVERAGE(OFFSET($CC$3,0,0,'Données projet'!$E$12+1,1))-AVERAGE(OFFSET($H$3,0,0,'Données projet'!$E$12+1,1))</f>
        <v>259.87681411271632</v>
      </c>
      <c r="CE34" s="59">
        <f t="shared" si="40"/>
        <v>191.8684235641158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10.310666944472825</v>
      </c>
      <c r="CL34" s="21">
        <f>EXP(-LN(2)/25)*CL33+(1-EXP(-LN(2)/25))/(LN(2)/25)*Calculateur!CG34*Calculateur!CI34*VLOOKUP('Données projet'!$B$12,Paramètres!$A$1:$I$89,3,0)*0.475*44/12</f>
        <v>6.9671895539440625</v>
      </c>
      <c r="CM34" s="21">
        <f>EXP(-LN(2)/2)*CM33+(1-EXP(-LN(2)/2))/(LN(2)/2)*CG34*CJ34*VLOOKUP('Données projet'!$B$12,Paramètres!$A$1:$I$89,3,0)*0.475*44/12</f>
        <v>2.3080600644331626</v>
      </c>
      <c r="CN34" s="22">
        <f t="shared" si="12"/>
        <v>19.585916562850052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</v>
      </c>
      <c r="CT34" s="12">
        <f>IF('Données projet'!$A$140&gt;35,CT33+CS34-DB33,IF(A34&lt;'Données projet'!$A$140,$CQ$205^A34,IF(A34='Données projet'!$A$140,'Données projet'!$B$140,CT33+CS34-DB33)))</f>
        <v>132.6</v>
      </c>
      <c r="CU34" s="17">
        <f>CT34*VLOOKUP('Données projet'!$B$13,Paramètres!$A$1:$I$89,3,0)*VLOOKUP('Données projet'!$B$13,Paramètres!$A$1:$I$89,5,0)</f>
        <v>62.056799999999996</v>
      </c>
      <c r="CV34" s="13">
        <f t="shared" si="41"/>
        <v>17.687268087658346</v>
      </c>
      <c r="CW34" s="20">
        <f t="shared" si="13"/>
        <v>138.88758525267161</v>
      </c>
      <c r="CX34" s="59">
        <f t="shared" si="14"/>
        <v>432.22091858600493</v>
      </c>
      <c r="CY34" s="59">
        <f ca="1">AVERAGE(OFFSET($CX$3,0,0,'Données projet'!$E$13+1,1))-AVERAGE(OFFSET($H$3,0,0,'Données projet'!$E$13+1,1))</f>
        <v>137.59122085719031</v>
      </c>
      <c r="CZ34" s="59">
        <f t="shared" si="42"/>
        <v>130.1134470448718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7.3580668649192429</v>
      </c>
      <c r="DG34" s="21">
        <f>EXP(-LN(2)/25)*DG33+(1-EXP(-LN(2)/25))/(LN(2)/25)*Calculateur!DB34*Calculateur!DD34*VLOOKUP('Données projet'!$B$13,Paramètres!$A$1:$I$89,3,0)*0.475*44/12</f>
        <v>4.9742388556973083</v>
      </c>
      <c r="DH34" s="21">
        <f>EXP(-LN(2)/2)*DH33+(1-EXP(-LN(2)/2))/(LN(2)/2)*DB34*DE34*VLOOKUP('Données projet'!$B$13,Paramètres!$A$1:$I$89,3,0)*0.475*44/12</f>
        <v>1.6714888555908378</v>
      </c>
      <c r="DI34" s="22">
        <f t="shared" si="15"/>
        <v>14.003794576207389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3.6388888888888888</v>
      </c>
      <c r="DO34" s="12">
        <f>IF('Données projet'!$A$166&gt;35,DO33+DN34-DW33,IF(A34&lt;'Données projet'!$A$166,$DL$205^A34,IF(A34='Données projet'!$A$166,'Données projet'!$B$166,DO33+DN34-DW33)))</f>
        <v>112.80555555555549</v>
      </c>
      <c r="DP34" s="17">
        <f>DO34*VLOOKUP('Données projet'!$B$14,Paramètres!$A$1:$I$89,3,0)*VLOOKUP('Données projet'!$B$14,Paramètres!$A$1:$I$89,5,0)</f>
        <v>114.38483333333326</v>
      </c>
      <c r="DQ34" s="13">
        <f t="shared" si="43"/>
        <v>30.361723559517113</v>
      </c>
      <c r="DR34" s="20">
        <f t="shared" si="16"/>
        <v>252.10025325504773</v>
      </c>
      <c r="DS34" s="59">
        <f t="shared" si="17"/>
        <v>545.4335865883811</v>
      </c>
      <c r="DT34" s="59">
        <f ca="1">AVERAGE(OFFSET($DS$3,0,0,'Données projet'!$E$14+1,1))-AVERAGE(OFFSET($H$3,0,0,'Données projet'!$E$14+1,1))</f>
        <v>313.90901812281373</v>
      </c>
      <c r="DU34" s="59">
        <f t="shared" si="44"/>
        <v>210.54265725995265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12.454300000000007</v>
      </c>
      <c r="EJ34" s="12">
        <f>IF('Données projet'!$A$192&gt;35,EJ33+EI34-ER33,IF(A34&lt;'Données projet'!$A$192,$EG$205^A34,IF(A34='Données projet'!$A$192,'Données projet'!$B$192,EJ33+EI34-ER33)))</f>
        <v>227.92725833333341</v>
      </c>
      <c r="EK34" s="17">
        <f>EJ34*VLOOKUP('Données projet'!$B$15,Paramètres!$A$1:$I$89,3,0)*VLOOKUP('Données projet'!$B$15,Paramètres!$A$1:$I$89,5,0)</f>
        <v>181.33892673000008</v>
      </c>
      <c r="EL34" s="13">
        <f t="shared" si="45"/>
        <v>45.619944090377174</v>
      </c>
      <c r="EM34" s="20">
        <f t="shared" si="19"/>
        <v>395.28670001215704</v>
      </c>
      <c r="EN34" s="59">
        <f t="shared" si="20"/>
        <v>688.62003334549036</v>
      </c>
      <c r="EO34" s="59">
        <f ca="1">AVERAGE(OFFSET($EN$3,0,0,'Données projet'!$E$15+1,1))-AVERAGE(OFFSET($H$3,0,0,'Données projet'!$E$15+1,1))</f>
        <v>316.52407313312403</v>
      </c>
      <c r="EP34" s="59">
        <f t="shared" si="46"/>
        <v>340.55949748167382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8.8777630090361903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8.8777630090361903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9.9205000000000041</v>
      </c>
      <c r="FE34" s="12">
        <f>IF('Données projet'!$A$218&gt;35,FE33+FD34-FM33,IF(A34&lt;'Données projet'!$A$218,$FB$205^A34,IF(A34='Données projet'!$A$218,'Données projet'!$B$218,FE33+FD34-FM33)))</f>
        <v>181.80008333333336</v>
      </c>
      <c r="FF34" s="17">
        <f>FE34*VLOOKUP('Données projet'!$B$16,Paramètres!$A$1:$I$89,3,0)*VLOOKUP('Données projet'!$B$16,Paramètres!$A$1:$I$89,5,0)</f>
        <v>119.11541460000001</v>
      </c>
      <c r="FG34" s="13">
        <f t="shared" si="47"/>
        <v>31.46859551827384</v>
      </c>
      <c r="FH34" s="20">
        <f t="shared" si="22"/>
        <v>262.2671509559936</v>
      </c>
      <c r="FI34" s="59">
        <f t="shared" si="23"/>
        <v>555.60048428932691</v>
      </c>
      <c r="FJ34" s="59">
        <f ca="1">AVERAGE(OFFSET($FI$3,0,0,'Données projet'!$E$16+1,1))-AVERAGE(OFFSET($H$3,0,0,'Données projet'!$E$16+1,1))</f>
        <v>199.99826357281154</v>
      </c>
      <c r="FK34" s="59">
        <f t="shared" si="48"/>
        <v>214.67424457475136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4.7343179293079105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4.7343179293079105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19.399999999999999</v>
      </c>
      <c r="N35" s="13">
        <f>IF('Données projet'!$A$36&gt;35,N34+M35-V34,IF(A35&lt;'Données projet'!$A$36,$K$205^A35,IF(A35='Données projet'!$A$36,'Données projet'!$B$36,N34+M35-V34)))</f>
        <v>240.79999999999998</v>
      </c>
      <c r="O35" s="13">
        <f>N35*VLOOKUP('Données projet'!$B$9,Paramètres!$A$1:$I$89,3,0)*VLOOKUP('Données projet'!$B$9,Paramètres!$A$1:$I$89,5,0)</f>
        <v>143.9984</v>
      </c>
      <c r="P35" s="13">
        <f t="shared" si="33"/>
        <v>37.21147619889382</v>
      </c>
      <c r="Q35" s="20">
        <f t="shared" ref="Q35:Q66" si="53">(O35+P35)*0.475*44/12</f>
        <v>315.60720104640671</v>
      </c>
      <c r="R35" s="59">
        <f t="shared" si="0"/>
        <v>608.94053437974003</v>
      </c>
      <c r="S35" s="59">
        <f ca="1">AVERAGE(OFFSET($R$3,0,0,'Données projet'!$E$9+1,1))-AVERAGE(OFFSET($H$3,0,0,'Données projet'!$E$9+1,1))</f>
        <v>284.60021367910457</v>
      </c>
      <c r="T35" s="59">
        <f t="shared" si="34"/>
        <v>301.41905904220812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23.756547958795416</v>
      </c>
      <c r="AA35" s="21">
        <f>EXP(-LN(2)/25)*AA34+(1-EXP(-LN(2)/25))/(LN(2)/25)*Calculateur!V35*Calculateur!X35*VLOOKUP('Données projet'!$B$9,Paramètres!$A$1:$I$89,3,0)*0.475*44/12</f>
        <v>7.4358942048282461</v>
      </c>
      <c r="AB35" s="21">
        <f>EXP(-LN(2)/2)*AB34+(1-EXP(-LN(2)/2))/(LN(2)/2)*V35*Y35*VLOOKUP('Données projet'!$B$9,Paramètres!$A$1:$I$89,3,0)*0.475*44/12</f>
        <v>2.7431142528992334</v>
      </c>
      <c r="AC35" s="22">
        <f t="shared" si="3"/>
        <v>33.935556416522893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189.20000000000005</v>
      </c>
      <c r="AJ35" s="13">
        <f>AI35*VLOOKUP('Données projet'!$B$10,Paramètres!$A$1:$I$89,3,0)*VLOOKUP('Données projet'!$B$10,Paramètres!$A$1:$I$89,5,0)</f>
        <v>113.14160000000004</v>
      </c>
      <c r="AK35" s="13">
        <f t="shared" si="35"/>
        <v>30.069952587742019</v>
      </c>
      <c r="AL35" s="20">
        <f t="shared" si="4"/>
        <v>249.42678742365072</v>
      </c>
      <c r="AM35" s="59">
        <f t="shared" si="5"/>
        <v>542.76012075698407</v>
      </c>
      <c r="AN35" s="59">
        <f ca="1">AVERAGE(OFFSET($AM$3,0,0,'Données projet'!$E$10+1,1))-AVERAGE(OFFSET($H$3,0,0,'Données projet'!$E$10+1,1))</f>
        <v>294.45857786714919</v>
      </c>
      <c r="AO35" s="59">
        <f t="shared" si="36"/>
        <v>221.9773436301067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11.864286126579879</v>
      </c>
      <c r="AV35" s="21">
        <f>EXP(-LN(2)/25)*AV34+(1-EXP(-LN(2)/25))/(LN(2)/25)*Calculateur!AQ35*Calculateur!AS35*VLOOKUP('Données projet'!$B$10,Paramètres!$A$1:$I$89,3,0)*0.475*44/12</f>
        <v>5.1723301162623656</v>
      </c>
      <c r="AW35" s="21">
        <f>EXP(-LN(2)/2)*AW34+(1-EXP(-LN(2)/2))/(LN(2)/2)*AQ35*AT35*VLOOKUP('Données projet'!$B$10,Paramètres!$A$1:$I$89,3,0)*0.475*44/12</f>
        <v>1.8026059636737399</v>
      </c>
      <c r="AX35" s="21">
        <f t="shared" si="6"/>
        <v>18.839222206515984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24.8</v>
      </c>
      <c r="BD35" s="12">
        <f>IF('Données projet'!$A$88&gt;35,BD34+BC35-BL34,IF(A35&lt;'Données projet'!$A$88,$BA$205^A35,IF(A35='Données projet'!$A$88,'Données projet'!$B$88,BD34+BC35-BL34)))</f>
        <v>335.60000000000008</v>
      </c>
      <c r="BE35" s="13">
        <f>BD35*VLOOKUP('Données projet'!$B$11,Paramètres!$A$1:$I$89,3,0)*VLOOKUP('Données projet'!$B$11,Paramètres!$A$1:$I$89,5,0)</f>
        <v>187.60040000000004</v>
      </c>
      <c r="BF35" s="13">
        <f t="shared" si="37"/>
        <v>47.009043567098132</v>
      </c>
      <c r="BG35" s="20">
        <f t="shared" si="7"/>
        <v>408.6114475460293</v>
      </c>
      <c r="BH35" s="59">
        <f t="shared" si="8"/>
        <v>701.94478087936261</v>
      </c>
      <c r="BI35" s="59">
        <f ca="1">AVERAGE(OFFSET($BH$3,0,0,'Données projet'!$E$11+1,1))-AVERAGE(OFFSET($H$3,0,0,'Données projet'!$E$11+1,1))</f>
        <v>304.91676868833792</v>
      </c>
      <c r="BJ35" s="59">
        <f t="shared" si="38"/>
        <v>365.95065044620048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11.525199990257004</v>
      </c>
      <c r="BQ35" s="21">
        <f>EXP(-LN(2)/25)*BQ34+(1-EXP(-LN(2)/25))/(LN(2)/25)*Calculateur!BL35*Calculateur!BN35*VLOOKUP('Données projet'!$B$11,Paramètres!$A$1:$I$89,3,0)*0.475*44/12</f>
        <v>5.3349639921232619</v>
      </c>
      <c r="BR35" s="21">
        <f>EXP(-LN(2)/2)*BR34+(1-EXP(-LN(2)/2))/(LN(2)/2)*BL35*BO35*VLOOKUP('Données projet'!$B$11,Paramètres!$A$1:$I$89,3,0)*0.475*44/12</f>
        <v>2.0990544823433259</v>
      </c>
      <c r="BS35" s="22">
        <f t="shared" si="9"/>
        <v>18.959218464723591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</v>
      </c>
      <c r="BY35" s="12">
        <f>IF('Données projet'!$A$114&gt;35,BY34+BX35-CG34,IF(A35&lt;'Données projet'!$A$114,$BV$205^A35,IF(A35='Données projet'!$A$114,'Données projet'!$B$114,BY34+BX35-CG34)))</f>
        <v>194.19999999999987</v>
      </c>
      <c r="BZ35" s="13">
        <f>BY35*VLOOKUP('Données projet'!$B$12,Paramètres!$A$1:$I$89,3,0)*VLOOKUP('Données projet'!$B$12,Paramètres!$A$1:$I$89,5,0)</f>
        <v>90.88559999999994</v>
      </c>
      <c r="CA35" s="13">
        <f t="shared" si="39"/>
        <v>24.778688516498875</v>
      </c>
      <c r="CB35" s="20">
        <f t="shared" si="10"/>
        <v>201.44863583290206</v>
      </c>
      <c r="CC35" s="59">
        <f t="shared" si="11"/>
        <v>494.7819691662354</v>
      </c>
      <c r="CD35" s="59">
        <f ca="1">AVERAGE(OFFSET($CC$3,0,0,'Données projet'!$E$12+1,1))-AVERAGE(OFFSET($H$3,0,0,'Données projet'!$E$12+1,1))</f>
        <v>259.87681411271632</v>
      </c>
      <c r="CE35" s="59">
        <f t="shared" si="40"/>
        <v>191.8684235641158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10.108481054577572</v>
      </c>
      <c r="CL35" s="21">
        <f>EXP(-LN(2)/25)*CL34+(1-EXP(-LN(2)/25))/(LN(2)/25)*Calculateur!CG35*Calculateur!CI35*VLOOKUP('Données projet'!$B$12,Paramètres!$A$1:$I$89,3,0)*0.475*44/12</f>
        <v>6.7766713892028871</v>
      </c>
      <c r="CM35" s="21">
        <f>EXP(-LN(2)/2)*CM34+(1-EXP(-LN(2)/2))/(LN(2)/2)*CG35*CJ35*VLOOKUP('Données projet'!$B$12,Paramètres!$A$1:$I$89,3,0)*0.475*44/12</f>
        <v>1.6320449229465492</v>
      </c>
      <c r="CN35" s="22">
        <f t="shared" si="12"/>
        <v>18.517197366727007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65.332799999999992</v>
      </c>
      <c r="CV35" s="13">
        <f t="shared" si="41"/>
        <v>18.509814067111495</v>
      </c>
      <c r="CW35" s="20">
        <f t="shared" si="13"/>
        <v>146.02588616688584</v>
      </c>
      <c r="CX35" s="59">
        <f t="shared" si="14"/>
        <v>439.35921950021918</v>
      </c>
      <c r="CY35" s="59">
        <f ca="1">AVERAGE(OFFSET($CX$3,0,0,'Données projet'!$E$13+1,1))-AVERAGE(OFFSET($H$3,0,0,'Données projet'!$E$13+1,1))</f>
        <v>137.59122085719031</v>
      </c>
      <c r="CZ35" s="59">
        <f t="shared" si="42"/>
        <v>130.1134470448718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7.2137796616758134</v>
      </c>
      <c r="DG35" s="21">
        <f>EXP(-LN(2)/25)*DG34+(1-EXP(-LN(2)/25))/(LN(2)/25)*Calculateur!DB35*Calculateur!DD35*VLOOKUP('Données projet'!$B$13,Paramètres!$A$1:$I$89,3,0)*0.475*44/12</f>
        <v>4.8382180326044129</v>
      </c>
      <c r="DH35" s="21">
        <f>EXP(-LN(2)/2)*DH34+(1-EXP(-LN(2)/2))/(LN(2)/2)*DB35*DE35*VLOOKUP('Données projet'!$B$13,Paramètres!$A$1:$I$89,3,0)*0.475*44/12</f>
        <v>1.1819211044660234</v>
      </c>
      <c r="DI35" s="22">
        <f t="shared" si="15"/>
        <v>13.233918798746249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3.6388888888888888</v>
      </c>
      <c r="DO35" s="12">
        <f>IF('Données projet'!$A$166&gt;35,DO34+DN35-DW34,IF(A35&lt;'Données projet'!$A$166,$DL$205^A35,IF(A35='Données projet'!$A$166,'Données projet'!$B$166,DO34+DN35-DW34)))</f>
        <v>116.44444444444437</v>
      </c>
      <c r="DP35" s="17">
        <f>DO35*VLOOKUP('Données projet'!$B$14,Paramètres!$A$1:$I$89,3,0)*VLOOKUP('Données projet'!$B$14,Paramètres!$A$1:$I$89,5,0)</f>
        <v>118.0746666666666</v>
      </c>
      <c r="DQ35" s="13">
        <f t="shared" si="43"/>
        <v>31.225525067472713</v>
      </c>
      <c r="DR35" s="20">
        <f t="shared" si="16"/>
        <v>260.0311672702926</v>
      </c>
      <c r="DS35" s="59">
        <f t="shared" si="17"/>
        <v>553.36450060362586</v>
      </c>
      <c r="DT35" s="59">
        <f ca="1">AVERAGE(OFFSET($DS$3,0,0,'Données projet'!$E$14+1,1))-AVERAGE(OFFSET($H$3,0,0,'Données projet'!$E$14+1,1))</f>
        <v>313.90901812281373</v>
      </c>
      <c r="DU35" s="59">
        <f t="shared" si="44"/>
        <v>210.54265725995265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12.454300000000007</v>
      </c>
      <c r="EJ35" s="12">
        <f>IF('Données projet'!$A$192&gt;35,EJ34+EI35-ER34,IF(A35&lt;'Données projet'!$A$192,$EG$205^A35,IF(A35='Données projet'!$A$192,'Données projet'!$B$192,EJ34+EI35-ER34)))</f>
        <v>240.38155833333343</v>
      </c>
      <c r="EK35" s="17">
        <f>EJ35*VLOOKUP('Données projet'!$B$15,Paramètres!$A$1:$I$89,3,0)*VLOOKUP('Données projet'!$B$15,Paramètres!$A$1:$I$89,5,0)</f>
        <v>191.24756781000011</v>
      </c>
      <c r="EL35" s="13">
        <f t="shared" si="45"/>
        <v>47.815667233091233</v>
      </c>
      <c r="EM35" s="20">
        <f t="shared" si="19"/>
        <v>416.36846770005076</v>
      </c>
      <c r="EN35" s="59">
        <f t="shared" si="20"/>
        <v>709.70180103338407</v>
      </c>
      <c r="EO35" s="59">
        <f ca="1">AVERAGE(OFFSET($EN$3,0,0,'Données projet'!$E$15+1,1))-AVERAGE(OFFSET($H$3,0,0,'Données projet'!$E$15+1,1))</f>
        <v>316.52407313312403</v>
      </c>
      <c r="EP35" s="59">
        <f t="shared" si="46"/>
        <v>340.55949748167382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8.7036754913297489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8.7036754913297489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9.9205000000000041</v>
      </c>
      <c r="FE35" s="12">
        <f>IF('Données projet'!$A$218&gt;35,FE34+FD35-FM34,IF(A35&lt;'Données projet'!$A$218,$FB$205^A35,IF(A35='Données projet'!$A$218,'Données projet'!$B$218,FE34+FD35-FM34)))</f>
        <v>191.72058333333337</v>
      </c>
      <c r="FF35" s="17">
        <f>FE35*VLOOKUP('Données projet'!$B$16,Paramètres!$A$1:$I$89,3,0)*VLOOKUP('Données projet'!$B$16,Paramètres!$A$1:$I$89,5,0)</f>
        <v>125.61532620000003</v>
      </c>
      <c r="FG35" s="13">
        <f t="shared" si="47"/>
        <v>32.981175700583101</v>
      </c>
      <c r="FH35" s="20">
        <f t="shared" si="22"/>
        <v>276.22224081018226</v>
      </c>
      <c r="FI35" s="59">
        <f t="shared" si="23"/>
        <v>569.55557414351551</v>
      </c>
      <c r="FJ35" s="59">
        <f ca="1">AVERAGE(OFFSET($FI$3,0,0,'Données projet'!$E$16+1,1))-AVERAGE(OFFSET($H$3,0,0,'Données projet'!$E$16+1,1))</f>
        <v>199.99826357281154</v>
      </c>
      <c r="FK35" s="59">
        <f t="shared" si="48"/>
        <v>214.67424457475136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4.6414808423629879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4.6414808423629879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19.399999999999999</v>
      </c>
      <c r="N36" s="13">
        <f>IF('Données projet'!$A$36&gt;35,N35+M36-V35,IF(A36&lt;'Données projet'!$A$36,$K$205^A36,IF(A36='Données projet'!$A$36,'Données projet'!$B$36,N35+M36-V35)))</f>
        <v>260.2</v>
      </c>
      <c r="O36" s="13">
        <f>N36*VLOOKUP('Données projet'!$B$9,Paramètres!$A$1:$I$89,3,0)*VLOOKUP('Données projet'!$B$9,Paramètres!$A$1:$I$89,5,0)</f>
        <v>155.59960000000001</v>
      </c>
      <c r="P36" s="13">
        <f t="shared" si="33"/>
        <v>39.848387726833757</v>
      </c>
      <c r="Q36" s="20">
        <f t="shared" si="53"/>
        <v>340.40524529090209</v>
      </c>
      <c r="R36" s="59">
        <f t="shared" si="0"/>
        <v>633.7385786242354</v>
      </c>
      <c r="S36" s="59">
        <f ca="1">AVERAGE(OFFSET($R$3,0,0,'Données projet'!$E$9+1,1))-AVERAGE(OFFSET($H$3,0,0,'Données projet'!$E$9+1,1))</f>
        <v>284.60021367910457</v>
      </c>
      <c r="T36" s="59">
        <f t="shared" si="34"/>
        <v>301.41905904220812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23.290696543386918</v>
      </c>
      <c r="AA36" s="21">
        <f>EXP(-LN(2)/25)*AA35+(1-EXP(-LN(2)/25))/(LN(2)/25)*Calculateur!V36*Calculateur!X36*VLOOKUP('Données projet'!$B$9,Paramètres!$A$1:$I$89,3,0)*0.475*44/12</f>
        <v>7.2325592867605364</v>
      </c>
      <c r="AB36" s="21">
        <f>EXP(-LN(2)/2)*AB35+(1-EXP(-LN(2)/2))/(LN(2)/2)*V36*Y36*VLOOKUP('Données projet'!$B$9,Paramètres!$A$1:$I$89,3,0)*0.475*44/12</f>
        <v>1.9396746897945181</v>
      </c>
      <c r="AC36" s="22">
        <f t="shared" si="3"/>
        <v>32.46293051994197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203.80000000000004</v>
      </c>
      <c r="AJ36" s="13">
        <f>AI36*VLOOKUP('Données projet'!$B$10,Paramètres!$A$1:$I$89,3,0)*VLOOKUP('Données projet'!$B$10,Paramètres!$A$1:$I$89,5,0)</f>
        <v>121.87240000000003</v>
      </c>
      <c r="AK36" s="13">
        <f t="shared" si="35"/>
        <v>32.111311550408985</v>
      </c>
      <c r="AL36" s="20">
        <f t="shared" si="4"/>
        <v>268.1882976169623</v>
      </c>
      <c r="AM36" s="59">
        <f t="shared" si="5"/>
        <v>561.52163095029562</v>
      </c>
      <c r="AN36" s="59">
        <f ca="1">AVERAGE(OFFSET($AM$3,0,0,'Données projet'!$E$10+1,1))-AVERAGE(OFFSET($H$3,0,0,'Données projet'!$E$10+1,1))</f>
        <v>294.45857786714919</v>
      </c>
      <c r="AO36" s="59">
        <f t="shared" si="36"/>
        <v>221.9773436301067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11.63163471213764</v>
      </c>
      <c r="AV36" s="21">
        <f>EXP(-LN(2)/25)*AV35+(1-EXP(-LN(2)/25))/(LN(2)/25)*Calculateur!AQ36*Calculateur!AS36*VLOOKUP('Données projet'!$B$10,Paramètres!$A$1:$I$89,3,0)*0.475*44/12</f>
        <v>5.0308924772321522</v>
      </c>
      <c r="AW36" s="21">
        <f>EXP(-LN(2)/2)*AW35+(1-EXP(-LN(2)/2))/(LN(2)/2)*AQ36*AT36*VLOOKUP('Données projet'!$B$10,Paramètres!$A$1:$I$89,3,0)*0.475*44/12</f>
        <v>1.2746349007210129</v>
      </c>
      <c r="AX36" s="21">
        <f t="shared" si="6"/>
        <v>17.937162090090801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24.8</v>
      </c>
      <c r="BD36" s="12">
        <f>IF('Données projet'!$A$88&gt;35,BD35+BC36-BL35,IF(A36&lt;'Données projet'!$A$88,$BA$205^A36,IF(A36='Données projet'!$A$88,'Données projet'!$B$88,BD35+BC36-BL35)))</f>
        <v>360.40000000000009</v>
      </c>
      <c r="BE36" s="13">
        <f>BD36*VLOOKUP('Données projet'!$B$11,Paramètres!$A$1:$I$89,3,0)*VLOOKUP('Données projet'!$B$11,Paramètres!$A$1:$I$89,5,0)</f>
        <v>201.46360000000004</v>
      </c>
      <c r="BF36" s="13">
        <f t="shared" si="37"/>
        <v>50.065686082954073</v>
      </c>
      <c r="BG36" s="20">
        <f t="shared" si="7"/>
        <v>438.08017326114509</v>
      </c>
      <c r="BH36" s="59">
        <f t="shared" si="8"/>
        <v>731.41350659447835</v>
      </c>
      <c r="BI36" s="59">
        <f ca="1">AVERAGE(OFFSET($BH$3,0,0,'Données projet'!$E$11+1,1))-AVERAGE(OFFSET($H$3,0,0,'Données projet'!$E$11+1,1))</f>
        <v>304.91676868833792</v>
      </c>
      <c r="BJ36" s="59">
        <f t="shared" si="38"/>
        <v>365.95065044620048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11.299197848125935</v>
      </c>
      <c r="BQ36" s="21">
        <f>EXP(-LN(2)/25)*BQ35+(1-EXP(-LN(2)/25))/(LN(2)/25)*Calculateur!BL36*Calculateur!BN36*VLOOKUP('Données projet'!$B$11,Paramètres!$A$1:$I$89,3,0)*0.475*44/12</f>
        <v>5.1890791212050882</v>
      </c>
      <c r="BR36" s="21">
        <f>EXP(-LN(2)/2)*BR35+(1-EXP(-LN(2)/2))/(LN(2)/2)*BL36*BO36*VLOOKUP('Données projet'!$B$11,Paramètres!$A$1:$I$89,3,0)*0.475*44/12</f>
        <v>1.484255658544984</v>
      </c>
      <c r="BS36" s="22">
        <f t="shared" si="9"/>
        <v>17.97253262787601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</v>
      </c>
      <c r="BY36" s="12">
        <f>IF('Données projet'!$A$114&gt;35,BY35+BX36-CG35,IF(A36&lt;'Données projet'!$A$114,$BV$205^A36,IF(A36='Données projet'!$A$114,'Données projet'!$B$114,BY35+BX36-CG35)))</f>
        <v>204.29999999999987</v>
      </c>
      <c r="BZ36" s="13">
        <f>BY36*VLOOKUP('Données projet'!$B$12,Paramètres!$A$1:$I$89,3,0)*VLOOKUP('Données projet'!$B$12,Paramètres!$A$1:$I$89,5,0)</f>
        <v>95.612399999999937</v>
      </c>
      <c r="CA36" s="13">
        <f t="shared" si="39"/>
        <v>25.913998506547955</v>
      </c>
      <c r="CB36" s="20">
        <f t="shared" si="10"/>
        <v>211.65847739890424</v>
      </c>
      <c r="CC36" s="59">
        <f t="shared" si="11"/>
        <v>504.99181073223758</v>
      </c>
      <c r="CD36" s="59">
        <f ca="1">AVERAGE(OFFSET($CC$3,0,0,'Données projet'!$E$12+1,1))-AVERAGE(OFFSET($H$3,0,0,'Données projet'!$E$12+1,1))</f>
        <v>259.87681411271632</v>
      </c>
      <c r="CE36" s="59">
        <f t="shared" si="40"/>
        <v>191.8684235641158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9.9102599066619508</v>
      </c>
      <c r="CL36" s="21">
        <f>EXP(-LN(2)/25)*CL35+(1-EXP(-LN(2)/25))/(LN(2)/25)*Calculateur!CG36*Calculateur!CI36*VLOOKUP('Données projet'!$B$12,Paramètres!$A$1:$I$89,3,0)*0.475*44/12</f>
        <v>6.5913629536954739</v>
      </c>
      <c r="CM36" s="21">
        <f>EXP(-LN(2)/2)*CM35+(1-EXP(-LN(2)/2))/(LN(2)/2)*CG36*CJ36*VLOOKUP('Données projet'!$B$12,Paramètres!$A$1:$I$89,3,0)*0.475*44/12</f>
        <v>1.1540300322165815</v>
      </c>
      <c r="CN36" s="22">
        <f t="shared" si="12"/>
        <v>17.655652892574007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</v>
      </c>
      <c r="CT36" s="12">
        <f>IF('Données projet'!$A$140&gt;35,CT35+CS36-DB35,IF(A36&lt;'Données projet'!$A$140,$CQ$205^A36,IF(A36='Données projet'!$A$140,'Données projet'!$B$140,CT35+CS36-DB35)))</f>
        <v>146.6</v>
      </c>
      <c r="CU36" s="17">
        <f>CT36*VLOOKUP('Données projet'!$B$13,Paramètres!$A$1:$I$89,3,0)*VLOOKUP('Données projet'!$B$13,Paramètres!$A$1:$I$89,5,0)</f>
        <v>68.608800000000002</v>
      </c>
      <c r="CV36" s="13">
        <f t="shared" si="41"/>
        <v>19.327570976740468</v>
      </c>
      <c r="CW36" s="20">
        <f t="shared" si="13"/>
        <v>153.15584611782299</v>
      </c>
      <c r="CX36" s="59">
        <f t="shared" si="14"/>
        <v>446.4891794511563</v>
      </c>
      <c r="CY36" s="59">
        <f ca="1">AVERAGE(OFFSET($CX$3,0,0,'Données projet'!$E$13+1,1))-AVERAGE(OFFSET($H$3,0,0,'Données projet'!$E$13+1,1))</f>
        <v>137.59122085719031</v>
      </c>
      <c r="CZ36" s="59">
        <f t="shared" si="42"/>
        <v>130.1134470448718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7.0723218424814833</v>
      </c>
      <c r="DG36" s="21">
        <f>EXP(-LN(2)/25)*DG35+(1-EXP(-LN(2)/25))/(LN(2)/25)*Calculateur!DB36*Calculateur!DD36*VLOOKUP('Données projet'!$B$13,Paramètres!$A$1:$I$89,3,0)*0.475*44/12</f>
        <v>4.7059167060720171</v>
      </c>
      <c r="DH36" s="21">
        <f>EXP(-LN(2)/2)*DH35+(1-EXP(-LN(2)/2))/(LN(2)/2)*DB36*DE36*VLOOKUP('Données projet'!$B$13,Paramètres!$A$1:$I$89,3,0)*0.475*44/12</f>
        <v>0.83574442779541902</v>
      </c>
      <c r="DI36" s="22">
        <f t="shared" si="15"/>
        <v>12.613982976348918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3.6388888888888888</v>
      </c>
      <c r="DO36" s="12">
        <f>IF('Données projet'!$A$166&gt;35,DO35+DN36-DW35,IF(A36&lt;'Données projet'!$A$166,$DL$205^A36,IF(A36='Données projet'!$A$166,'Données projet'!$B$166,DO35+DN36-DW35)))</f>
        <v>120.08333333333326</v>
      </c>
      <c r="DP36" s="17">
        <f>DO36*VLOOKUP('Données projet'!$B$14,Paramètres!$A$1:$I$89,3,0)*VLOOKUP('Données projet'!$B$14,Paramètres!$A$1:$I$89,5,0)</f>
        <v>121.76449999999993</v>
      </c>
      <c r="DQ36" s="13">
        <f t="shared" si="43"/>
        <v>32.086189665749515</v>
      </c>
      <c r="DR36" s="20">
        <f t="shared" si="16"/>
        <v>267.95661783451357</v>
      </c>
      <c r="DS36" s="59">
        <f t="shared" si="17"/>
        <v>561.28995116784688</v>
      </c>
      <c r="DT36" s="59">
        <f ca="1">AVERAGE(OFFSET($DS$3,0,0,'Données projet'!$E$14+1,1))-AVERAGE(OFFSET($H$3,0,0,'Données projet'!$E$14+1,1))</f>
        <v>313.90901812281373</v>
      </c>
      <c r="DU36" s="59">
        <f t="shared" si="44"/>
        <v>210.54265725995265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12.454300000000007</v>
      </c>
      <c r="EJ36" s="12">
        <f>IF('Données projet'!$A$192&gt;35,EJ35+EI36-ER35,IF(A36&lt;'Données projet'!$A$192,$EG$205^A36,IF(A36='Données projet'!$A$192,'Données projet'!$B$192,EJ35+EI36-ER35)))</f>
        <v>252.83585833333345</v>
      </c>
      <c r="EK36" s="17">
        <f>EJ36*VLOOKUP('Données projet'!$B$15,Paramètres!$A$1:$I$89,3,0)*VLOOKUP('Données projet'!$B$15,Paramètres!$A$1:$I$89,5,0)</f>
        <v>201.1562088900001</v>
      </c>
      <c r="EL36" s="13">
        <f t="shared" si="45"/>
        <v>49.99818213423152</v>
      </c>
      <c r="EM36" s="20">
        <f t="shared" si="19"/>
        <v>437.42723103386999</v>
      </c>
      <c r="EN36" s="59">
        <f t="shared" si="20"/>
        <v>730.7605643672033</v>
      </c>
      <c r="EO36" s="59">
        <f ca="1">AVERAGE(OFFSET($EN$3,0,0,'Données projet'!$E$15+1,1))-AVERAGE(OFFSET($H$3,0,0,'Données projet'!$E$15+1,1))</f>
        <v>316.52407313312403</v>
      </c>
      <c r="EP36" s="59">
        <f t="shared" si="46"/>
        <v>340.55949748167382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8.5330017236626308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8.5330017236626308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9.9205000000000041</v>
      </c>
      <c r="FE36" s="12">
        <f>IF('Données projet'!$A$218&gt;35,FE35+FD36-FM35,IF(A36&lt;'Données projet'!$A$218,$FB$205^A36,IF(A36='Données projet'!$A$218,'Données projet'!$B$218,FE35+FD36-FM35)))</f>
        <v>201.64108333333337</v>
      </c>
      <c r="FF36" s="17">
        <f>FE36*VLOOKUP('Données projet'!$B$16,Paramètres!$A$1:$I$89,3,0)*VLOOKUP('Données projet'!$B$16,Paramètres!$A$1:$I$89,5,0)</f>
        <v>132.11523780000002</v>
      </c>
      <c r="FG36" s="13">
        <f t="shared" si="47"/>
        <v>34.484668609014825</v>
      </c>
      <c r="FH36" s="20">
        <f t="shared" si="22"/>
        <v>290.16150366236747</v>
      </c>
      <c r="FI36" s="59">
        <f t="shared" si="23"/>
        <v>583.49483699570078</v>
      </c>
      <c r="FJ36" s="59">
        <f ca="1">AVERAGE(OFFSET($FI$3,0,0,'Données projet'!$E$16+1,1))-AVERAGE(OFFSET($H$3,0,0,'Données projet'!$E$16+1,1))</f>
        <v>199.99826357281154</v>
      </c>
      <c r="FK36" s="59">
        <f t="shared" si="48"/>
        <v>214.67424457475136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4.5504642340680235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4.5504642340680235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19.399999999999999</v>
      </c>
      <c r="N37" s="13">
        <f>IF('Données projet'!$A$36&gt;35,N36+M37-V36,IF(A37&lt;'Données projet'!$A$36,$K$205^A37,IF(A37='Données projet'!$A$36,'Données projet'!$B$36,N36+M37-V36)))</f>
        <v>279.59999999999997</v>
      </c>
      <c r="O37" s="13">
        <f>N37*VLOOKUP('Données projet'!$B$9,Paramètres!$A$1:$I$89,3,0)*VLOOKUP('Données projet'!$B$9,Paramètres!$A$1:$I$89,5,0)</f>
        <v>167.20079999999999</v>
      </c>
      <c r="P37" s="13">
        <f t="shared" si="33"/>
        <v>42.46249139494342</v>
      </c>
      <c r="Q37" s="20">
        <f t="shared" si="53"/>
        <v>365.16356584619308</v>
      </c>
      <c r="R37" s="59">
        <f t="shared" si="0"/>
        <v>658.49689917952639</v>
      </c>
      <c r="S37" s="59">
        <f ca="1">AVERAGE(OFFSET($R$3,0,0,'Données projet'!$E$9+1,1))-AVERAGE(OFFSET($H$3,0,0,'Données projet'!$E$9+1,1))</f>
        <v>284.60021367910457</v>
      </c>
      <c r="T37" s="59">
        <f t="shared" si="34"/>
        <v>301.41905904220812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22.833980190093275</v>
      </c>
      <c r="AA37" s="21">
        <f>EXP(-LN(2)/25)*AA36+(1-EXP(-LN(2)/25))/(LN(2)/25)*Calculateur!V37*Calculateur!X37*VLOOKUP('Données projet'!$B$9,Paramètres!$A$1:$I$89,3,0)*0.475*44/12</f>
        <v>7.0347845727203069</v>
      </c>
      <c r="AB37" s="21">
        <f>EXP(-LN(2)/2)*AB36+(1-EXP(-LN(2)/2))/(LN(2)/2)*V37*Y37*VLOOKUP('Données projet'!$B$9,Paramètres!$A$1:$I$89,3,0)*0.475*44/12</f>
        <v>1.3715571264496169</v>
      </c>
      <c r="AC37" s="22">
        <f t="shared" si="3"/>
        <v>31.2403218892632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218.40000000000003</v>
      </c>
      <c r="AJ37" s="13">
        <f>AI37*VLOOKUP('Données projet'!$B$10,Paramètres!$A$1:$I$89,3,0)*VLOOKUP('Données projet'!$B$10,Paramètres!$A$1:$I$89,5,0)</f>
        <v>130.60320000000004</v>
      </c>
      <c r="AK37" s="13">
        <f t="shared" si="35"/>
        <v>34.135703567016428</v>
      </c>
      <c r="AL37" s="20">
        <f t="shared" si="4"/>
        <v>286.92025704588701</v>
      </c>
      <c r="AM37" s="59">
        <f t="shared" si="5"/>
        <v>580.25359037922033</v>
      </c>
      <c r="AN37" s="59">
        <f ca="1">AVERAGE(OFFSET($AM$3,0,0,'Données projet'!$E$10+1,1))-AVERAGE(OFFSET($H$3,0,0,'Données projet'!$E$10+1,1))</f>
        <v>294.45857786714919</v>
      </c>
      <c r="AO37" s="59">
        <f t="shared" si="36"/>
        <v>221.9773436301067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11.403545450029261</v>
      </c>
      <c r="AV37" s="21">
        <f>EXP(-LN(2)/25)*AV36+(1-EXP(-LN(2)/25))/(LN(2)/25)*Calculateur!AQ37*Calculateur!AS37*VLOOKUP('Données projet'!$B$10,Paramètres!$A$1:$I$89,3,0)*0.475*44/12</f>
        <v>4.8933224578791021</v>
      </c>
      <c r="AW37" s="21">
        <f>EXP(-LN(2)/2)*AW36+(1-EXP(-LN(2)/2))/(LN(2)/2)*AQ37*AT37*VLOOKUP('Données projet'!$B$10,Paramètres!$A$1:$I$89,3,0)*0.475*44/12</f>
        <v>0.90130298183687008</v>
      </c>
      <c r="AX37" s="21">
        <f t="shared" si="6"/>
        <v>17.198170889745235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24.8</v>
      </c>
      <c r="BD37" s="12">
        <f>IF('Données projet'!$A$88&gt;35,BD36+BC37-BL36,IF(A37&lt;'Données projet'!$A$88,$BA$205^A37,IF(A37='Données projet'!$A$88,'Données projet'!$B$88,BD36+BC37-BL36)))</f>
        <v>385.2000000000001</v>
      </c>
      <c r="BE37" s="13">
        <f>BD37*VLOOKUP('Données projet'!$B$11,Paramètres!$A$1:$I$89,3,0)*VLOOKUP('Données projet'!$B$11,Paramètres!$A$1:$I$89,5,0)</f>
        <v>215.32680000000008</v>
      </c>
      <c r="BF37" s="13">
        <f t="shared" si="37"/>
        <v>53.097923071509783</v>
      </c>
      <c r="BG37" s="20">
        <f t="shared" si="7"/>
        <v>467.50639268287961</v>
      </c>
      <c r="BH37" s="59">
        <f t="shared" si="8"/>
        <v>760.83972601621292</v>
      </c>
      <c r="BI37" s="59">
        <f ca="1">AVERAGE(OFFSET($BH$3,0,0,'Données projet'!$E$11+1,1))-AVERAGE(OFFSET($H$3,0,0,'Données projet'!$E$11+1,1))</f>
        <v>304.91676868833792</v>
      </c>
      <c r="BJ37" s="59">
        <f t="shared" si="38"/>
        <v>365.95065044620048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11.077627470154361</v>
      </c>
      <c r="BQ37" s="21">
        <f>EXP(-LN(2)/25)*BQ36+(1-EXP(-LN(2)/25))/(LN(2)/25)*Calculateur!BL37*Calculateur!BN37*VLOOKUP('Données projet'!$B$11,Paramètres!$A$1:$I$89,3,0)*0.475*44/12</f>
        <v>5.0471834797539241</v>
      </c>
      <c r="BR37" s="21">
        <f>EXP(-LN(2)/2)*BR36+(1-EXP(-LN(2)/2))/(LN(2)/2)*BL37*BO37*VLOOKUP('Données projet'!$B$11,Paramètres!$A$1:$I$89,3,0)*0.475*44/12</f>
        <v>1.049527241171663</v>
      </c>
      <c r="BS37" s="22">
        <f t="shared" si="9"/>
        <v>17.174338191079951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</v>
      </c>
      <c r="BY37" s="12">
        <f>IF('Données projet'!$A$114&gt;35,BY36+BX37-CG36,IF(A37&lt;'Données projet'!$A$114,$BV$205^A37,IF(A37='Données projet'!$A$114,'Données projet'!$B$114,BY36+BX37-CG36)))</f>
        <v>214.39999999999986</v>
      </c>
      <c r="BZ37" s="13">
        <f>BY37*VLOOKUP('Données projet'!$B$12,Paramètres!$A$1:$I$89,3,0)*VLOOKUP('Données projet'!$B$12,Paramètres!$A$1:$I$89,5,0)</f>
        <v>100.33919999999995</v>
      </c>
      <c r="CA37" s="13">
        <f t="shared" si="39"/>
        <v>27.042791337995506</v>
      </c>
      <c r="CB37" s="20">
        <f t="shared" si="10"/>
        <v>221.85696824700872</v>
      </c>
      <c r="CC37" s="59">
        <f t="shared" si="11"/>
        <v>515.19030158034207</v>
      </c>
      <c r="CD37" s="59">
        <f ca="1">AVERAGE(OFFSET($CC$3,0,0,'Données projet'!$E$12+1,1))-AVERAGE(OFFSET($H$3,0,0,'Données projet'!$E$12+1,1))</f>
        <v>259.87681411271632</v>
      </c>
      <c r="CE37" s="59">
        <f t="shared" si="40"/>
        <v>191.8684235641158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9.715925754553993</v>
      </c>
      <c r="CL37" s="21">
        <f>EXP(-LN(2)/25)*CL36+(1-EXP(-LN(2)/25))/(LN(2)/25)*Calculateur!CG37*Calculateur!CI37*VLOOKUP('Données projet'!$B$12,Paramètres!$A$1:$I$89,3,0)*0.475*44/12</f>
        <v>6.4111217871019583</v>
      </c>
      <c r="CM37" s="21">
        <f>EXP(-LN(2)/2)*CM36+(1-EXP(-LN(2)/2))/(LN(2)/2)*CG37*CJ37*VLOOKUP('Données projet'!$B$12,Paramètres!$A$1:$I$89,3,0)*0.475*44/12</f>
        <v>0.81602246147327473</v>
      </c>
      <c r="CN37" s="22">
        <f t="shared" si="12"/>
        <v>16.943070003129225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</v>
      </c>
      <c r="CT37" s="12">
        <f>IF('Données projet'!$A$140&gt;35,CT36+CS37-DB36,IF(A37&lt;'Données projet'!$A$140,$CQ$205^A37,IF(A37='Données projet'!$A$140,'Données projet'!$B$140,CT36+CS37-DB36)))</f>
        <v>153.6</v>
      </c>
      <c r="CU37" s="17">
        <f>CT37*VLOOKUP('Données projet'!$B$13,Paramètres!$A$1:$I$89,3,0)*VLOOKUP('Données projet'!$B$13,Paramètres!$A$1:$I$89,5,0)</f>
        <v>71.884799999999998</v>
      </c>
      <c r="CV37" s="13">
        <f t="shared" si="41"/>
        <v>20.140793597217179</v>
      </c>
      <c r="CW37" s="20">
        <f t="shared" si="13"/>
        <v>160.27790884848659</v>
      </c>
      <c r="CX37" s="59">
        <f t="shared" si="14"/>
        <v>453.61124218181988</v>
      </c>
      <c r="CY37" s="59">
        <f ca="1">AVERAGE(OFFSET($CX$3,0,0,'Données projet'!$E$13+1,1))-AVERAGE(OFFSET($H$3,0,0,'Données projet'!$E$13+1,1))</f>
        <v>137.59122085719031</v>
      </c>
      <c r="CZ37" s="59">
        <f t="shared" si="42"/>
        <v>130.1134470448718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6.933637924840804</v>
      </c>
      <c r="DG37" s="21">
        <f>EXP(-LN(2)/25)*DG36+(1-EXP(-LN(2)/25))/(LN(2)/25)*Calculateur!DB37*Calculateur!DD37*VLOOKUP('Données projet'!$B$13,Paramètres!$A$1:$I$89,3,0)*0.475*44/12</f>
        <v>4.5772331662710739</v>
      </c>
      <c r="DH37" s="21">
        <f>EXP(-LN(2)/2)*DH36+(1-EXP(-LN(2)/2))/(LN(2)/2)*DB37*DE37*VLOOKUP('Données projet'!$B$13,Paramètres!$A$1:$I$89,3,0)*0.475*44/12</f>
        <v>0.5909605522330118</v>
      </c>
      <c r="DI37" s="22">
        <f t="shared" si="15"/>
        <v>12.101831643344889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3.6388888888888888</v>
      </c>
      <c r="DO37" s="12">
        <f>IF('Données projet'!$A$166&gt;35,DO36+DN37-DW36,IF(A37&lt;'Données projet'!$A$166,$DL$205^A37,IF(A37='Données projet'!$A$166,'Données projet'!$B$166,DO36+DN37-DW36)))</f>
        <v>123.72222222222214</v>
      </c>
      <c r="DP37" s="17">
        <f>DO37*VLOOKUP('Données projet'!$B$14,Paramètres!$A$1:$I$89,3,0)*VLOOKUP('Données projet'!$B$14,Paramètres!$A$1:$I$89,5,0)</f>
        <v>125.45433333333327</v>
      </c>
      <c r="DQ37" s="13">
        <f t="shared" si="43"/>
        <v>32.943823322903597</v>
      </c>
      <c r="DR37" s="20">
        <f t="shared" si="16"/>
        <v>275.87678950961254</v>
      </c>
      <c r="DS37" s="59">
        <f t="shared" si="17"/>
        <v>569.21012284294579</v>
      </c>
      <c r="DT37" s="59">
        <f ca="1">AVERAGE(OFFSET($DS$3,0,0,'Données projet'!$E$14+1,1))-AVERAGE(OFFSET($H$3,0,0,'Données projet'!$E$14+1,1))</f>
        <v>313.90901812281373</v>
      </c>
      <c r="DU37" s="59">
        <f t="shared" si="44"/>
        <v>210.54265725995265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12.454300000000007</v>
      </c>
      <c r="EJ37" s="12">
        <f>IF('Données projet'!$A$192&gt;35,EJ36+EI37-ER36,IF(A37&lt;'Données projet'!$A$192,$EG$205^A37,IF(A37='Données projet'!$A$192,'Données projet'!$B$192,EJ36+EI37-ER36)))</f>
        <v>265.29015833333347</v>
      </c>
      <c r="EK37" s="17">
        <f>EJ37*VLOOKUP('Données projet'!$B$15,Paramètres!$A$1:$I$89,3,0)*VLOOKUP('Données projet'!$B$15,Paramètres!$A$1:$I$89,5,0)</f>
        <v>211.06484997000013</v>
      </c>
      <c r="EL37" s="13">
        <f t="shared" si="45"/>
        <v>52.168213664856331</v>
      </c>
      <c r="EM37" s="20">
        <f t="shared" si="19"/>
        <v>458.46425249737496</v>
      </c>
      <c r="EN37" s="59">
        <f t="shared" si="20"/>
        <v>751.79758583070827</v>
      </c>
      <c r="EO37" s="59">
        <f ca="1">AVERAGE(OFFSET($EN$3,0,0,'Données projet'!$E$15+1,1))-AVERAGE(OFFSET($H$3,0,0,'Données projet'!$E$15+1,1))</f>
        <v>316.52407313312403</v>
      </c>
      <c r="EP37" s="59">
        <f t="shared" si="46"/>
        <v>340.55949748167382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8.3656747644787455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8.3656747644787455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9.9205000000000041</v>
      </c>
      <c r="FE37" s="12">
        <f>IF('Données projet'!$A$218&gt;35,FE36+FD37-FM36,IF(A37&lt;'Données projet'!$A$218,$FB$205^A37,IF(A37='Données projet'!$A$218,'Données projet'!$B$218,FE36+FD37-FM36)))</f>
        <v>211.56158333333337</v>
      </c>
      <c r="FF37" s="17">
        <f>FE37*VLOOKUP('Données projet'!$B$16,Paramètres!$A$1:$I$89,3,0)*VLOOKUP('Données projet'!$B$16,Paramètres!$A$1:$I$89,5,0)</f>
        <v>138.61514940000001</v>
      </c>
      <c r="FG37" s="13">
        <f t="shared" si="47"/>
        <v>35.979572351988139</v>
      </c>
      <c r="FH37" s="20">
        <f t="shared" si="22"/>
        <v>304.08580705137939</v>
      </c>
      <c r="FI37" s="59">
        <f t="shared" si="23"/>
        <v>597.4191403847127</v>
      </c>
      <c r="FJ37" s="59">
        <f ca="1">AVERAGE(OFFSET($FI$3,0,0,'Données projet'!$E$16+1,1))-AVERAGE(OFFSET($H$3,0,0,'Données projet'!$E$16+1,1))</f>
        <v>199.99826357281154</v>
      </c>
      <c r="FK37" s="59">
        <f t="shared" si="48"/>
        <v>214.67424457475136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4.4612324059470732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4.4612324059470732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299</v>
      </c>
      <c r="L38" s="12">
        <f>VLOOKUP(A38,'Données projet'!$A$35:$I$55,9,0)</f>
        <v>19.399999999999999</v>
      </c>
      <c r="M38" s="12">
        <f t="array" ref="M38">INDEX(L:L,MIN(IF(ISNUMBER(L38:L234),ROW(L38:L234),"")))</f>
        <v>19.399999999999999</v>
      </c>
      <c r="N38" s="13">
        <f>IF('Données projet'!$A$36&gt;35,N37+M38-V37,IF(A38&lt;'Données projet'!$A$36,$K$205^A38,IF(A38='Données projet'!$A$36,'Données projet'!$B$36,N37+M38-V37)))</f>
        <v>298.99999999999994</v>
      </c>
      <c r="O38" s="13">
        <f>N38*VLOOKUP('Données projet'!$B$9,Paramètres!$A$1:$I$89,3,0)*VLOOKUP('Données projet'!$B$9,Paramètres!$A$1:$I$89,5,0)</f>
        <v>178.80199999999999</v>
      </c>
      <c r="P38" s="13">
        <f t="shared" si="33"/>
        <v>45.055549739375941</v>
      </c>
      <c r="Q38" s="20">
        <f t="shared" si="53"/>
        <v>389.88523246274644</v>
      </c>
      <c r="R38" s="59">
        <f t="shared" si="0"/>
        <v>683.2185657960797</v>
      </c>
      <c r="S38" s="59">
        <f ca="1">AVERAGE(OFFSET($R$3,0,0,'Données projet'!$E$9+1,1))-AVERAGE(OFFSET($H$3,0,0,'Données projet'!$E$9+1,1))</f>
        <v>284.60021367910457</v>
      </c>
      <c r="T38" s="59">
        <f t="shared" si="34"/>
        <v>301.41905904220812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55</v>
      </c>
      <c r="W38" s="16">
        <f>IF(ISNA(VLOOKUP(A38,'Données projet'!$A$35:$I$55,5,0)),0%,VLOOKUP(A38,'Données projet'!$A$35:$I$55,5,0)*VLOOKUP('Données projet'!$B$9,Paramètres!$A$1:$I$89,7,0))</f>
        <v>0.315</v>
      </c>
      <c r="X38" s="16">
        <f>IF(ISNA(VLOOKUP(A38,'Données projet'!$A$35:$I$55,6,0)),0%,VLOOKUP(A38,'Données projet'!$A$35:$I$55,6,0)*VLOOKUP('Données projet'!$B$9,Paramètres!$A$1:$I$89,7,0))</f>
        <v>7.5600000000000001E-2</v>
      </c>
      <c r="Y38" s="16">
        <f>IF(ISNA(VLOOKUP(A38,'Données projet'!$A$35:$I$55,7,0)),0%,VLOOKUP(A38,'Données projet'!$A$35:$I$55,7,0))</f>
        <v>0.13200000000000001</v>
      </c>
      <c r="Z38" s="21">
        <f>EXP(-LN(2)/35)*Z37+(1-EXP(-LN(2)/35))/(LN(2)/35)*V38*W38*VLOOKUP('Données projet'!$B$9,Paramètres!$A$1:$I$89,3,0)*0.475*44/12</f>
        <v>36.129891821831293</v>
      </c>
      <c r="AA38" s="21">
        <f>EXP(-LN(2)/25)*AA37+(1-EXP(-LN(2)/25))/(LN(2)/25)*Calculateur!V38*Calculateur!X38*VLOOKUP('Données projet'!$B$9,Paramètres!$A$1:$I$89,3,0)*0.475*44/12</f>
        <v>10.127911934383061</v>
      </c>
      <c r="AB38" s="21">
        <f>EXP(-LN(2)/2)*AB37+(1-EXP(-LN(2)/2))/(LN(2)/2)*V38*Y38*VLOOKUP('Données projet'!$B$9,Paramètres!$A$1:$I$89,3,0)*0.475*44/12</f>
        <v>5.8854012199624606</v>
      </c>
      <c r="AC38" s="22">
        <f t="shared" si="3"/>
        <v>52.143204976176818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233</v>
      </c>
      <c r="AG38" s="12">
        <f>VLOOKUP(A38,'Données projet'!$A$61:$I$81,9,0)</f>
        <v>14.6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233.00000000000003</v>
      </c>
      <c r="AJ38" s="13">
        <f>AI38*VLOOKUP('Données projet'!$B$10,Paramètres!$A$1:$I$89,3,0)*VLOOKUP('Données projet'!$B$10,Paramètres!$A$1:$I$89,5,0)</f>
        <v>139.33400000000003</v>
      </c>
      <c r="AK38" s="13">
        <f t="shared" si="35"/>
        <v>36.144391930570897</v>
      </c>
      <c r="AL38" s="20">
        <f t="shared" si="4"/>
        <v>305.62486594574438</v>
      </c>
      <c r="AM38" s="59">
        <f t="shared" si="5"/>
        <v>598.95819927907769</v>
      </c>
      <c r="AN38" s="59">
        <f ca="1">AVERAGE(OFFSET($AM$3,0,0,'Données projet'!$E$10+1,1))-AVERAGE(OFFSET($H$3,0,0,'Données projet'!$E$10+1,1))</f>
        <v>294.45857786714919</v>
      </c>
      <c r="AO38" s="59">
        <f t="shared" si="36"/>
        <v>221.9773436301067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41</v>
      </c>
      <c r="AR38" s="16">
        <f>IF(ISNA(VLOOKUP(A38,'Données projet'!$A$61:$I$81,5,0)),0%,VLOOKUP(A38,'Données projet'!$A$61:$I$81,5,0)*VLOOKUP('Données projet'!$B$10,Paramètres!$A$1:$I$89,7,0))</f>
        <v>0.315</v>
      </c>
      <c r="AS38" s="16">
        <f>IF(ISNA(VLOOKUP(A38,'Données projet'!$A$61:$I$81,6,0)),0%,VLOOKUP(A38,'Données projet'!$A$61:$I$81,6,0)*VLOOKUP('Données projet'!$B$10,Paramètres!$A$1:$I$89,7,0))</f>
        <v>7.5600000000000001E-2</v>
      </c>
      <c r="AT38" s="16">
        <f>IF(ISNA(VLOOKUP(A38,'Données projet'!$A$61:$I$81,7,0)),0%,VLOOKUP(A38,'Données projet'!$A$61:$I$81,7,0))</f>
        <v>0.13200000000000001</v>
      </c>
      <c r="AU38" s="21">
        <f>EXP(-LN(2)/35)*AU37+(1-EXP(-LN(2)/35))/(LN(2)/35)*AQ38*AR38*VLOOKUP('Données projet'!$B$10,Paramètres!$A$1:$I$89,3,0)*0.475*44/12</f>
        <v>21.425211684547111</v>
      </c>
      <c r="AV38" s="21">
        <f>EXP(-LN(2)/25)*AV37+(1-EXP(-LN(2)/25))/(LN(2)/25)*Calculateur!AQ38*Calculateur!AS38*VLOOKUP('Données projet'!$B$10,Paramètres!$A$1:$I$89,3,0)*0.475*44/12</f>
        <v>7.2087006714966329</v>
      </c>
      <c r="AW38" s="21">
        <f>EXP(-LN(2)/2)*AW37+(1-EXP(-LN(2)/2))/(LN(2)/2)*AQ38*AT38*VLOOKUP('Données projet'!$B$10,Paramètres!$A$1:$I$89,3,0)*0.475*44/12</f>
        <v>4.3016468845000206</v>
      </c>
      <c r="AX38" s="21">
        <f t="shared" si="6"/>
        <v>32.935559240543768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410</v>
      </c>
      <c r="BB38" s="12">
        <f>VLOOKUP(A38,'Données projet'!$A$87:$I$107,9,0)</f>
        <v>24.8</v>
      </c>
      <c r="BC38" s="12">
        <f t="array" ref="BC38">INDEX(BB:BB,MIN(IF(ISNUMBER(BB38:BB234),ROW(BB38:BB234),"")))</f>
        <v>24.8</v>
      </c>
      <c r="BD38" s="12">
        <f>IF('Données projet'!$A$88&gt;35,BD37+BC38-BL37,IF(A38&lt;'Données projet'!$A$88,$BA$205^A38,IF(A38='Données projet'!$A$88,'Données projet'!$B$88,BD37+BC38-BL37)))</f>
        <v>410.00000000000011</v>
      </c>
      <c r="BE38" s="13">
        <f>BD38*VLOOKUP('Données projet'!$B$11,Paramètres!$A$1:$I$89,3,0)*VLOOKUP('Données projet'!$B$11,Paramètres!$A$1:$I$89,5,0)</f>
        <v>229.19000000000005</v>
      </c>
      <c r="BF38" s="13">
        <f t="shared" si="37"/>
        <v>56.107504648403449</v>
      </c>
      <c r="BG38" s="20">
        <f t="shared" si="7"/>
        <v>496.89315392930274</v>
      </c>
      <c r="BH38" s="59">
        <f t="shared" si="8"/>
        <v>790.22648726263606</v>
      </c>
      <c r="BI38" s="59">
        <f ca="1">AVERAGE(OFFSET($BH$3,0,0,'Données projet'!$E$11+1,1))-AVERAGE(OFFSET($H$3,0,0,'Données projet'!$E$11+1,1))</f>
        <v>304.91676868833792</v>
      </c>
      <c r="BJ38" s="59">
        <f t="shared" si="38"/>
        <v>365.95065044620048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49</v>
      </c>
      <c r="BM38" s="16">
        <f>IF(ISNA(VLOOKUP(A38,'Données projet'!$A$87:$I$107,5,0)),0%,VLOOKUP(A38,'Données projet'!$A$87:$I$107,5,0)*VLOOKUP('Données projet'!$B$11,Paramètres!$A$1:$I$89,7,0))</f>
        <v>0.38500000000000001</v>
      </c>
      <c r="BN38" s="16">
        <f>IF(ISNA(VLOOKUP(A38,'Données projet'!$A$87:$I$107,6,0)),0%,VLOOKUP(A38,'Données projet'!$A$87:$I$107,6,0)*VLOOKUP('Données projet'!$B$11,Paramètres!$A$1:$I$89,7,0))</f>
        <v>9.240000000000001E-2</v>
      </c>
      <c r="BO38" s="16">
        <f>IF(ISNA(VLOOKUP(A38,'Données projet'!$A$87:$I$107,7,0)),0%,VLOOKUP(A38,'Données projet'!$A$87:$I$107,7,0))</f>
        <v>0.13200000000000001</v>
      </c>
      <c r="BP38" s="21">
        <f>EXP(-LN(2)/35)*BP37+(1-EXP(-LN(2)/35))/(LN(2)/35)*BL38*BM38*VLOOKUP('Données projet'!$B$11,Paramètres!$A$1:$I$89,3,0)*0.475*44/12</f>
        <v>24.849733846743835</v>
      </c>
      <c r="BQ38" s="21">
        <f>EXP(-LN(2)/25)*BQ37+(1-EXP(-LN(2)/25))/(LN(2)/25)*Calculateur!BL38*Calculateur!BN38*VLOOKUP('Données projet'!$B$11,Paramètres!$A$1:$I$89,3,0)*0.475*44/12</f>
        <v>8.2533881175773107</v>
      </c>
      <c r="BR38" s="21">
        <f>EXP(-LN(2)/2)*BR37+(1-EXP(-LN(2)/2))/(LN(2)/2)*BL38*BO38*VLOOKUP('Données projet'!$B$11,Paramètres!$A$1:$I$89,3,0)*0.475*44/12</f>
        <v>4.8358405109967517</v>
      </c>
      <c r="BS38" s="22">
        <f t="shared" si="9"/>
        <v>37.938962475317901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</v>
      </c>
      <c r="BY38" s="12">
        <f>IF('Données projet'!$A$114&gt;35,BY37+BX38-CG37,IF(A38&lt;'Données projet'!$A$114,$BV$205^A38,IF(A38='Données projet'!$A$114,'Données projet'!$B$114,BY37+BX38-CG37)))</f>
        <v>224.49999999999986</v>
      </c>
      <c r="BZ38" s="13">
        <f>BY38*VLOOKUP('Données projet'!$B$12,Paramètres!$A$1:$I$89,3,0)*VLOOKUP('Données projet'!$B$12,Paramètres!$A$1:$I$89,5,0)</f>
        <v>105.06599999999995</v>
      </c>
      <c r="CA38" s="13">
        <f t="shared" si="39"/>
        <v>28.165409079424791</v>
      </c>
      <c r="CB38" s="20">
        <f t="shared" si="10"/>
        <v>232.04470414666477</v>
      </c>
      <c r="CC38" s="59">
        <f t="shared" si="11"/>
        <v>525.37803747999806</v>
      </c>
      <c r="CD38" s="59">
        <f ca="1">AVERAGE(OFFSET($CC$3,0,0,'Données projet'!$E$12+1,1))-AVERAGE(OFFSET($H$3,0,0,'Données projet'!$E$12+1,1))</f>
        <v>259.87681411271632</v>
      </c>
      <c r="CE38" s="59">
        <f t="shared" si="40"/>
        <v>191.8684235641158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9.5254023766367428</v>
      </c>
      <c r="CL38" s="21">
        <f>EXP(-LN(2)/25)*CL37+(1-EXP(-LN(2)/25))/(LN(2)/25)*Calculateur!CG38*Calculateur!CI38*VLOOKUP('Données projet'!$B$12,Paramètres!$A$1:$I$89,3,0)*0.475*44/12</f>
        <v>6.2358093246874136</v>
      </c>
      <c r="CM38" s="21">
        <f>EXP(-LN(2)/2)*CM37+(1-EXP(-LN(2)/2))/(LN(2)/2)*CG38*CJ38*VLOOKUP('Données projet'!$B$12,Paramètres!$A$1:$I$89,3,0)*0.475*44/12</f>
        <v>0.57701501610829087</v>
      </c>
      <c r="CN38" s="22">
        <f t="shared" si="12"/>
        <v>16.338226717432448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</v>
      </c>
      <c r="CT38" s="12">
        <f>IF('Données projet'!$A$140&gt;35,CT37+CS38-DB37,IF(A38&lt;'Données projet'!$A$140,$CQ$205^A38,IF(A38='Données projet'!$A$140,'Données projet'!$B$140,CT37+CS38-DB37)))</f>
        <v>160.6</v>
      </c>
      <c r="CU38" s="17">
        <f>CT38*VLOOKUP('Données projet'!$B$13,Paramètres!$A$1:$I$89,3,0)*VLOOKUP('Données projet'!$B$13,Paramètres!$A$1:$I$89,5,0)</f>
        <v>75.160799999999995</v>
      </c>
      <c r="CV38" s="13">
        <f t="shared" si="41"/>
        <v>20.949712174382356</v>
      </c>
      <c r="CW38" s="20">
        <f t="shared" si="13"/>
        <v>167.39247537038258</v>
      </c>
      <c r="CX38" s="59">
        <f t="shared" si="14"/>
        <v>460.72580870371587</v>
      </c>
      <c r="CY38" s="59">
        <f ca="1">AVERAGE(OFFSET($CX$3,0,0,'Données projet'!$E$13+1,1))-AVERAGE(OFFSET($H$3,0,0,'Données projet'!$E$13+1,1))</f>
        <v>137.59122085719031</v>
      </c>
      <c r="CZ38" s="59">
        <f t="shared" si="42"/>
        <v>130.1134470448718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6.7976735142362212</v>
      </c>
      <c r="DG38" s="21">
        <f>EXP(-LN(2)/25)*DG37+(1-EXP(-LN(2)/25))/(LN(2)/25)*Calculateur!DB38*Calculateur!DD38*VLOOKUP('Données projet'!$B$13,Paramètres!$A$1:$I$89,3,0)*0.475*44/12</f>
        <v>4.4520684846331608</v>
      </c>
      <c r="DH38" s="21">
        <f>EXP(-LN(2)/2)*DH37+(1-EXP(-LN(2)/2))/(LN(2)/2)*DB38*DE38*VLOOKUP('Données projet'!$B$13,Paramètres!$A$1:$I$89,3,0)*0.475*44/12</f>
        <v>0.41787221389770962</v>
      </c>
      <c r="DI38" s="22">
        <f t="shared" si="15"/>
        <v>11.667614212767091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3.6388888888888888</v>
      </c>
      <c r="DO38" s="12">
        <f>IF('Données projet'!$A$166&gt;35,DO37+DN38-DW37,IF(A38&lt;'Données projet'!$A$166,$DL$205^A38,IF(A38='Données projet'!$A$166,'Données projet'!$B$166,DO37+DN38-DW37)))</f>
        <v>127.36111111111103</v>
      </c>
      <c r="DP38" s="17">
        <f>DO38*VLOOKUP('Données projet'!$B$14,Paramètres!$A$1:$I$89,3,0)*VLOOKUP('Données projet'!$B$14,Paramètres!$A$1:$I$89,5,0)</f>
        <v>129.14416666666659</v>
      </c>
      <c r="DQ38" s="13">
        <f t="shared" si="43"/>
        <v>33.798525419662028</v>
      </c>
      <c r="DR38" s="20">
        <f t="shared" si="16"/>
        <v>283.79185538368898</v>
      </c>
      <c r="DS38" s="59">
        <f t="shared" si="17"/>
        <v>577.1251887170223</v>
      </c>
      <c r="DT38" s="59">
        <f ca="1">AVERAGE(OFFSET($DS$3,0,0,'Données projet'!$E$14+1,1))-AVERAGE(OFFSET($H$3,0,0,'Données projet'!$E$14+1,1))</f>
        <v>313.90901812281373</v>
      </c>
      <c r="DU38" s="59">
        <f t="shared" si="44"/>
        <v>210.54265725995265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277.7444583333334</v>
      </c>
      <c r="EH38" s="12">
        <f>VLOOKUP(A38,'Données projet'!$A$191:$I$211,9,0)</f>
        <v>12.454300000000007</v>
      </c>
      <c r="EI38" s="12">
        <f t="array" ref="EI38">INDEX(EH:EH,MIN(IF(ISNUMBER(EH38:EH234),ROW(EH38:EH234),"")))</f>
        <v>12.454300000000007</v>
      </c>
      <c r="EJ38" s="12">
        <f>IF('Données projet'!$A$192&gt;35,EJ37+EI38-ER37,IF(A38&lt;'Données projet'!$A$192,$EG$205^A38,IF(A38='Données projet'!$A$192,'Données projet'!$B$192,EJ37+EI38-ER37)))</f>
        <v>277.74445833333345</v>
      </c>
      <c r="EK38" s="17">
        <f>EJ38*VLOOKUP('Données projet'!$B$15,Paramètres!$A$1:$I$89,3,0)*VLOOKUP('Données projet'!$B$15,Paramètres!$A$1:$I$89,5,0)</f>
        <v>220.97349105000009</v>
      </c>
      <c r="EL38" s="13">
        <f t="shared" si="45"/>
        <v>54.326414790352565</v>
      </c>
      <c r="EM38" s="20">
        <f t="shared" si="19"/>
        <v>479.48066933861418</v>
      </c>
      <c r="EN38" s="59">
        <f t="shared" si="20"/>
        <v>772.81400267194749</v>
      </c>
      <c r="EO38" s="59">
        <f ca="1">AVERAGE(OFFSET($EN$3,0,0,'Données projet'!$E$15+1,1))-AVERAGE(OFFSET($H$3,0,0,'Données projet'!$E$15+1,1))</f>
        <v>316.52407313312403</v>
      </c>
      <c r="EP38" s="59">
        <f t="shared" si="46"/>
        <v>340.55949748167382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46.290743055555566</v>
      </c>
      <c r="ES38" s="16">
        <f>IF(ISNA(VLOOKUP(A38,'Données projet'!$A$191:$I$211,5,0)),0%,VLOOKUP(A38,'Données projet'!$A$191:$I$211,5,0)*VLOOKUP('Données projet'!$B$15,Paramètres!$A$1:$I$89,7,0))</f>
        <v>0.371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23.306253949170195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23.306253949170195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221.48208333333338</v>
      </c>
      <c r="FC38" s="12">
        <f>VLOOKUP(A38,'Données projet'!$A$217:$I$237,9,0)</f>
        <v>9.9205000000000041</v>
      </c>
      <c r="FD38" s="12">
        <f t="array" ref="FD38">INDEX(FC:FC,MIN(IF(ISNUMBER(FC38:FC234),ROW(FC38:FC234),"")))</f>
        <v>9.9205000000000041</v>
      </c>
      <c r="FE38" s="12">
        <f>IF('Données projet'!$A$218&gt;35,FE37+FD38-FM37,IF(A38&lt;'Données projet'!$A$218,$FB$205^A38,IF(A38='Données projet'!$A$218,'Données projet'!$B$218,FE37+FD38-FM37)))</f>
        <v>221.48208333333338</v>
      </c>
      <c r="FF38" s="17">
        <f>FE38*VLOOKUP('Données projet'!$B$16,Paramètres!$A$1:$I$89,3,0)*VLOOKUP('Données projet'!$B$16,Paramètres!$A$1:$I$89,5,0)</f>
        <v>145.11506100000003</v>
      </c>
      <c r="FG38" s="13">
        <f t="shared" si="47"/>
        <v>37.466335683617302</v>
      </c>
      <c r="FH38" s="20">
        <f t="shared" si="22"/>
        <v>317.99593255730014</v>
      </c>
      <c r="FI38" s="59">
        <f t="shared" si="23"/>
        <v>611.32926589063345</v>
      </c>
      <c r="FJ38" s="59">
        <f ca="1">AVERAGE(OFFSET($FI$3,0,0,'Données projet'!$E$16+1,1))-AVERAGE(OFFSET($H$3,0,0,'Données projet'!$E$16+1,1))</f>
        <v>199.99826357281154</v>
      </c>
      <c r="FK38" s="59">
        <f t="shared" si="48"/>
        <v>214.67424457475136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36.913680555555565</v>
      </c>
      <c r="FN38" s="16">
        <f>IF(ISNA(VLOOKUP(A38,'Données projet'!$A$217:$I$237,5,0)),0%,VLOOKUP(A38,'Données projet'!$A$217:$I$237,5,0)*VLOOKUP('Données projet'!$B$16,Paramètres!$A$1:$I$89,7,0))</f>
        <v>0.30099999999999999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12.421507171123666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12.421507171123666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17.600000000000001</v>
      </c>
      <c r="N39" s="13">
        <f>IF('Données projet'!$A$36&gt;35,N38+M39-V38,IF(A39&lt;'Données projet'!$A$36,$K$205^A39,IF(A39='Données projet'!$A$36,'Données projet'!$B$36,N38+M39-V38)))</f>
        <v>261.59999999999997</v>
      </c>
      <c r="O39" s="13">
        <f>N39*VLOOKUP('Données projet'!$B$9,Paramètres!$A$1:$I$89,3,0)*VLOOKUP('Données projet'!$B$9,Paramètres!$A$1:$I$89,5,0)</f>
        <v>156.43679999999998</v>
      </c>
      <c r="P39" s="13">
        <f t="shared" si="33"/>
        <v>40.037775291207829</v>
      </c>
      <c r="Q39" s="20">
        <f t="shared" si="53"/>
        <v>342.19321863218693</v>
      </c>
      <c r="R39" s="59">
        <f t="shared" si="0"/>
        <v>635.52655196552018</v>
      </c>
      <c r="S39" s="59">
        <f ca="1">AVERAGE(OFFSET($R$3,0,0,'Données projet'!$E$9+1,1))-AVERAGE(OFFSET($H$3,0,0,'Données projet'!$E$9+1,1))</f>
        <v>284.60021367910457</v>
      </c>
      <c r="T39" s="59">
        <f t="shared" si="34"/>
        <v>301.41905904220812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35.421406680263217</v>
      </c>
      <c r="AA39" s="21">
        <f>EXP(-LN(2)/25)*AA38+(1-EXP(-LN(2)/25))/(LN(2)/25)*Calculateur!V39*Calculateur!X39*VLOOKUP('Données projet'!$B$9,Paramètres!$A$1:$I$89,3,0)*0.475*44/12</f>
        <v>9.8509636499336146</v>
      </c>
      <c r="AB39" s="21">
        <f>EXP(-LN(2)/2)*AB38+(1-EXP(-LN(2)/2))/(LN(2)/2)*V39*Y39*VLOOKUP('Données projet'!$B$9,Paramètres!$A$1:$I$89,3,0)*0.475*44/12</f>
        <v>4.1616071126390359</v>
      </c>
      <c r="AC39" s="22">
        <f t="shared" si="3"/>
        <v>49.433977442835868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</v>
      </c>
      <c r="AI39" s="13">
        <f>IF('Données projet'!$A$62&gt;35,AI38+AH39-AQ38,IF(A39&lt;'Données projet'!$A$62,$AF$205^A39,IF(A39='Données projet'!$A$62,'Données projet'!$B$62,AI38+AH39-AQ38)))</f>
        <v>206.40000000000003</v>
      </c>
      <c r="AJ39" s="13">
        <f>AI39*VLOOKUP('Données projet'!$B$10,Paramètres!$A$1:$I$89,3,0)*VLOOKUP('Données projet'!$B$10,Paramètres!$A$1:$I$89,5,0)</f>
        <v>123.42720000000003</v>
      </c>
      <c r="AK39" s="13">
        <f t="shared" si="35"/>
        <v>32.473022671122074</v>
      </c>
      <c r="AL39" s="20">
        <f t="shared" si="4"/>
        <v>271.5262211522043</v>
      </c>
      <c r="AM39" s="59">
        <f t="shared" si="5"/>
        <v>564.85955448553761</v>
      </c>
      <c r="AN39" s="59">
        <f ca="1">AVERAGE(OFFSET($AM$3,0,0,'Données projet'!$E$10+1,1))-AVERAGE(OFFSET($H$3,0,0,'Données projet'!$E$10+1,1))</f>
        <v>294.45857786714919</v>
      </c>
      <c r="AO39" s="59">
        <f t="shared" si="36"/>
        <v>221.9773436301067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21.005076351501902</v>
      </c>
      <c r="AV39" s="21">
        <f>EXP(-LN(2)/25)*AV38+(1-EXP(-LN(2)/25))/(LN(2)/25)*Calculateur!AQ39*Calculateur!AS39*VLOOKUP('Données projet'!$B$10,Paramètres!$A$1:$I$89,3,0)*0.475*44/12</f>
        <v>7.0115783725454648</v>
      </c>
      <c r="AW39" s="21">
        <f>EXP(-LN(2)/2)*AW38+(1-EXP(-LN(2)/2))/(LN(2)/2)*AQ39*AT39*VLOOKUP('Données projet'!$B$10,Paramètres!$A$1:$I$89,3,0)*0.475*44/12</f>
        <v>3.04172368229995</v>
      </c>
      <c r="AX39" s="21">
        <f t="shared" si="6"/>
        <v>31.058378406347316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24</v>
      </c>
      <c r="BD39" s="12">
        <f>IF('Données projet'!$A$88&gt;35,BD38+BC39-BL38,IF(A39&lt;'Données projet'!$A$88,$BA$205^A39,IF(A39='Données projet'!$A$88,'Données projet'!$B$88,BD38+BC39-BL38)))</f>
        <v>385.00000000000011</v>
      </c>
      <c r="BE39" s="13">
        <f>BD39*VLOOKUP('Données projet'!$B$11,Paramètres!$A$1:$I$89,3,0)*VLOOKUP('Données projet'!$B$11,Paramètres!$A$1:$I$89,5,0)</f>
        <v>215.21500000000006</v>
      </c>
      <c r="BF39" s="13">
        <f t="shared" si="37"/>
        <v>53.07356235351866</v>
      </c>
      <c r="BG39" s="20">
        <f t="shared" si="7"/>
        <v>467.26924609904512</v>
      </c>
      <c r="BH39" s="59">
        <f t="shared" si="8"/>
        <v>760.60257943237843</v>
      </c>
      <c r="BI39" s="59">
        <f ca="1">AVERAGE(OFFSET($BH$3,0,0,'Données projet'!$E$11+1,1))-AVERAGE(OFFSET($H$3,0,0,'Données projet'!$E$11+1,1))</f>
        <v>304.91676868833792</v>
      </c>
      <c r="BJ39" s="59">
        <f t="shared" si="38"/>
        <v>365.95065044620048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24.362445722850222</v>
      </c>
      <c r="BQ39" s="21">
        <f>EXP(-LN(2)/25)*BQ38+(1-EXP(-LN(2)/25))/(LN(2)/25)*Calculateur!BL39*Calculateur!BN39*VLOOKUP('Données projet'!$B$11,Paramètres!$A$1:$I$89,3,0)*0.475*44/12</f>
        <v>8.0276987854753408</v>
      </c>
      <c r="BR39" s="21">
        <f>EXP(-LN(2)/2)*BR38+(1-EXP(-LN(2)/2))/(LN(2)/2)*BL39*BO39*VLOOKUP('Données projet'!$B$11,Paramètres!$A$1:$I$89,3,0)*0.475*44/12</f>
        <v>3.4194556180624227</v>
      </c>
      <c r="BS39" s="22">
        <f t="shared" si="9"/>
        <v>35.809600126387984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</v>
      </c>
      <c r="BY39" s="12">
        <f>IF('Données projet'!$A$114&gt;35,BY38+BX39-CG38,IF(A39&lt;'Données projet'!$A$114,$BV$205^A39,IF(A39='Données projet'!$A$114,'Données projet'!$B$114,BY38+BX39-CG38)))</f>
        <v>234.59999999999985</v>
      </c>
      <c r="BZ39" s="13">
        <f>BY39*VLOOKUP('Données projet'!$B$12,Paramètres!$A$1:$I$89,3,0)*VLOOKUP('Données projet'!$B$12,Paramètres!$A$1:$I$89,5,0)</f>
        <v>109.79279999999993</v>
      </c>
      <c r="CA39" s="13">
        <f t="shared" si="39"/>
        <v>29.282161280908586</v>
      </c>
      <c r="CB39" s="20">
        <f t="shared" si="10"/>
        <v>242.22222423091566</v>
      </c>
      <c r="CC39" s="59">
        <f t="shared" si="11"/>
        <v>535.55555756424894</v>
      </c>
      <c r="CD39" s="59">
        <f ca="1">AVERAGE(OFFSET($CC$3,0,0,'Données projet'!$E$12+1,1))-AVERAGE(OFFSET($H$3,0,0,'Données projet'!$E$12+1,1))</f>
        <v>259.87681411271632</v>
      </c>
      <c r="CE39" s="59">
        <f t="shared" si="40"/>
        <v>191.8684235641158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9.3386150459526647</v>
      </c>
      <c r="CL39" s="21">
        <f>EXP(-LN(2)/25)*CL38+(1-EXP(-LN(2)/25))/(LN(2)/25)*Calculateur!CG39*Calculateur!CI39*VLOOKUP('Données projet'!$B$12,Paramètres!$A$1:$I$89,3,0)*0.475*44/12</f>
        <v>6.0652907907768761</v>
      </c>
      <c r="CM39" s="21">
        <f>EXP(-LN(2)/2)*CM38+(1-EXP(-LN(2)/2))/(LN(2)/2)*CG39*CJ39*VLOOKUP('Données projet'!$B$12,Paramètres!$A$1:$I$89,3,0)*0.475*44/12</f>
        <v>0.40801123073663748</v>
      </c>
      <c r="CN39" s="22">
        <f t="shared" si="12"/>
        <v>15.811917067466178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</v>
      </c>
      <c r="CT39" s="12">
        <f>IF('Données projet'!$A$140&gt;35,CT38+CS39-DB38,IF(A39&lt;'Données projet'!$A$140,$CQ$205^A39,IF(A39='Données projet'!$A$140,'Données projet'!$B$140,CT38+CS39-DB38)))</f>
        <v>167.6</v>
      </c>
      <c r="CU39" s="17">
        <f>CT39*VLOOKUP('Données projet'!$B$13,Paramètres!$A$1:$I$89,3,0)*VLOOKUP('Données projet'!$B$13,Paramètres!$A$1:$I$89,5,0)</f>
        <v>78.436800000000005</v>
      </c>
      <c r="CV39" s="13">
        <f t="shared" si="41"/>
        <v>21.75453574783166</v>
      </c>
      <c r="CW39" s="20">
        <f t="shared" si="13"/>
        <v>174.49990976080679</v>
      </c>
      <c r="CX39" s="59">
        <f t="shared" si="14"/>
        <v>467.83324309414013</v>
      </c>
      <c r="CY39" s="59">
        <f ca="1">AVERAGE(OFFSET($CX$3,0,0,'Données projet'!$E$13+1,1))-AVERAGE(OFFSET($H$3,0,0,'Données projet'!$E$13+1,1))</f>
        <v>137.59122085719031</v>
      </c>
      <c r="CZ39" s="59">
        <f t="shared" si="42"/>
        <v>130.1134470448718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6.6643752827934923</v>
      </c>
      <c r="DG39" s="21">
        <f>EXP(-LN(2)/25)*DG38+(1-EXP(-LN(2)/25))/(LN(2)/25)*Calculateur!DB39*Calculateur!DD39*VLOOKUP('Données projet'!$B$13,Paramètres!$A$1:$I$89,3,0)*0.475*44/12</f>
        <v>4.330326437796761</v>
      </c>
      <c r="DH39" s="21">
        <f>EXP(-LN(2)/2)*DH38+(1-EXP(-LN(2)/2))/(LN(2)/2)*DB39*DE39*VLOOKUP('Données projet'!$B$13,Paramètres!$A$1:$I$89,3,0)*0.475*44/12</f>
        <v>0.29548027611650596</v>
      </c>
      <c r="DI39" s="22">
        <f t="shared" si="15"/>
        <v>11.290181996706758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131</v>
      </c>
      <c r="DM39" s="12">
        <f>VLOOKUP(A39,'Données projet'!$A$165:$I$185,9,0)</f>
        <v>3.6388888888888888</v>
      </c>
      <c r="DN39" s="12">
        <f t="array" ref="DN39">INDEX(DM:DM,MIN(IF(ISNUMBER(DM39:DM235),ROW(DM39:DM235),"")))</f>
        <v>3.6388888888888888</v>
      </c>
      <c r="DO39" s="12">
        <f>IF('Données projet'!$A$166&gt;35,DO38+DN39-DW38,IF(A39&lt;'Données projet'!$A$166,$DL$205^A39,IF(A39='Données projet'!$A$166,'Données projet'!$B$166,DO38+DN39-DW38)))</f>
        <v>130.99999999999991</v>
      </c>
      <c r="DP39" s="17">
        <f>DO39*VLOOKUP('Données projet'!$B$14,Paramètres!$A$1:$I$89,3,0)*VLOOKUP('Données projet'!$B$14,Paramètres!$A$1:$I$89,5,0)</f>
        <v>132.83399999999992</v>
      </c>
      <c r="DQ39" s="13">
        <f t="shared" si="43"/>
        <v>34.650389334852221</v>
      </c>
      <c r="DR39" s="20">
        <f t="shared" si="16"/>
        <v>291.70197809153416</v>
      </c>
      <c r="DS39" s="59">
        <f t="shared" si="17"/>
        <v>585.03531142486747</v>
      </c>
      <c r="DT39" s="59">
        <f ca="1">AVERAGE(OFFSET($DS$3,0,0,'Données projet'!$E$14+1,1))-AVERAGE(OFFSET($H$3,0,0,'Données projet'!$E$14+1,1))</f>
        <v>313.90901812281373</v>
      </c>
      <c r="DU39" s="59">
        <f t="shared" si="44"/>
        <v>210.54265725995265</v>
      </c>
      <c r="DV39" s="15">
        <f>IF(ISNA(VLOOKUP(A39,'Données projet'!$A$165:$I$185,3,0)),0,VLOOKUP(A39,'Données projet'!$A$165:$I$185,3,0))</f>
        <v>1</v>
      </c>
      <c r="DW39" s="15">
        <f>IF(ISNA(VLOOKUP(A39,'Données projet'!$A$165:$I$185,4,0)),0,VLOOKUP(A39,'Données projet'!$A$165:$I$185,4,0))</f>
        <v>36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14.98229999999999</v>
      </c>
      <c r="EJ39" s="12">
        <f>IF('Données projet'!$A$192&gt;35,EJ38+EI39-ER38,IF(A39&lt;'Données projet'!$A$192,$EG$205^A39,IF(A39='Données projet'!$A$192,'Données projet'!$B$192,EJ38+EI39-ER38)))</f>
        <v>246.4360152777779</v>
      </c>
      <c r="EK39" s="17">
        <f>EJ39*VLOOKUP('Données projet'!$B$15,Paramètres!$A$1:$I$89,3,0)*VLOOKUP('Données projet'!$B$15,Paramètres!$A$1:$I$89,5,0)</f>
        <v>196.06449375500011</v>
      </c>
      <c r="EL39" s="13">
        <f t="shared" si="45"/>
        <v>48.878264721638679</v>
      </c>
      <c r="EM39" s="20">
        <f t="shared" si="19"/>
        <v>426.60863768014588</v>
      </c>
      <c r="EN39" s="59">
        <f t="shared" si="20"/>
        <v>719.94197101347913</v>
      </c>
      <c r="EO39" s="59">
        <f ca="1">AVERAGE(OFFSET($EN$3,0,0,'Données projet'!$E$15+1,1))-AVERAGE(OFFSET($H$3,0,0,'Données projet'!$E$15+1,1))</f>
        <v>316.52407313312403</v>
      </c>
      <c r="EP39" s="59">
        <f t="shared" si="46"/>
        <v>340.55949748167382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22.849232524638222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22.849232524638222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11.926499999999994</v>
      </c>
      <c r="FE39" s="12">
        <f>IF('Données projet'!$A$218&gt;35,FE38+FD39-FM38,IF(A39&lt;'Données projet'!$A$218,$FB$205^A39,IF(A39='Données projet'!$A$218,'Données projet'!$B$218,FE38+FD39-FM38)))</f>
        <v>196.49490277777781</v>
      </c>
      <c r="FF39" s="17">
        <f>FE39*VLOOKUP('Données projet'!$B$16,Paramètres!$A$1:$I$89,3,0)*VLOOKUP('Données projet'!$B$16,Paramètres!$A$1:$I$89,5,0)</f>
        <v>128.74346030000001</v>
      </c>
      <c r="FG39" s="13">
        <f t="shared" si="47"/>
        <v>33.705845975983756</v>
      </c>
      <c r="FH39" s="20">
        <f t="shared" si="22"/>
        <v>282.93254176400507</v>
      </c>
      <c r="FI39" s="59">
        <f t="shared" si="23"/>
        <v>576.26587509733838</v>
      </c>
      <c r="FJ39" s="59">
        <f ca="1">AVERAGE(OFFSET($FI$3,0,0,'Données projet'!$E$16+1,1))-AVERAGE(OFFSET($H$3,0,0,'Données projet'!$E$16+1,1))</f>
        <v>199.99826357281154</v>
      </c>
      <c r="FK39" s="59">
        <f t="shared" si="48"/>
        <v>214.67424457475136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12.177928991869202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12.177928991869202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17.600000000000001</v>
      </c>
      <c r="N40" s="13">
        <f>IF('Données projet'!$A$36&gt;35,N39+M40-V39,IF(A40&lt;'Données projet'!$A$36,$K$205^A40,IF(A40='Données projet'!$A$36,'Données projet'!$B$36,N39+M40-V39)))</f>
        <v>279.2</v>
      </c>
      <c r="O40" s="13">
        <f>N40*VLOOKUP('Données projet'!$B$9,Paramètres!$A$1:$I$89,3,0)*VLOOKUP('Données projet'!$B$9,Paramètres!$A$1:$I$89,5,0)</f>
        <v>166.9616</v>
      </c>
      <c r="P40" s="13">
        <f t="shared" si="33"/>
        <v>42.40881044639989</v>
      </c>
      <c r="Q40" s="20">
        <f t="shared" si="53"/>
        <v>364.65346486081313</v>
      </c>
      <c r="R40" s="59">
        <f t="shared" si="0"/>
        <v>657.98679819414644</v>
      </c>
      <c r="S40" s="59">
        <f ca="1">AVERAGE(OFFSET($R$3,0,0,'Données projet'!$E$9+1,1))-AVERAGE(OFFSET($H$3,0,0,'Données projet'!$E$9+1,1))</f>
        <v>284.60021367910457</v>
      </c>
      <c r="T40" s="59">
        <f t="shared" si="34"/>
        <v>301.41905904220812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34.72681450018802</v>
      </c>
      <c r="AA40" s="21">
        <f>EXP(-LN(2)/25)*AA39+(1-EXP(-LN(2)/25))/(LN(2)/25)*Calculateur!V40*Calculateur!X40*VLOOKUP('Données projet'!$B$9,Paramètres!$A$1:$I$89,3,0)*0.475*44/12</f>
        <v>9.581588530886517</v>
      </c>
      <c r="AB40" s="21">
        <f>EXP(-LN(2)/2)*AB39+(1-EXP(-LN(2)/2))/(LN(2)/2)*V40*Y40*VLOOKUP('Données projet'!$B$9,Paramètres!$A$1:$I$89,3,0)*0.475*44/12</f>
        <v>2.9427006099812307</v>
      </c>
      <c r="AC40" s="22">
        <f t="shared" si="3"/>
        <v>47.251103641055764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</v>
      </c>
      <c r="AI40" s="13">
        <f>IF('Données projet'!$A$62&gt;35,AI39+AH40-AQ39,IF(A40&lt;'Données projet'!$A$62,$AF$205^A40,IF(A40='Données projet'!$A$62,'Données projet'!$B$62,AI39+AH40-AQ39)))</f>
        <v>220.80000000000004</v>
      </c>
      <c r="AJ40" s="13">
        <f>AI40*VLOOKUP('Données projet'!$B$10,Paramètres!$A$1:$I$89,3,0)*VLOOKUP('Données projet'!$B$10,Paramètres!$A$1:$I$89,5,0)</f>
        <v>132.03840000000005</v>
      </c>
      <c r="AK40" s="13">
        <f t="shared" si="35"/>
        <v>34.466946374534373</v>
      </c>
      <c r="AL40" s="20">
        <f t="shared" si="4"/>
        <v>289.99681160231415</v>
      </c>
      <c r="AM40" s="59">
        <f t="shared" si="5"/>
        <v>583.33014493564747</v>
      </c>
      <c r="AN40" s="59">
        <f ca="1">AVERAGE(OFFSET($AM$3,0,0,'Données projet'!$E$10+1,1))-AVERAGE(OFFSET($H$3,0,0,'Données projet'!$E$10+1,1))</f>
        <v>294.45857786714919</v>
      </c>
      <c r="AO40" s="59">
        <f t="shared" si="36"/>
        <v>221.9773436301067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20.593179616080462</v>
      </c>
      <c r="AV40" s="21">
        <f>EXP(-LN(2)/25)*AV39+(1-EXP(-LN(2)/25))/(LN(2)/25)*Calculateur!AQ40*Calculateur!AS40*VLOOKUP('Données projet'!$B$10,Paramètres!$A$1:$I$89,3,0)*0.475*44/12</f>
        <v>6.8198463932253279</v>
      </c>
      <c r="AW40" s="21">
        <f>EXP(-LN(2)/2)*AW39+(1-EXP(-LN(2)/2))/(LN(2)/2)*AQ40*AT40*VLOOKUP('Données projet'!$B$10,Paramètres!$A$1:$I$89,3,0)*0.475*44/12</f>
        <v>2.1508234422500103</v>
      </c>
      <c r="AX40" s="21">
        <f t="shared" si="6"/>
        <v>29.5638494515558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24</v>
      </c>
      <c r="BD40" s="12">
        <f>IF('Données projet'!$A$88&gt;35,BD39+BC40-BL39,IF(A40&lt;'Données projet'!$A$88,$BA$205^A40,IF(A40='Données projet'!$A$88,'Données projet'!$B$88,BD39+BC40-BL39)))</f>
        <v>409.00000000000011</v>
      </c>
      <c r="BE40" s="13">
        <f>BD40*VLOOKUP('Données projet'!$B$11,Paramètres!$A$1:$I$89,3,0)*VLOOKUP('Données projet'!$B$11,Paramètres!$A$1:$I$89,5,0)</f>
        <v>228.63100000000006</v>
      </c>
      <c r="BF40" s="13">
        <f t="shared" si="37"/>
        <v>55.986568953377507</v>
      </c>
      <c r="BG40" s="20">
        <f t="shared" si="7"/>
        <v>495.70893259379926</v>
      </c>
      <c r="BH40" s="59">
        <f t="shared" si="8"/>
        <v>789.04226592713258</v>
      </c>
      <c r="BI40" s="59">
        <f ca="1">AVERAGE(OFFSET($BH$3,0,0,'Données projet'!$E$11+1,1))-AVERAGE(OFFSET($H$3,0,0,'Données projet'!$E$11+1,1))</f>
        <v>304.91676868833792</v>
      </c>
      <c r="BJ40" s="59">
        <f t="shared" si="38"/>
        <v>365.95065044620048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23.884713021849752</v>
      </c>
      <c r="BQ40" s="21">
        <f>EXP(-LN(2)/25)*BQ39+(1-EXP(-LN(2)/25))/(LN(2)/25)*Calculateur!BL40*Calculateur!BN40*VLOOKUP('Données projet'!$B$11,Paramètres!$A$1:$I$89,3,0)*0.475*44/12</f>
        <v>7.8081809400281861</v>
      </c>
      <c r="BR40" s="21">
        <f>EXP(-LN(2)/2)*BR39+(1-EXP(-LN(2)/2))/(LN(2)/2)*BL40*BO40*VLOOKUP('Données projet'!$B$11,Paramètres!$A$1:$I$89,3,0)*0.475*44/12</f>
        <v>2.4179202554983763</v>
      </c>
      <c r="BS40" s="22">
        <f t="shared" si="9"/>
        <v>34.110814217376316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</v>
      </c>
      <c r="BY40" s="12">
        <f>IF('Données projet'!$A$114&gt;35,BY39+BX40-CG39,IF(A40&lt;'Données projet'!$A$114,$BV$205^A40,IF(A40='Données projet'!$A$114,'Données projet'!$B$114,BY39+BX40-CG39)))</f>
        <v>244.69999999999985</v>
      </c>
      <c r="BZ40" s="13">
        <f>BY40*VLOOKUP('Données projet'!$B$12,Paramètres!$A$1:$I$89,3,0)*VLOOKUP('Données projet'!$B$12,Paramètres!$A$1:$I$89,5,0)</f>
        <v>114.51959999999993</v>
      </c>
      <c r="CA40" s="13">
        <f t="shared" si="39"/>
        <v>30.393329331608626</v>
      </c>
      <c r="CB40" s="20">
        <f t="shared" si="10"/>
        <v>252.39001858588486</v>
      </c>
      <c r="CC40" s="59">
        <f t="shared" si="11"/>
        <v>545.7233519192182</v>
      </c>
      <c r="CD40" s="59">
        <f ca="1">AVERAGE(OFFSET($CC$3,0,0,'Données projet'!$E$12+1,1))-AVERAGE(OFFSET($H$3,0,0,'Données projet'!$E$12+1,1))</f>
        <v>259.87681411271632</v>
      </c>
      <c r="CE40" s="59">
        <f t="shared" si="40"/>
        <v>191.8684235641158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9.1554905008942775</v>
      </c>
      <c r="CL40" s="21">
        <f>EXP(-LN(2)/25)*CL39+(1-EXP(-LN(2)/25))/(LN(2)/25)*Calculateur!CG40*Calculateur!CI40*VLOOKUP('Données projet'!$B$12,Paramètres!$A$1:$I$89,3,0)*0.475*44/12</f>
        <v>5.8994350951433017</v>
      </c>
      <c r="CM40" s="21">
        <f>EXP(-LN(2)/2)*CM39+(1-EXP(-LN(2)/2))/(LN(2)/2)*CG40*CJ40*VLOOKUP('Données projet'!$B$12,Paramètres!$A$1:$I$89,3,0)*0.475*44/12</f>
        <v>0.28850750805414549</v>
      </c>
      <c r="CN40" s="22">
        <f t="shared" si="12"/>
        <v>15.343433104091725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</v>
      </c>
      <c r="CT40" s="12">
        <f>IF('Données projet'!$A$140&gt;35,CT39+CS40-DB39,IF(A40&lt;'Données projet'!$A$140,$CQ$205^A40,IF(A40='Données projet'!$A$140,'Données projet'!$B$140,CT39+CS40-DB39)))</f>
        <v>174.6</v>
      </c>
      <c r="CU40" s="17">
        <f>CT40*VLOOKUP('Données projet'!$B$13,Paramètres!$A$1:$I$89,3,0)*VLOOKUP('Données projet'!$B$13,Paramètres!$A$1:$I$89,5,0)</f>
        <v>81.712800000000001</v>
      </c>
      <c r="CV40" s="13">
        <f t="shared" si="41"/>
        <v>22.55545490774292</v>
      </c>
      <c r="CW40" s="20">
        <f t="shared" si="13"/>
        <v>181.60054396431892</v>
      </c>
      <c r="CX40" s="59">
        <f t="shared" si="14"/>
        <v>474.9338772976522</v>
      </c>
      <c r="CY40" s="59">
        <f ca="1">AVERAGE(OFFSET($CX$3,0,0,'Données projet'!$E$13+1,1))-AVERAGE(OFFSET($H$3,0,0,'Données projet'!$E$13+1,1))</f>
        <v>137.59122085719031</v>
      </c>
      <c r="CZ40" s="59">
        <f t="shared" si="42"/>
        <v>130.1134470448718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6.5336909483654617</v>
      </c>
      <c r="DG40" s="21">
        <f>EXP(-LN(2)/25)*DG39+(1-EXP(-LN(2)/25))/(LN(2)/25)*Calculateur!DB40*Calculateur!DD40*VLOOKUP('Données projet'!$B$13,Paramètres!$A$1:$I$89,3,0)*0.475*44/12</f>
        <v>4.2119134336332387</v>
      </c>
      <c r="DH40" s="21">
        <f>EXP(-LN(2)/2)*DH39+(1-EXP(-LN(2)/2))/(LN(2)/2)*DB40*DE40*VLOOKUP('Données projet'!$B$13,Paramètres!$A$1:$I$89,3,0)*0.475*44/12</f>
        <v>0.20893610694885484</v>
      </c>
      <c r="DI40" s="22">
        <f t="shared" si="15"/>
        <v>10.954540488947554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8.8333333333333339</v>
      </c>
      <c r="DO40" s="12">
        <f>IF('Données projet'!$A$166&gt;35,DO39+DN40-DW39,IF(A40&lt;'Données projet'!$A$166,$DL$205^A40,IF(A40='Données projet'!$A$166,'Données projet'!$B$166,DO39+DN40-DW39)))</f>
        <v>103.83333333333326</v>
      </c>
      <c r="DP40" s="17">
        <f>DO40*VLOOKUP('Données projet'!$B$14,Paramètres!$A$1:$I$89,3,0)*VLOOKUP('Données projet'!$B$14,Paramètres!$A$1:$I$89,5,0)</f>
        <v>105.28699999999992</v>
      </c>
      <c r="DQ40" s="13">
        <f t="shared" si="43"/>
        <v>28.217750887150615</v>
      </c>
      <c r="DR40" s="20">
        <f t="shared" si="16"/>
        <v>232.52077446178714</v>
      </c>
      <c r="DS40" s="59">
        <f t="shared" si="17"/>
        <v>525.8541077951204</v>
      </c>
      <c r="DT40" s="59">
        <f ca="1">AVERAGE(OFFSET($DS$3,0,0,'Données projet'!$E$14+1,1))-AVERAGE(OFFSET($H$3,0,0,'Données projet'!$E$14+1,1))</f>
        <v>313.90901812281373</v>
      </c>
      <c r="DU40" s="59">
        <f t="shared" si="44"/>
        <v>210.54265725995265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14.98229999999999</v>
      </c>
      <c r="EJ40" s="12">
        <f>IF('Données projet'!$A$192&gt;35,EJ39+EI40-ER39,IF(A40&lt;'Données projet'!$A$192,$EG$205^A40,IF(A40='Données projet'!$A$192,'Données projet'!$B$192,EJ39+EI40-ER39)))</f>
        <v>261.41831527777788</v>
      </c>
      <c r="EK40" s="17">
        <f>EJ40*VLOOKUP('Données projet'!$B$15,Paramètres!$A$1:$I$89,3,0)*VLOOKUP('Données projet'!$B$15,Paramètres!$A$1:$I$89,5,0)</f>
        <v>207.98441163500007</v>
      </c>
      <c r="EL40" s="13">
        <f t="shared" si="45"/>
        <v>51.494882004036533</v>
      </c>
      <c r="EM40" s="20">
        <f t="shared" si="19"/>
        <v>451.92643642132202</v>
      </c>
      <c r="EN40" s="59">
        <f t="shared" si="20"/>
        <v>745.25976975465528</v>
      </c>
      <c r="EO40" s="59">
        <f ca="1">AVERAGE(OFFSET($EN$3,0,0,'Données projet'!$E$15+1,1))-AVERAGE(OFFSET($H$3,0,0,'Données projet'!$E$15+1,1))</f>
        <v>316.52407313312403</v>
      </c>
      <c r="EP40" s="59">
        <f t="shared" si="46"/>
        <v>340.55949748167382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22.401173011485774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22.401173011485774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11.926499999999994</v>
      </c>
      <c r="FE40" s="12">
        <f>IF('Données projet'!$A$218&gt;35,FE39+FD40-FM39,IF(A40&lt;'Données projet'!$A$218,$FB$205^A40,IF(A40='Données projet'!$A$218,'Données projet'!$B$218,FE39+FD40-FM39)))</f>
        <v>208.42140277777781</v>
      </c>
      <c r="FF40" s="17">
        <f>FE40*VLOOKUP('Données projet'!$B$16,Paramètres!$A$1:$I$89,3,0)*VLOOKUP('Données projet'!$B$16,Paramètres!$A$1:$I$89,5,0)</f>
        <v>136.55770310000003</v>
      </c>
      <c r="FG40" s="13">
        <f t="shared" si="47"/>
        <v>35.507284681535943</v>
      </c>
      <c r="FH40" s="20">
        <f t="shared" si="22"/>
        <v>299.67985371950846</v>
      </c>
      <c r="FI40" s="59">
        <f t="shared" si="23"/>
        <v>593.01318705284177</v>
      </c>
      <c r="FJ40" s="59">
        <f ca="1">AVERAGE(OFFSET($FI$3,0,0,'Données projet'!$E$16+1,1))-AVERAGE(OFFSET($H$3,0,0,'Données projet'!$E$16+1,1))</f>
        <v>199.99826357281154</v>
      </c>
      <c r="FK40" s="59">
        <f t="shared" si="48"/>
        <v>214.67424457475136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11.939127232141898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11.939127232141898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17.600000000000001</v>
      </c>
      <c r="N41" s="13">
        <f>IF('Données projet'!$A$36&gt;35,N40+M41-V40,IF(A41&lt;'Données projet'!$A$36,$K$205^A41,IF(A41='Données projet'!$A$36,'Données projet'!$B$36,N40+M41-V40)))</f>
        <v>296.8</v>
      </c>
      <c r="O41" s="13">
        <f>N41*VLOOKUP('Données projet'!$B$9,Paramètres!$A$1:$I$89,3,0)*VLOOKUP('Données projet'!$B$9,Paramètres!$A$1:$I$89,5,0)</f>
        <v>177.48640000000003</v>
      </c>
      <c r="P41" s="13">
        <f t="shared" si="33"/>
        <v>44.762499594286325</v>
      </c>
      <c r="Q41" s="20">
        <f t="shared" si="53"/>
        <v>387.08350012671536</v>
      </c>
      <c r="R41" s="59">
        <f t="shared" si="0"/>
        <v>680.41683346004868</v>
      </c>
      <c r="S41" s="59">
        <f ca="1">AVERAGE(OFFSET($R$3,0,0,'Données projet'!$E$9+1,1))-AVERAGE(OFFSET($H$3,0,0,'Données projet'!$E$9+1,1))</f>
        <v>284.60021367910457</v>
      </c>
      <c r="T41" s="59">
        <f t="shared" si="34"/>
        <v>301.41905904220812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34.045842849104702</v>
      </c>
      <c r="AA41" s="21">
        <f>EXP(-LN(2)/25)*AA40+(1-EXP(-LN(2)/25))/(LN(2)/25)*Calculateur!V41*Calculateur!X41*VLOOKUP('Données projet'!$B$9,Paramètres!$A$1:$I$89,3,0)*0.475*44/12</f>
        <v>9.3195794886355827</v>
      </c>
      <c r="AB41" s="21">
        <f>EXP(-LN(2)/2)*AB40+(1-EXP(-LN(2)/2))/(LN(2)/2)*V41*Y41*VLOOKUP('Données projet'!$B$9,Paramètres!$A$1:$I$89,3,0)*0.475*44/12</f>
        <v>2.0808035563195184</v>
      </c>
      <c r="AC41" s="22">
        <f t="shared" si="3"/>
        <v>45.446225894059801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</v>
      </c>
      <c r="AI41" s="13">
        <f>IF('Données projet'!$A$62&gt;35,AI40+AH41-AQ40,IF(A41&lt;'Données projet'!$A$62,$AF$205^A41,IF(A41='Données projet'!$A$62,'Données projet'!$B$62,AI40+AH41-AQ40)))</f>
        <v>235.20000000000005</v>
      </c>
      <c r="AJ41" s="13">
        <f>AI41*VLOOKUP('Données projet'!$B$10,Paramètres!$A$1:$I$89,3,0)*VLOOKUP('Données projet'!$B$10,Paramètres!$A$1:$I$89,5,0)</f>
        <v>140.64960000000002</v>
      </c>
      <c r="AK41" s="13">
        <f t="shared" si="35"/>
        <v>36.445779615258601</v>
      </c>
      <c r="AL41" s="20">
        <f t="shared" si="4"/>
        <v>308.44111949657542</v>
      </c>
      <c r="AM41" s="59">
        <f t="shared" si="5"/>
        <v>601.7744528299088</v>
      </c>
      <c r="AN41" s="59">
        <f ca="1">AVERAGE(OFFSET($AM$3,0,0,'Données projet'!$E$10+1,1))-AVERAGE(OFFSET($H$3,0,0,'Données projet'!$E$10+1,1))</f>
        <v>294.45857786714919</v>
      </c>
      <c r="AO41" s="59">
        <f t="shared" si="36"/>
        <v>221.9773436301067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20.189359924408436</v>
      </c>
      <c r="AV41" s="21">
        <f>EXP(-LN(2)/25)*AV40+(1-EXP(-LN(2)/25))/(LN(2)/25)*Calculateur!AQ41*Calculateur!AS41*VLOOKUP('Données projet'!$B$10,Paramètres!$A$1:$I$89,3,0)*0.475*44/12</f>
        <v>6.6333573349624464</v>
      </c>
      <c r="AW41" s="21">
        <f>EXP(-LN(2)/2)*AW40+(1-EXP(-LN(2)/2))/(LN(2)/2)*AQ41*AT41*VLOOKUP('Données projet'!$B$10,Paramètres!$A$1:$I$89,3,0)*0.475*44/12</f>
        <v>1.520861841149975</v>
      </c>
      <c r="AX41" s="21">
        <f t="shared" si="6"/>
        <v>28.343579100520859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24</v>
      </c>
      <c r="BD41" s="12">
        <f>IF('Données projet'!$A$88&gt;35,BD40+BC41-BL40,IF(A41&lt;'Données projet'!$A$88,$BA$205^A41,IF(A41='Données projet'!$A$88,'Données projet'!$B$88,BD40+BC41-BL40)))</f>
        <v>433.00000000000011</v>
      </c>
      <c r="BE41" s="13">
        <f>BD41*VLOOKUP('Données projet'!$B$11,Paramètres!$A$1:$I$89,3,0)*VLOOKUP('Données projet'!$B$11,Paramètres!$A$1:$I$89,5,0)</f>
        <v>242.04700000000008</v>
      </c>
      <c r="BF41" s="13">
        <f t="shared" si="37"/>
        <v>58.879734570359574</v>
      </c>
      <c r="BG41" s="20">
        <f t="shared" si="7"/>
        <v>524.11406271004307</v>
      </c>
      <c r="BH41" s="59">
        <f t="shared" si="8"/>
        <v>817.44739604337633</v>
      </c>
      <c r="BI41" s="59">
        <f ca="1">AVERAGE(OFFSET($BH$3,0,0,'Données projet'!$E$11+1,1))-AVERAGE(OFFSET($H$3,0,0,'Données projet'!$E$11+1,1))</f>
        <v>304.91676868833792</v>
      </c>
      <c r="BJ41" s="59">
        <f t="shared" si="38"/>
        <v>365.95065044620048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23.416348367727728</v>
      </c>
      <c r="BQ41" s="21">
        <f>EXP(-LN(2)/25)*BQ40+(1-EXP(-LN(2)/25))/(LN(2)/25)*Calculateur!BL41*Calculateur!BN41*VLOOKUP('Données projet'!$B$11,Paramètres!$A$1:$I$89,3,0)*0.475*44/12</f>
        <v>7.5946658216087259</v>
      </c>
      <c r="BR41" s="21">
        <f>EXP(-LN(2)/2)*BR40+(1-EXP(-LN(2)/2))/(LN(2)/2)*BL41*BO41*VLOOKUP('Données projet'!$B$11,Paramètres!$A$1:$I$89,3,0)*0.475*44/12</f>
        <v>1.7097278090312116</v>
      </c>
      <c r="BS41" s="22">
        <f t="shared" si="9"/>
        <v>32.720741998367664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</v>
      </c>
      <c r="BY41" s="12">
        <f>IF('Données projet'!$A$114&gt;35,BY40+BX41-CG40,IF(A41&lt;'Données projet'!$A$114,$BV$205^A41,IF(A41='Données projet'!$A$114,'Données projet'!$B$114,BY40+BX41-CG40)))</f>
        <v>254.79999999999984</v>
      </c>
      <c r="BZ41" s="13">
        <f>BY41*VLOOKUP('Données projet'!$B$12,Paramètres!$A$1:$I$89,3,0)*VLOOKUP('Données projet'!$B$12,Paramètres!$A$1:$I$89,5,0)</f>
        <v>119.24639999999992</v>
      </c>
      <c r="CA41" s="13">
        <f t="shared" si="39"/>
        <v>31.499170077667014</v>
      </c>
      <c r="CB41" s="20">
        <f t="shared" si="10"/>
        <v>262.5485345519366</v>
      </c>
      <c r="CC41" s="59">
        <f t="shared" si="11"/>
        <v>555.88186788526991</v>
      </c>
      <c r="CD41" s="59">
        <f ca="1">AVERAGE(OFFSET($CC$3,0,0,'Données projet'!$E$12+1,1))-AVERAGE(OFFSET($H$3,0,0,'Données projet'!$E$12+1,1))</f>
        <v>259.87681411271632</v>
      </c>
      <c r="CE41" s="59">
        <f t="shared" si="40"/>
        <v>191.8684235641158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8.9759569164695421</v>
      </c>
      <c r="CL41" s="21">
        <f>EXP(-LN(2)/25)*CL40+(1-EXP(-LN(2)/25))/(LN(2)/25)*Calculateur!CG41*Calculateur!CI41*VLOOKUP('Données projet'!$B$12,Paramètres!$A$1:$I$89,3,0)*0.475*44/12</f>
        <v>5.7381147322287998</v>
      </c>
      <c r="CM41" s="21">
        <f>EXP(-LN(2)/2)*CM40+(1-EXP(-LN(2)/2))/(LN(2)/2)*CG41*CJ41*VLOOKUP('Données projet'!$B$12,Paramètres!$A$1:$I$89,3,0)*0.475*44/12</f>
        <v>0.20400561536831877</v>
      </c>
      <c r="CN41" s="22">
        <f t="shared" si="12"/>
        <v>14.91807726406666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</v>
      </c>
      <c r="CT41" s="12">
        <f>IF('Données projet'!$A$140&gt;35,CT40+CS41-DB40,IF(A41&lt;'Données projet'!$A$140,$CQ$205^A41,IF(A41='Données projet'!$A$140,'Données projet'!$B$140,CT40+CS41-DB40)))</f>
        <v>181.6</v>
      </c>
      <c r="CU41" s="17">
        <f>CT41*VLOOKUP('Données projet'!$B$13,Paramètres!$A$1:$I$89,3,0)*VLOOKUP('Données projet'!$B$13,Paramètres!$A$1:$I$89,5,0)</f>
        <v>84.988799999999998</v>
      </c>
      <c r="CV41" s="13">
        <f t="shared" si="41"/>
        <v>23.352644097155146</v>
      </c>
      <c r="CW41" s="20">
        <f t="shared" si="13"/>
        <v>188.6946818025452</v>
      </c>
      <c r="CX41" s="59">
        <f t="shared" si="14"/>
        <v>482.02801513587849</v>
      </c>
      <c r="CY41" s="59">
        <f ca="1">AVERAGE(OFFSET($CX$3,0,0,'Données projet'!$E$13+1,1))-AVERAGE(OFFSET($H$3,0,0,'Données projet'!$E$13+1,1))</f>
        <v>137.59122085719031</v>
      </c>
      <c r="CZ41" s="59">
        <f t="shared" si="42"/>
        <v>130.1134470448718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6.4055692540259921</v>
      </c>
      <c r="DG41" s="21">
        <f>EXP(-LN(2)/25)*DG40+(1-EXP(-LN(2)/25))/(LN(2)/25)*Calculateur!DB41*Calculateur!DD41*VLOOKUP('Données projet'!$B$13,Paramètres!$A$1:$I$89,3,0)*0.475*44/12</f>
        <v>4.0967384392956365</v>
      </c>
      <c r="DH41" s="21">
        <f>EXP(-LN(2)/2)*DH40+(1-EXP(-LN(2)/2))/(LN(2)/2)*DB41*DE41*VLOOKUP('Données projet'!$B$13,Paramètres!$A$1:$I$89,3,0)*0.475*44/12</f>
        <v>0.14774013805825301</v>
      </c>
      <c r="DI41" s="22">
        <f t="shared" si="15"/>
        <v>10.650047831379883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8.8333333333333339</v>
      </c>
      <c r="DO41" s="12">
        <f>IF('Données projet'!$A$166&gt;35,DO40+DN41-DW40,IF(A41&lt;'Données projet'!$A$166,$DL$205^A41,IF(A41='Données projet'!$A$166,'Données projet'!$B$166,DO40+DN41-DW40)))</f>
        <v>112.66666666666659</v>
      </c>
      <c r="DP41" s="17">
        <f>DO41*VLOOKUP('Données projet'!$B$14,Paramètres!$A$1:$I$89,3,0)*VLOOKUP('Données projet'!$B$14,Paramètres!$A$1:$I$89,5,0)</f>
        <v>114.24399999999991</v>
      </c>
      <c r="DQ41" s="13">
        <f t="shared" si="43"/>
        <v>30.328690387624277</v>
      </c>
      <c r="DR41" s="20">
        <f t="shared" si="16"/>
        <v>251.79743575844546</v>
      </c>
      <c r="DS41" s="59">
        <f t="shared" si="17"/>
        <v>545.1307690917788</v>
      </c>
      <c r="DT41" s="59">
        <f ca="1">AVERAGE(OFFSET($DS$3,0,0,'Données projet'!$E$14+1,1))-AVERAGE(OFFSET($H$3,0,0,'Données projet'!$E$14+1,1))</f>
        <v>313.90901812281373</v>
      </c>
      <c r="DU41" s="59">
        <f t="shared" si="44"/>
        <v>210.54265725995265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14.98229999999999</v>
      </c>
      <c r="EJ41" s="12">
        <f>IF('Données projet'!$A$192&gt;35,EJ40+EI41-ER40,IF(A41&lt;'Données projet'!$A$192,$EG$205^A41,IF(A41='Données projet'!$A$192,'Données projet'!$B$192,EJ40+EI41-ER40)))</f>
        <v>276.40061527777789</v>
      </c>
      <c r="EK41" s="17">
        <f>EJ41*VLOOKUP('Données projet'!$B$15,Paramètres!$A$1:$I$89,3,0)*VLOOKUP('Données projet'!$B$15,Paramètres!$A$1:$I$89,5,0)</f>
        <v>219.90432951500009</v>
      </c>
      <c r="EL41" s="13">
        <f t="shared" si="45"/>
        <v>54.094091687018476</v>
      </c>
      <c r="EM41" s="20">
        <f t="shared" si="19"/>
        <v>477.21391692684892</v>
      </c>
      <c r="EN41" s="59">
        <f t="shared" si="20"/>
        <v>770.54725026018218</v>
      </c>
      <c r="EO41" s="59">
        <f ca="1">AVERAGE(OFFSET($EN$3,0,0,'Données projet'!$E$15+1,1))-AVERAGE(OFFSET($H$3,0,0,'Données projet'!$E$15+1,1))</f>
        <v>316.52407313312403</v>
      </c>
      <c r="EP41" s="59">
        <f t="shared" si="46"/>
        <v>340.55949748167382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21.96189967209693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21.96189967209693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11.926499999999994</v>
      </c>
      <c r="FE41" s="12">
        <f>IF('Données projet'!$A$218&gt;35,FE40+FD41-FM40,IF(A41&lt;'Données projet'!$A$218,$FB$205^A41,IF(A41='Données projet'!$A$218,'Données projet'!$B$218,FE40+FD41-FM40)))</f>
        <v>220.34790277777782</v>
      </c>
      <c r="FF41" s="17">
        <f>FE41*VLOOKUP('Données projet'!$B$16,Paramètres!$A$1:$I$89,3,0)*VLOOKUP('Données projet'!$B$16,Paramètres!$A$1:$I$89,5,0)</f>
        <v>144.37194590000004</v>
      </c>
      <c r="FG41" s="13">
        <f t="shared" si="47"/>
        <v>37.296757418721668</v>
      </c>
      <c r="FH41" s="20">
        <f t="shared" si="22"/>
        <v>316.40632494677362</v>
      </c>
      <c r="FI41" s="59">
        <f t="shared" si="23"/>
        <v>609.73965828010694</v>
      </c>
      <c r="FJ41" s="59">
        <f ca="1">AVERAGE(OFFSET($FI$3,0,0,'Données projet'!$E$16+1,1))-AVERAGE(OFFSET($H$3,0,0,'Données projet'!$E$16+1,1))</f>
        <v>199.99826357281154</v>
      </c>
      <c r="FK41" s="59">
        <f t="shared" si="48"/>
        <v>214.67424457475136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11.705008229268154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11.705008229268154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17.600000000000001</v>
      </c>
      <c r="N42" s="13">
        <f>IF('Données projet'!$A$36&gt;35,N41+M42-V41,IF(A42&lt;'Données projet'!$A$36,$K$205^A42,IF(A42='Données projet'!$A$36,'Données projet'!$B$36,N41+M42-V41)))</f>
        <v>314.40000000000003</v>
      </c>
      <c r="O42" s="13">
        <f>N42*VLOOKUP('Données projet'!$B$9,Paramètres!$A$1:$I$89,3,0)*VLOOKUP('Données projet'!$B$9,Paramètres!$A$1:$I$89,5,0)</f>
        <v>188.01120000000003</v>
      </c>
      <c r="P42" s="13">
        <f t="shared" si="33"/>
        <v>47.099988496590989</v>
      </c>
      <c r="Q42" s="20">
        <f t="shared" si="53"/>
        <v>409.48531996489601</v>
      </c>
      <c r="R42" s="59">
        <f t="shared" si="0"/>
        <v>702.81865329822926</v>
      </c>
      <c r="S42" s="59">
        <f ca="1">AVERAGE(OFFSET($R$3,0,0,'Données projet'!$E$9+1,1))-AVERAGE(OFFSET($H$3,0,0,'Données projet'!$E$9+1,1))</f>
        <v>284.60021367910457</v>
      </c>
      <c r="T42" s="59">
        <f t="shared" si="34"/>
        <v>301.41905904220812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33.378224636747433</v>
      </c>
      <c r="AA42" s="21">
        <f>EXP(-LN(2)/25)*AA41+(1-EXP(-LN(2)/25))/(LN(2)/25)*Calculateur!V42*Calculateur!X42*VLOOKUP('Données projet'!$B$9,Paramètres!$A$1:$I$89,3,0)*0.475*44/12</f>
        <v>9.0647350974234584</v>
      </c>
      <c r="AB42" s="21">
        <f>EXP(-LN(2)/2)*AB41+(1-EXP(-LN(2)/2))/(LN(2)/2)*V42*Y42*VLOOKUP('Données projet'!$B$9,Paramètres!$A$1:$I$89,3,0)*0.475*44/12</f>
        <v>1.4713503049906158</v>
      </c>
      <c r="AC42" s="22">
        <f t="shared" si="3"/>
        <v>43.914310039161506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</v>
      </c>
      <c r="AI42" s="13">
        <f>IF('Données projet'!$A$62&gt;35,AI41+AH42-AQ41,IF(A42&lt;'Données projet'!$A$62,$AF$205^A42,IF(A42='Données projet'!$A$62,'Données projet'!$B$62,AI41+AH42-AQ41)))</f>
        <v>249.60000000000005</v>
      </c>
      <c r="AJ42" s="13">
        <f>AI42*VLOOKUP('Données projet'!$B$10,Paramètres!$A$1:$I$89,3,0)*VLOOKUP('Données projet'!$B$10,Paramètres!$A$1:$I$89,5,0)</f>
        <v>149.26080000000005</v>
      </c>
      <c r="AK42" s="13">
        <f t="shared" si="35"/>
        <v>38.410551499792909</v>
      </c>
      <c r="AL42" s="20">
        <f t="shared" si="4"/>
        <v>326.86093719547273</v>
      </c>
      <c r="AM42" s="59">
        <f t="shared" si="5"/>
        <v>620.1942705288061</v>
      </c>
      <c r="AN42" s="59">
        <f ca="1">AVERAGE(OFFSET($AM$3,0,0,'Données projet'!$E$10+1,1))-AVERAGE(OFFSET($H$3,0,0,'Données projet'!$E$10+1,1))</f>
        <v>294.45857786714919</v>
      </c>
      <c r="AO42" s="59">
        <f t="shared" si="36"/>
        <v>221.9773436301067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19.793458890584404</v>
      </c>
      <c r="AV42" s="21">
        <f>EXP(-LN(2)/25)*AV41+(1-EXP(-LN(2)/25))/(LN(2)/25)*Calculateur!AQ42*Calculateur!AS42*VLOOKUP('Données projet'!$B$10,Paramètres!$A$1:$I$89,3,0)*0.475*44/12</f>
        <v>6.4519678298047971</v>
      </c>
      <c r="AW42" s="21">
        <f>EXP(-LN(2)/2)*AW41+(1-EXP(-LN(2)/2))/(LN(2)/2)*AQ42*AT42*VLOOKUP('Données projet'!$B$10,Paramètres!$A$1:$I$89,3,0)*0.475*44/12</f>
        <v>1.0754117211250052</v>
      </c>
      <c r="AX42" s="21">
        <f t="shared" si="6"/>
        <v>27.320838441514205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24</v>
      </c>
      <c r="BD42" s="12">
        <f>IF('Données projet'!$A$88&gt;35,BD41+BC42-BL41,IF(A42&lt;'Données projet'!$A$88,$BA$205^A42,IF(A42='Données projet'!$A$88,'Données projet'!$B$88,BD41+BC42-BL41)))</f>
        <v>457.00000000000011</v>
      </c>
      <c r="BE42" s="13">
        <f>BD42*VLOOKUP('Données projet'!$B$11,Paramètres!$A$1:$I$89,3,0)*VLOOKUP('Données projet'!$B$11,Paramètres!$A$1:$I$89,5,0)</f>
        <v>255.46300000000008</v>
      </c>
      <c r="BF42" s="13">
        <f t="shared" si="37"/>
        <v>61.754284280703082</v>
      </c>
      <c r="BG42" s="20">
        <f t="shared" si="7"/>
        <v>552.48677012222458</v>
      </c>
      <c r="BH42" s="59">
        <f t="shared" si="8"/>
        <v>845.82010345555796</v>
      </c>
      <c r="BI42" s="59">
        <f ca="1">AVERAGE(OFFSET($BH$3,0,0,'Données projet'!$E$11+1,1))-AVERAGE(OFFSET($H$3,0,0,'Données projet'!$E$11+1,1))</f>
        <v>304.91676868833792</v>
      </c>
      <c r="BJ42" s="59">
        <f t="shared" si="38"/>
        <v>365.95065044620048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22.957168058798807</v>
      </c>
      <c r="BQ42" s="21">
        <f>EXP(-LN(2)/25)*BQ41+(1-EXP(-LN(2)/25))/(LN(2)/25)*Calculateur!BL42*Calculateur!BN42*VLOOKUP('Données projet'!$B$11,Paramètres!$A$1:$I$89,3,0)*0.475*44/12</f>
        <v>7.386989285330718</v>
      </c>
      <c r="BR42" s="21">
        <f>EXP(-LN(2)/2)*BR41+(1-EXP(-LN(2)/2))/(LN(2)/2)*BL42*BO42*VLOOKUP('Données projet'!$B$11,Paramètres!$A$1:$I$89,3,0)*0.475*44/12</f>
        <v>1.2089601277491884</v>
      </c>
      <c r="BS42" s="22">
        <f t="shared" si="9"/>
        <v>31.553117471878714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</v>
      </c>
      <c r="BY42" s="12">
        <f>IF('Données projet'!$A$114&gt;35,BY41+BX42-CG41,IF(A42&lt;'Données projet'!$A$114,$BV$205^A42,IF(A42='Données projet'!$A$114,'Données projet'!$B$114,BY41+BX42-CG41)))</f>
        <v>264.89999999999986</v>
      </c>
      <c r="BZ42" s="13">
        <f>BY42*VLOOKUP('Données projet'!$B$12,Paramètres!$A$1:$I$89,3,0)*VLOOKUP('Données projet'!$B$12,Paramètres!$A$1:$I$89,5,0)</f>
        <v>123.97319999999993</v>
      </c>
      <c r="CA42" s="13">
        <f t="shared" si="39"/>
        <v>32.599918850316818</v>
      </c>
      <c r="CB42" s="20">
        <f t="shared" si="10"/>
        <v>272.698181997635</v>
      </c>
      <c r="CC42" s="59">
        <f t="shared" si="11"/>
        <v>566.03151533096832</v>
      </c>
      <c r="CD42" s="59">
        <f ca="1">AVERAGE(OFFSET($CC$3,0,0,'Données projet'!$E$12+1,1))-AVERAGE(OFFSET($H$3,0,0,'Données projet'!$E$12+1,1))</f>
        <v>259.87681411271632</v>
      </c>
      <c r="CE42" s="59">
        <f t="shared" si="40"/>
        <v>191.8684235641158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8.7999438761307029</v>
      </c>
      <c r="CL42" s="21">
        <f>EXP(-LN(2)/25)*CL41+(1-EXP(-LN(2)/25))/(LN(2)/25)*Calculateur!CG42*Calculateur!CI42*VLOOKUP('Données projet'!$B$12,Paramètres!$A$1:$I$89,3,0)*0.475*44/12</f>
        <v>5.5812056831216639</v>
      </c>
      <c r="CM42" s="21">
        <f>EXP(-LN(2)/2)*CM41+(1-EXP(-LN(2)/2))/(LN(2)/2)*CG42*CJ42*VLOOKUP('Données projet'!$B$12,Paramètres!$A$1:$I$89,3,0)*0.475*44/12</f>
        <v>0.14425375402707277</v>
      </c>
      <c r="CN42" s="22">
        <f t="shared" si="12"/>
        <v>14.52540331327944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</v>
      </c>
      <c r="CT42" s="12">
        <f>IF('Données projet'!$A$140&gt;35,CT41+CS42-DB41,IF(A42&lt;'Données projet'!$A$140,$CQ$205^A42,IF(A42='Données projet'!$A$140,'Données projet'!$B$140,CT41+CS42-DB41)))</f>
        <v>188.6</v>
      </c>
      <c r="CU42" s="17">
        <f>CT42*VLOOKUP('Données projet'!$B$13,Paramètres!$A$1:$I$89,3,0)*VLOOKUP('Données projet'!$B$13,Paramètres!$A$1:$I$89,5,0)</f>
        <v>88.264800000000008</v>
      </c>
      <c r="CV42" s="13">
        <f t="shared" si="41"/>
        <v>24.146263549285706</v>
      </c>
      <c r="CW42" s="20">
        <f t="shared" si="13"/>
        <v>195.78260234833928</v>
      </c>
      <c r="CX42" s="59">
        <f t="shared" si="14"/>
        <v>489.11593568167257</v>
      </c>
      <c r="CY42" s="59">
        <f ca="1">AVERAGE(OFFSET($CX$3,0,0,'Données projet'!$E$13+1,1))-AVERAGE(OFFSET($H$3,0,0,'Données projet'!$E$13+1,1))</f>
        <v>137.59122085719031</v>
      </c>
      <c r="CZ42" s="59">
        <f t="shared" si="42"/>
        <v>130.1134470448718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6.2799599479660024</v>
      </c>
      <c r="DG42" s="21">
        <f>EXP(-LN(2)/25)*DG41+(1-EXP(-LN(2)/25))/(LN(2)/25)*Calculateur!DB42*Calculateur!DD42*VLOOKUP('Données projet'!$B$13,Paramètres!$A$1:$I$89,3,0)*0.475*44/12</f>
        <v>3.9847129112349862</v>
      </c>
      <c r="DH42" s="21">
        <f>EXP(-LN(2)/2)*DH41+(1-EXP(-LN(2)/2))/(LN(2)/2)*DB42*DE42*VLOOKUP('Données projet'!$B$13,Paramètres!$A$1:$I$89,3,0)*0.475*44/12</f>
        <v>0.10446805347442743</v>
      </c>
      <c r="DI42" s="22">
        <f t="shared" si="15"/>
        <v>10.369140912675416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8.8333333333333339</v>
      </c>
      <c r="DO42" s="12">
        <f>IF('Données projet'!$A$166&gt;35,DO41+DN42-DW41,IF(A42&lt;'Données projet'!$A$166,$DL$205^A42,IF(A42='Données projet'!$A$166,'Données projet'!$B$166,DO41+DN42-DW41)))</f>
        <v>121.49999999999991</v>
      </c>
      <c r="DP42" s="17">
        <f>DO42*VLOOKUP('Données projet'!$B$14,Paramètres!$A$1:$I$89,3,0)*VLOOKUP('Données projet'!$B$14,Paramètres!$A$1:$I$89,5,0)</f>
        <v>123.20099999999992</v>
      </c>
      <c r="DQ42" s="13">
        <f t="shared" si="43"/>
        <v>32.420432268232112</v>
      </c>
      <c r="DR42" s="20">
        <f t="shared" si="16"/>
        <v>271.04066120050413</v>
      </c>
      <c r="DS42" s="59">
        <f t="shared" si="17"/>
        <v>564.3739945338375</v>
      </c>
      <c r="DT42" s="59">
        <f ca="1">AVERAGE(OFFSET($DS$3,0,0,'Données projet'!$E$14+1,1))-AVERAGE(OFFSET($H$3,0,0,'Données projet'!$E$14+1,1))</f>
        <v>313.90901812281373</v>
      </c>
      <c r="DU42" s="59">
        <f t="shared" si="44"/>
        <v>210.54265725995265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14.98229999999999</v>
      </c>
      <c r="EJ42" s="12">
        <f>IF('Données projet'!$A$192&gt;35,EJ41+EI42-ER41,IF(A42&lt;'Données projet'!$A$192,$EG$205^A42,IF(A42='Données projet'!$A$192,'Données projet'!$B$192,EJ41+EI42-ER41)))</f>
        <v>291.3829152777779</v>
      </c>
      <c r="EK42" s="17">
        <f>EJ42*VLOOKUP('Données projet'!$B$15,Paramètres!$A$1:$I$89,3,0)*VLOOKUP('Données projet'!$B$15,Paramètres!$A$1:$I$89,5,0)</f>
        <v>231.82424739500013</v>
      </c>
      <c r="EL42" s="13">
        <f t="shared" si="45"/>
        <v>56.676944922766062</v>
      </c>
      <c r="EM42" s="20">
        <f t="shared" si="19"/>
        <v>502.47290995344275</v>
      </c>
      <c r="EN42" s="59">
        <f t="shared" si="20"/>
        <v>795.80624328677607</v>
      </c>
      <c r="EO42" s="59">
        <f ca="1">AVERAGE(OFFSET($EN$3,0,0,'Données projet'!$E$15+1,1))-AVERAGE(OFFSET($H$3,0,0,'Données projet'!$E$15+1,1))</f>
        <v>316.52407313312403</v>
      </c>
      <c r="EP42" s="59">
        <f t="shared" si="46"/>
        <v>340.55949748167382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21.531240214963219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21.531240214963219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11.926499999999994</v>
      </c>
      <c r="FE42" s="12">
        <f>IF('Données projet'!$A$218&gt;35,FE41+FD42-FM41,IF(A42&lt;'Données projet'!$A$218,$FB$205^A42,IF(A42='Données projet'!$A$218,'Données projet'!$B$218,FE41+FD42-FM41)))</f>
        <v>232.27440277777782</v>
      </c>
      <c r="FF42" s="17">
        <f>FE42*VLOOKUP('Données projet'!$B$16,Paramètres!$A$1:$I$89,3,0)*VLOOKUP('Données projet'!$B$16,Paramètres!$A$1:$I$89,5,0)</f>
        <v>152.18618870000003</v>
      </c>
      <c r="FG42" s="13">
        <f t="shared" si="47"/>
        <v>39.074985693422917</v>
      </c>
      <c r="FH42" s="20">
        <f t="shared" si="22"/>
        <v>333.11321206854495</v>
      </c>
      <c r="FI42" s="59">
        <f t="shared" si="23"/>
        <v>626.44654540187821</v>
      </c>
      <c r="FJ42" s="59">
        <f ca="1">AVERAGE(OFFSET($FI$3,0,0,'Données projet'!$E$16+1,1))-AVERAGE(OFFSET($H$3,0,0,'Données projet'!$E$16+1,1))</f>
        <v>199.99826357281154</v>
      </c>
      <c r="FK42" s="59">
        <f t="shared" si="48"/>
        <v>214.67424457475136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11.475480157242274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11.475480157242274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332</v>
      </c>
      <c r="L43" s="12">
        <f>VLOOKUP(A43,'Données projet'!$A$35:$I$55,9,0)</f>
        <v>17.600000000000001</v>
      </c>
      <c r="M43" s="12">
        <f t="array" ref="M43">INDEX(L:L,MIN(IF(ISNUMBER(L43:L239),ROW(L43:L239),"")))</f>
        <v>17.600000000000001</v>
      </c>
      <c r="N43" s="13">
        <f>IF('Données projet'!$A$36&gt;35,N42+M43-V42,IF(A43&lt;'Données projet'!$A$36,$K$205^A43,IF(A43='Données projet'!$A$36,'Données projet'!$B$36,N42+M43-V42)))</f>
        <v>332.00000000000006</v>
      </c>
      <c r="O43" s="13">
        <f>N43*VLOOKUP('Données projet'!$B$9,Paramètres!$A$1:$I$89,3,0)*VLOOKUP('Données projet'!$B$9,Paramètres!$A$1:$I$89,5,0)</f>
        <v>198.53600000000003</v>
      </c>
      <c r="P43" s="13">
        <f t="shared" si="33"/>
        <v>49.42228739122875</v>
      </c>
      <c r="Q43" s="20">
        <f t="shared" si="53"/>
        <v>431.86068387305681</v>
      </c>
      <c r="R43" s="59">
        <f t="shared" si="0"/>
        <v>725.19401720639007</v>
      </c>
      <c r="S43" s="59">
        <f ca="1">AVERAGE(OFFSET($R$3,0,0,'Données projet'!$E$9+1,1))-AVERAGE(OFFSET($H$3,0,0,'Données projet'!$E$9+1,1))</f>
        <v>284.60021367910457</v>
      </c>
      <c r="T43" s="59">
        <f t="shared" si="34"/>
        <v>301.41905904220812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48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44.718175440942609</v>
      </c>
      <c r="AA43" s="21">
        <f>EXP(-LN(2)/25)*AA42+(1-EXP(-LN(2)/25))/(LN(2)/25)*Calculateur!V43*Calculateur!X43*VLOOKUP('Données projet'!$B$9,Paramètres!$A$1:$I$89,3,0)*0.475*44/12</f>
        <v>11.68419958414267</v>
      </c>
      <c r="AB43" s="21">
        <f>EXP(-LN(2)/2)*AB42+(1-EXP(-LN(2)/2))/(LN(2)/2)*V43*Y43*VLOOKUP('Données projet'!$B$9,Paramètres!$A$1:$I$89,3,0)*0.475*44/12</f>
        <v>5.3303484327621167</v>
      </c>
      <c r="AC43" s="22">
        <f t="shared" si="3"/>
        <v>61.732723457847392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264</v>
      </c>
      <c r="AG43" s="12">
        <f>VLOOKUP(A43,'Données projet'!$A$61:$I$81,9,0)</f>
        <v>14.4</v>
      </c>
      <c r="AH43" s="12">
        <f t="array" ref="AH43">INDEX(AG:AG,MIN(IF(ISNUMBER(AG43:AG239),ROW(AG43:AG239),"")))</f>
        <v>14.4</v>
      </c>
      <c r="AI43" s="13">
        <f>IF('Données projet'!$A$62&gt;35,AI42+AH43-AQ42,IF(A43&lt;'Données projet'!$A$62,$AF$205^A43,IF(A43='Données projet'!$A$62,'Données projet'!$B$62,AI42+AH43-AQ42)))</f>
        <v>264.00000000000006</v>
      </c>
      <c r="AJ43" s="13">
        <f>AI43*VLOOKUP('Données projet'!$B$10,Paramètres!$A$1:$I$89,3,0)*VLOOKUP('Données projet'!$B$10,Paramètres!$A$1:$I$89,5,0)</f>
        <v>157.87200000000004</v>
      </c>
      <c r="AK43" s="13">
        <f t="shared" si="35"/>
        <v>40.362165684361159</v>
      </c>
      <c r="AL43" s="20">
        <f t="shared" si="4"/>
        <v>345.25783856692902</v>
      </c>
      <c r="AM43" s="59">
        <f t="shared" si="5"/>
        <v>638.59117190026234</v>
      </c>
      <c r="AN43" s="59">
        <f ca="1">AVERAGE(OFFSET($AM$3,0,0,'Données projet'!$E$10+1,1))-AVERAGE(OFFSET($H$3,0,0,'Données projet'!$E$10+1,1))</f>
        <v>294.45857786714919</v>
      </c>
      <c r="AO43" s="59">
        <f t="shared" si="36"/>
        <v>221.9773436301067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0.315</v>
      </c>
      <c r="AS43" s="16">
        <f>IF(ISNA(VLOOKUP(A43,'Données projet'!$A$61:$I$81,6,0)),0%,VLOOKUP(A43,'Données projet'!$A$61:$I$81,6,0)*VLOOKUP('Données projet'!$B$10,Paramètres!$A$1:$I$89,7,0))</f>
        <v>7.5600000000000001E-2</v>
      </c>
      <c r="AT43" s="16">
        <f>IF(ISNA(VLOOKUP(A43,'Données projet'!$A$61:$I$81,7,0)),0%,VLOOKUP(A43,'Données projet'!$A$61:$I$81,7,0))</f>
        <v>0.13200000000000001</v>
      </c>
      <c r="AU43" s="21">
        <f>EXP(-LN(2)/35)*AU42+(1-EXP(-LN(2)/35))/(LN(2)/35)*AQ43*AR43*VLOOKUP('Données projet'!$B$10,Paramètres!$A$1:$I$89,3,0)*0.475*44/12</f>
        <v>29.650604039874871</v>
      </c>
      <c r="AV43" s="21">
        <f>EXP(-LN(2)/25)*AV42+(1-EXP(-LN(2)/25))/(LN(2)/25)*Calculateur!AQ43*Calculateur!AS43*VLOOKUP('Données projet'!$B$10,Paramètres!$A$1:$I$89,3,0)*0.475*44/12</f>
        <v>8.724724803761422</v>
      </c>
      <c r="AW43" s="21">
        <f>EXP(-LN(2)/2)*AW42+(1-EXP(-LN(2)/2))/(LN(2)/2)*AQ43*AT43*VLOOKUP('Données projet'!$B$10,Paramètres!$A$1:$I$89,3,0)*0.475*44/12</f>
        <v>4.4247603547145014</v>
      </c>
      <c r="AX43" s="21">
        <f t="shared" si="6"/>
        <v>42.800089198350797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481</v>
      </c>
      <c r="BB43" s="12">
        <f>VLOOKUP(A43,'Données projet'!$A$87:$I$107,9,0)</f>
        <v>24</v>
      </c>
      <c r="BC43" s="12">
        <f t="array" ref="BC43">INDEX(BB:BB,MIN(IF(ISNUMBER(BB43:BB239),ROW(BB43:BB239),"")))</f>
        <v>24</v>
      </c>
      <c r="BD43" s="12">
        <f>IF('Données projet'!$A$88&gt;35,BD42+BC43-BL42,IF(A43&lt;'Données projet'!$A$88,$BA$205^A43,IF(A43='Données projet'!$A$88,'Données projet'!$B$88,BD42+BC43-BL42)))</f>
        <v>481.00000000000011</v>
      </c>
      <c r="BE43" s="13">
        <f>BD43*VLOOKUP('Données projet'!$B$11,Paramètres!$A$1:$I$89,3,0)*VLOOKUP('Données projet'!$B$11,Paramètres!$A$1:$I$89,5,0)</f>
        <v>268.87900000000008</v>
      </c>
      <c r="BF43" s="13">
        <f t="shared" si="37"/>
        <v>64.611307219969405</v>
      </c>
      <c r="BG43" s="20">
        <f t="shared" si="7"/>
        <v>580.82895174144687</v>
      </c>
      <c r="BH43" s="59">
        <f t="shared" si="8"/>
        <v>874.16228507478013</v>
      </c>
      <c r="BI43" s="59">
        <f ca="1">AVERAGE(OFFSET($BH$3,0,0,'Données projet'!$E$11+1,1))-AVERAGE(OFFSET($H$3,0,0,'Données projet'!$E$11+1,1))</f>
        <v>304.91676868833792</v>
      </c>
      <c r="BJ43" s="59">
        <f t="shared" si="38"/>
        <v>365.95065044620048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58</v>
      </c>
      <c r="BM43" s="16">
        <f>IF(ISNA(VLOOKUP(A43,'Données projet'!$A$87:$I$107,5,0)),0%,VLOOKUP(A43,'Données projet'!$A$87:$I$107,5,0)*VLOOKUP('Données projet'!$B$11,Paramètres!$A$1:$I$89,7,0))</f>
        <v>0.38500000000000001</v>
      </c>
      <c r="BN43" s="16">
        <f>IF(ISNA(VLOOKUP(A43,'Données projet'!$A$87:$I$107,6,0)),0%,VLOOKUP(A43,'Données projet'!$A$87:$I$107,6,0)*VLOOKUP('Données projet'!$B$11,Paramètres!$A$1:$I$89,7,0))</f>
        <v>9.240000000000001E-2</v>
      </c>
      <c r="BO43" s="16">
        <f>IF(ISNA(VLOOKUP(A43,'Données projet'!$A$87:$I$107,7,0)),0%,VLOOKUP(A43,'Données projet'!$A$87:$I$107,7,0))</f>
        <v>0.13200000000000001</v>
      </c>
      <c r="BP43" s="21">
        <f>EXP(-LN(2)/35)*BP42+(1-EXP(-LN(2)/35))/(LN(2)/35)*BL43*BM43*VLOOKUP('Données projet'!$B$11,Paramètres!$A$1:$I$89,3,0)*0.475*44/12</f>
        <v>39.065793013746045</v>
      </c>
      <c r="BQ43" s="21">
        <f>EXP(-LN(2)/25)*BQ42+(1-EXP(-LN(2)/25))/(LN(2)/25)*Calculateur!BL43*Calculateur!BN43*VLOOKUP('Données projet'!$B$11,Paramètres!$A$1:$I$89,3,0)*0.475*44/12</f>
        <v>11.143456325038708</v>
      </c>
      <c r="BR43" s="21">
        <f>EXP(-LN(2)/2)*BR42+(1-EXP(-LN(2)/2))/(LN(2)/2)*BL43*BO43*VLOOKUP('Données projet'!$B$11,Paramètres!$A$1:$I$89,3,0)*0.475*44/12</f>
        <v>5.7004829971688125</v>
      </c>
      <c r="BS43" s="22">
        <f t="shared" si="9"/>
        <v>55.909732335953564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275</v>
      </c>
      <c r="BW43" s="12">
        <f>VLOOKUP(A43,'Données projet'!$A$113:$I$133,9,0)</f>
        <v>10.1</v>
      </c>
      <c r="BX43" s="12">
        <f t="array" ref="BX43">INDEX(BW:BW,MIN(IF(ISNUMBER(BW43:BW239),ROW(BW43:BW239),"")))</f>
        <v>10.1</v>
      </c>
      <c r="BY43" s="12">
        <f>IF('Données projet'!$A$114&gt;35,BY42+BX43-CG42,IF(A43&lt;'Données projet'!$A$114,$BV$205^A43,IF(A43='Données projet'!$A$114,'Données projet'!$B$114,BY42+BX43-CG42)))</f>
        <v>274.99999999999989</v>
      </c>
      <c r="BZ43" s="13">
        <f>BY43*VLOOKUP('Données projet'!$B$12,Paramètres!$A$1:$I$89,3,0)*VLOOKUP('Données projet'!$B$12,Paramètres!$A$1:$I$89,5,0)</f>
        <v>128.69999999999996</v>
      </c>
      <c r="CA43" s="13">
        <f t="shared" si="39"/>
        <v>33.695792019186115</v>
      </c>
      <c r="CB43" s="20">
        <f t="shared" si="10"/>
        <v>282.83933776674911</v>
      </c>
      <c r="CC43" s="59">
        <f t="shared" si="11"/>
        <v>576.17267110008243</v>
      </c>
      <c r="CD43" s="59">
        <f ca="1">AVERAGE(OFFSET($CC$3,0,0,'Données projet'!$E$12+1,1))-AVERAGE(OFFSET($H$3,0,0,'Données projet'!$E$12+1,1))</f>
        <v>259.87681411271632</v>
      </c>
      <c r="CE43" s="59">
        <f t="shared" si="40"/>
        <v>191.8684235641158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55</v>
      </c>
      <c r="CH43" s="16">
        <f>IF(ISNA(VLOOKUP(A43,'Données projet'!$A$113:$I$133,5,0)),0%,VLOOKUP(A43,'Données projet'!$A$113:$I$133,5,0)*VLOOKUP('Données projet'!$B$12,Paramètres!$A$1:$I$89,7,0))</f>
        <v>0.38500000000000001</v>
      </c>
      <c r="CI43" s="16">
        <f>IF(ISNA(VLOOKUP(A43,'Données projet'!$A$113:$I$133,6,0)),0%,VLOOKUP(A43,'Données projet'!$A$113:$I$133,6,0)*VLOOKUP('Données projet'!$B$12,Paramètres!$A$1:$I$89,7,0))</f>
        <v>9.3500000000000014E-2</v>
      </c>
      <c r="CJ43" s="16">
        <f>IF(ISNA(VLOOKUP(A43,'Données projet'!$A$113:$I$133,7,0)),0%,VLOOKUP(A43,'Données projet'!$A$113:$I$133,7,0))</f>
        <v>0.13</v>
      </c>
      <c r="CK43" s="21">
        <f>EXP(-LN(2)/35)*CK42+(1-EXP(-LN(2)/35))/(LN(2)/35)*CG43*CH43*VLOOKUP('Données projet'!$B$12,Paramètres!$A$1:$I$89,3,0)*0.475*44/12</f>
        <v>21.773503441115857</v>
      </c>
      <c r="CL43" s="21">
        <f>EXP(-LN(2)/25)*CL42+(1-EXP(-LN(2)/25))/(LN(2)/25)*Calculateur!CG43*Calculateur!CI43*VLOOKUP('Données projet'!$B$12,Paramètres!$A$1:$I$89,3,0)*0.475*44/12</f>
        <v>8.6086461310041997</v>
      </c>
      <c r="CM43" s="21">
        <f>EXP(-LN(2)/2)*CM42+(1-EXP(-LN(2)/2))/(LN(2)/2)*CG43*CJ43*VLOOKUP('Données projet'!$B$12,Paramètres!$A$1:$I$89,3,0)*0.475*44/12</f>
        <v>3.8906785216672199</v>
      </c>
      <c r="CN43" s="22">
        <f t="shared" si="12"/>
        <v>34.272828093787275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195.6</v>
      </c>
      <c r="CR43" s="12">
        <f>VLOOKUP(A43,'Données projet'!$A$139:$I$159,9,0)</f>
        <v>7</v>
      </c>
      <c r="CS43" s="12">
        <f t="array" ref="CS43">INDEX(CR:CR,MIN(IF(ISNUMBER(CR43:CR239),ROW(CR43:CR239),"")))</f>
        <v>7</v>
      </c>
      <c r="CT43" s="12">
        <f>IF('Données projet'!$A$140&gt;35,CT42+CS43-DB42,IF(A43&lt;'Données projet'!$A$140,$CQ$205^A43,IF(A43='Données projet'!$A$140,'Données projet'!$B$140,CT42+CS43-DB42)))</f>
        <v>195.6</v>
      </c>
      <c r="CU43" s="17">
        <f>CT43*VLOOKUP('Données projet'!$B$13,Paramètres!$A$1:$I$89,3,0)*VLOOKUP('Données projet'!$B$13,Paramètres!$A$1:$I$89,5,0)</f>
        <v>91.540800000000004</v>
      </c>
      <c r="CV43" s="13">
        <f t="shared" si="41"/>
        <v>24.936460929143145</v>
      </c>
      <c r="CW43" s="20">
        <f t="shared" si="13"/>
        <v>202.86456278492429</v>
      </c>
      <c r="CX43" s="59">
        <f t="shared" si="14"/>
        <v>496.19789611825763</v>
      </c>
      <c r="CY43" s="59">
        <f ca="1">AVERAGE(OFFSET($CX$3,0,0,'Données projet'!$E$13+1,1))-AVERAGE(OFFSET($H$3,0,0,'Données projet'!$E$13+1,1))</f>
        <v>137.59122085719031</v>
      </c>
      <c r="CZ43" s="59">
        <f t="shared" si="42"/>
        <v>130.1134470448718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39.120000000000005</v>
      </c>
      <c r="DC43" s="16">
        <f>IF(ISNA(VLOOKUP(A43,'Données projet'!$A$139:$I$159,5,0)),0%,VLOOKUP(A43,'Données projet'!$A$139:$I$159,5,0)*VLOOKUP('Données projet'!$B$13,Paramètres!$A$1:$I$89,7,0))</f>
        <v>0.38500000000000001</v>
      </c>
      <c r="DD43" s="16">
        <f>IF(ISNA(VLOOKUP(A43,'Données projet'!$A$139:$I$159,6,0)),0%,VLOOKUP(A43,'Données projet'!$A$139:$I$159,6,0)*VLOOKUP('Données projet'!$B$13,Paramètres!$A$1:$I$89,7,0))</f>
        <v>9.240000000000001E-2</v>
      </c>
      <c r="DE43" s="16">
        <f>IF(ISNA(VLOOKUP(A43,'Données projet'!$A$139:$I$159,7,0)),0%,VLOOKUP(A43,'Données projet'!$A$139:$I$159,7,0))</f>
        <v>0.13200000000000001</v>
      </c>
      <c r="DF43" s="21">
        <f>EXP(-LN(2)/35)*DF42+(1-EXP(-LN(2)/35))/(LN(2)/35)*DB43*DC43*VLOOKUP('Données projet'!$B$13,Paramètres!$A$1:$I$89,3,0)*0.475*44/12</f>
        <v>15.507291169476229</v>
      </c>
      <c r="DG43" s="21">
        <f>EXP(-LN(2)/25)*DG42+(1-EXP(-LN(2)/25))/(LN(2)/25)*Calculateur!DB43*Calculateur!DD43*VLOOKUP('Données projet'!$B$13,Paramètres!$A$1:$I$89,3,0)*0.475*44/12</f>
        <v>6.111029370330737</v>
      </c>
      <c r="DH43" s="21">
        <f>EXP(-LN(2)/2)*DH42+(1-EXP(-LN(2)/2))/(LN(2)/2)*DB43*DE43*VLOOKUP('Données projet'!$B$13,Paramètres!$A$1:$I$89,3,0)*0.475*44/12</f>
        <v>2.8101099569863695</v>
      </c>
      <c r="DI43" s="22">
        <f t="shared" si="15"/>
        <v>24.428430496793336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8.8333333333333339</v>
      </c>
      <c r="DO43" s="12">
        <f>IF('Données projet'!$A$166&gt;35,DO42+DN43-DW42,IF(A43&lt;'Données projet'!$A$166,$DL$205^A43,IF(A43='Données projet'!$A$166,'Données projet'!$B$166,DO42+DN43-DW42)))</f>
        <v>130.33333333333326</v>
      </c>
      <c r="DP43" s="17">
        <f>DO43*VLOOKUP('Données projet'!$B$14,Paramètres!$A$1:$I$89,3,0)*VLOOKUP('Données projet'!$B$14,Paramètres!$A$1:$I$89,5,0)</f>
        <v>132.15799999999993</v>
      </c>
      <c r="DQ43" s="13">
        <f t="shared" si="43"/>
        <v>34.494530965883627</v>
      </c>
      <c r="DR43" s="20">
        <f t="shared" si="16"/>
        <v>290.25315809891384</v>
      </c>
      <c r="DS43" s="59">
        <f t="shared" si="17"/>
        <v>583.58649143224716</v>
      </c>
      <c r="DT43" s="59">
        <f ca="1">AVERAGE(OFFSET($DS$3,0,0,'Données projet'!$E$14+1,1))-AVERAGE(OFFSET($H$3,0,0,'Données projet'!$E$14+1,1))</f>
        <v>313.90901812281373</v>
      </c>
      <c r="DU43" s="59">
        <f t="shared" si="44"/>
        <v>210.54265725995265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14.98229999999999</v>
      </c>
      <c r="EJ43" s="12">
        <f>IF('Données projet'!$A$192&gt;35,EJ42+EI43-ER42,IF(A43&lt;'Données projet'!$A$192,$EG$205^A43,IF(A43='Données projet'!$A$192,'Données projet'!$B$192,EJ42+EI43-ER42)))</f>
        <v>306.36521527777791</v>
      </c>
      <c r="EK43" s="17">
        <f>EJ43*VLOOKUP('Données projet'!$B$15,Paramètres!$A$1:$I$89,3,0)*VLOOKUP('Données projet'!$B$15,Paramètres!$A$1:$I$89,5,0)</f>
        <v>243.74416527500014</v>
      </c>
      <c r="EL43" s="13">
        <f t="shared" si="45"/>
        <v>59.244378661756926</v>
      </c>
      <c r="EM43" s="20">
        <f t="shared" si="19"/>
        <v>527.70504735651855</v>
      </c>
      <c r="EN43" s="59">
        <f t="shared" si="20"/>
        <v>821.03838068985192</v>
      </c>
      <c r="EO43" s="59">
        <f ca="1">AVERAGE(OFFSET($EN$3,0,0,'Données projet'!$E$15+1,1))-AVERAGE(OFFSET($H$3,0,0,'Données projet'!$E$15+1,1))</f>
        <v>316.52407313312403</v>
      </c>
      <c r="EP43" s="59">
        <f t="shared" si="46"/>
        <v>340.55949748167382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21.109025727107568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21.109025727107568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11.926499999999994</v>
      </c>
      <c r="FE43" s="12">
        <f>IF('Données projet'!$A$218&gt;35,FE42+FD43-FM42,IF(A43&lt;'Données projet'!$A$218,$FB$205^A43,IF(A43='Données projet'!$A$218,'Données projet'!$B$218,FE42+FD43-FM42)))</f>
        <v>244.20090277777783</v>
      </c>
      <c r="FF43" s="17">
        <f>FE43*VLOOKUP('Données projet'!$B$16,Paramètres!$A$1:$I$89,3,0)*VLOOKUP('Données projet'!$B$16,Paramètres!$A$1:$I$89,5,0)</f>
        <v>160.00043150000002</v>
      </c>
      <c r="FG43" s="13">
        <f t="shared" si="47"/>
        <v>40.842612732710002</v>
      </c>
      <c r="FH43" s="20">
        <f t="shared" si="22"/>
        <v>349.80163537196995</v>
      </c>
      <c r="FI43" s="59">
        <f t="shared" si="23"/>
        <v>643.13496870530321</v>
      </c>
      <c r="FJ43" s="59">
        <f ca="1">AVERAGE(OFFSET($FI$3,0,0,'Données projet'!$E$16+1,1))-AVERAGE(OFFSET($H$3,0,0,'Données projet'!$E$16+1,1))</f>
        <v>199.99826357281154</v>
      </c>
      <c r="FK43" s="59">
        <f t="shared" si="48"/>
        <v>214.67424457475136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11.250452990710519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11.250452990710519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</v>
      </c>
      <c r="N44" s="13">
        <f>IF('Données projet'!$A$36&gt;35,N43+M44-V43,IF(A44&lt;'Données projet'!$A$36,$K$205^A44,IF(A44='Données projet'!$A$36,'Données projet'!$B$36,N43+M44-V43)))</f>
        <v>304.00000000000006</v>
      </c>
      <c r="O44" s="13">
        <f>N44*VLOOKUP('Données projet'!$B$9,Paramètres!$A$1:$I$89,3,0)*VLOOKUP('Données projet'!$B$9,Paramètres!$A$1:$I$89,5,0)</f>
        <v>181.79200000000006</v>
      </c>
      <c r="P44" s="13">
        <f t="shared" si="33"/>
        <v>45.720642997712531</v>
      </c>
      <c r="Q44" s="20">
        <f t="shared" si="53"/>
        <v>396.25118655434943</v>
      </c>
      <c r="R44" s="59">
        <f t="shared" si="0"/>
        <v>689.58451988768275</v>
      </c>
      <c r="S44" s="59">
        <f ca="1">AVERAGE(OFFSET($R$3,0,0,'Données projet'!$E$9+1,1))-AVERAGE(OFFSET($H$3,0,0,'Données projet'!$E$9+1,1))</f>
        <v>284.60021367910457</v>
      </c>
      <c r="T44" s="59">
        <f t="shared" si="34"/>
        <v>301.41905904220812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43.841279295939522</v>
      </c>
      <c r="AA44" s="21">
        <f>EXP(-LN(2)/25)*AA43+(1-EXP(-LN(2)/25))/(LN(2)/25)*Calculateur!V44*Calculateur!X44*VLOOKUP('Données projet'!$B$9,Paramètres!$A$1:$I$89,3,0)*0.475*44/12</f>
        <v>11.364694532068937</v>
      </c>
      <c r="AB44" s="21">
        <f>EXP(-LN(2)/2)*AB43+(1-EXP(-LN(2)/2))/(LN(2)/2)*V44*Y44*VLOOKUP('Données projet'!$B$9,Paramètres!$A$1:$I$89,3,0)*0.475*44/12</f>
        <v>3.7691255228931788</v>
      </c>
      <c r="AC44" s="22">
        <f t="shared" si="3"/>
        <v>58.975099350901637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16.600000000000001</v>
      </c>
      <c r="AI44" s="13">
        <f>IF('Données projet'!$A$62&gt;35,AI43+AH44-AQ43,IF(A44&lt;'Données projet'!$A$62,$AF$205^A44,IF(A44='Données projet'!$A$62,'Données projet'!$B$62,AI43+AH44-AQ43)))</f>
        <v>239.60000000000008</v>
      </c>
      <c r="AJ44" s="13">
        <f>AI44*VLOOKUP('Données projet'!$B$10,Paramètres!$A$1:$I$89,3,0)*VLOOKUP('Données projet'!$B$10,Paramètres!$A$1:$I$89,5,0)</f>
        <v>143.28080000000006</v>
      </c>
      <c r="AK44" s="13">
        <f t="shared" si="35"/>
        <v>37.047574465948976</v>
      </c>
      <c r="AL44" s="20">
        <f t="shared" si="4"/>
        <v>314.07191886152788</v>
      </c>
      <c r="AM44" s="59">
        <f t="shared" si="5"/>
        <v>607.40525219486119</v>
      </c>
      <c r="AN44" s="59">
        <f ca="1">AVERAGE(OFFSET($AM$3,0,0,'Données projet'!$E$10+1,1))-AVERAGE(OFFSET($H$3,0,0,'Données projet'!$E$10+1,1))</f>
        <v>294.45857786714919</v>
      </c>
      <c r="AO44" s="59">
        <f t="shared" si="36"/>
        <v>221.9773436301067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29.069173779735635</v>
      </c>
      <c r="AV44" s="21">
        <f>EXP(-LN(2)/25)*AV43+(1-EXP(-LN(2)/25))/(LN(2)/25)*Calculateur!AQ44*Calculateur!AS44*VLOOKUP('Données projet'!$B$10,Paramètres!$A$1:$I$89,3,0)*0.475*44/12</f>
        <v>8.4861467451892292</v>
      </c>
      <c r="AW44" s="21">
        <f>EXP(-LN(2)/2)*AW43+(1-EXP(-LN(2)/2))/(LN(2)/2)*AQ44*AT44*VLOOKUP('Données projet'!$B$10,Paramètres!$A$1:$I$89,3,0)*0.475*44/12</f>
        <v>3.1287780519440176</v>
      </c>
      <c r="AX44" s="21">
        <f t="shared" si="6"/>
        <v>40.684098576868884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20.6</v>
      </c>
      <c r="BD44" s="12">
        <f>IF('Données projet'!$A$88&gt;35,BD43+BC44-BL43,IF(A44&lt;'Données projet'!$A$88,$BA$205^A44,IF(A44='Données projet'!$A$88,'Données projet'!$B$88,BD43+BC44-BL43)))</f>
        <v>443.60000000000014</v>
      </c>
      <c r="BE44" s="13">
        <f>BD44*VLOOKUP('Données projet'!$B$11,Paramètres!$A$1:$I$89,3,0)*VLOOKUP('Données projet'!$B$11,Paramètres!$A$1:$I$89,5,0)</f>
        <v>247.97240000000008</v>
      </c>
      <c r="BF44" s="13">
        <f t="shared" si="37"/>
        <v>60.151555263879217</v>
      </c>
      <c r="BG44" s="20">
        <f t="shared" si="7"/>
        <v>536.64922208458972</v>
      </c>
      <c r="BH44" s="59">
        <f t="shared" si="8"/>
        <v>829.98255541792309</v>
      </c>
      <c r="BI44" s="59">
        <f ca="1">AVERAGE(OFFSET($BH$3,0,0,'Données projet'!$E$11+1,1))-AVERAGE(OFFSET($H$3,0,0,'Données projet'!$E$11+1,1))</f>
        <v>304.91676868833792</v>
      </c>
      <c r="BJ44" s="59">
        <f t="shared" si="38"/>
        <v>365.95065044620048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38.299736640527428</v>
      </c>
      <c r="BQ44" s="21">
        <f>EXP(-LN(2)/25)*BQ43+(1-EXP(-LN(2)/25))/(LN(2)/25)*Calculateur!BL44*Calculateur!BN44*VLOOKUP('Données projet'!$B$11,Paramètres!$A$1:$I$89,3,0)*0.475*44/12</f>
        <v>10.838737925821624</v>
      </c>
      <c r="BR44" s="21">
        <f>EXP(-LN(2)/2)*BR43+(1-EXP(-LN(2)/2))/(LN(2)/2)*BL44*BO44*VLOOKUP('Données projet'!$B$11,Paramètres!$A$1:$I$89,3,0)*0.475*44/12</f>
        <v>4.0308501833366828</v>
      </c>
      <c r="BS44" s="22">
        <f t="shared" si="9"/>
        <v>53.169324749685735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231.49999999999989</v>
      </c>
      <c r="BZ44" s="13">
        <f>BY44*VLOOKUP('Données projet'!$B$12,Paramètres!$A$1:$I$89,3,0)*VLOOKUP('Données projet'!$B$12,Paramètres!$A$1:$I$89,5,0)</f>
        <v>108.34199999999996</v>
      </c>
      <c r="CA44" s="13">
        <f t="shared" si="39"/>
        <v>28.940002222844054</v>
      </c>
      <c r="CB44" s="20">
        <f t="shared" si="10"/>
        <v>239.09948720478664</v>
      </c>
      <c r="CC44" s="59">
        <f t="shared" si="11"/>
        <v>532.43282053811993</v>
      </c>
      <c r="CD44" s="59">
        <f ca="1">AVERAGE(OFFSET($CC$3,0,0,'Données projet'!$E$12+1,1))-AVERAGE(OFFSET($H$3,0,0,'Données projet'!$E$12+1,1))</f>
        <v>259.87681411271632</v>
      </c>
      <c r="CE44" s="59">
        <f t="shared" si="40"/>
        <v>191.8684235641158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21.346538319161329</v>
      </c>
      <c r="CL44" s="21">
        <f>EXP(-LN(2)/25)*CL43+(1-EXP(-LN(2)/25))/(LN(2)/25)*Calculateur!CG44*Calculateur!CI44*VLOOKUP('Données projet'!$B$12,Paramètres!$A$1:$I$89,3,0)*0.475*44/12</f>
        <v>8.3732422498428658</v>
      </c>
      <c r="CM44" s="21">
        <f>EXP(-LN(2)/2)*CM43+(1-EXP(-LN(2)/2))/(LN(2)/2)*CG44*CJ44*VLOOKUP('Données projet'!$B$12,Paramètres!$A$1:$I$89,3,0)*0.475*44/12</f>
        <v>2.7511251660877432</v>
      </c>
      <c r="CN44" s="22">
        <f t="shared" si="12"/>
        <v>32.470905735091939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</v>
      </c>
      <c r="CT44" s="12">
        <f>IF('Données projet'!$A$140&gt;35,CT43+CS44-DB43,IF(A44&lt;'Données projet'!$A$140,$CQ$205^A44,IF(A44='Données projet'!$A$140,'Données projet'!$B$140,CT43+CS44-DB43)))</f>
        <v>163.47999999999999</v>
      </c>
      <c r="CU44" s="17">
        <f>CT44*VLOOKUP('Données projet'!$B$13,Paramètres!$A$1:$I$89,3,0)*VLOOKUP('Données projet'!$B$13,Paramètres!$A$1:$I$89,5,0)</f>
        <v>76.50864</v>
      </c>
      <c r="CV44" s="13">
        <f t="shared" si="41"/>
        <v>21.281324153331418</v>
      </c>
      <c r="CW44" s="20">
        <f t="shared" si="13"/>
        <v>170.31752090038557</v>
      </c>
      <c r="CX44" s="59">
        <f t="shared" si="14"/>
        <v>463.65085423371886</v>
      </c>
      <c r="CY44" s="59">
        <f ca="1">AVERAGE(OFFSET($CX$3,0,0,'Données projet'!$E$13+1,1))-AVERAGE(OFFSET($H$3,0,0,'Données projet'!$E$13+1,1))</f>
        <v>137.59122085719031</v>
      </c>
      <c r="CZ44" s="59">
        <f t="shared" si="42"/>
        <v>130.1134470448718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15.203202648156463</v>
      </c>
      <c r="DG44" s="21">
        <f>EXP(-LN(2)/25)*DG43+(1-EXP(-LN(2)/25))/(LN(2)/25)*Calculateur!DB44*Calculateur!DD44*VLOOKUP('Données projet'!$B$13,Paramètres!$A$1:$I$89,3,0)*0.475*44/12</f>
        <v>5.9439229508339757</v>
      </c>
      <c r="DH44" s="21">
        <f>EXP(-LN(2)/2)*DH43+(1-EXP(-LN(2)/2))/(LN(2)/2)*DB44*DE44*VLOOKUP('Données projet'!$B$13,Paramètres!$A$1:$I$89,3,0)*0.475*44/12</f>
        <v>1.9870478064648993</v>
      </c>
      <c r="DI44" s="22">
        <f t="shared" si="15"/>
        <v>23.134173405455339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8.8333333333333339</v>
      </c>
      <c r="DO44" s="12">
        <f>IF('Données projet'!$A$166&gt;35,DO43+DN44-DW43,IF(A44&lt;'Données projet'!$A$166,$DL$205^A44,IF(A44='Données projet'!$A$166,'Données projet'!$B$166,DO43+DN44-DW43)))</f>
        <v>139.1666666666666</v>
      </c>
      <c r="DP44" s="17">
        <f>DO44*VLOOKUP('Données projet'!$B$14,Paramètres!$A$1:$I$89,3,0)*VLOOKUP('Données projet'!$B$14,Paramètres!$A$1:$I$89,5,0)</f>
        <v>141.11499999999995</v>
      </c>
      <c r="DQ44" s="13">
        <f t="shared" si="43"/>
        <v>36.552318289427149</v>
      </c>
      <c r="DR44" s="20">
        <f t="shared" si="16"/>
        <v>309.43724602075218</v>
      </c>
      <c r="DS44" s="59">
        <f t="shared" si="17"/>
        <v>602.7705793540855</v>
      </c>
      <c r="DT44" s="59">
        <f ca="1">AVERAGE(OFFSET($DS$3,0,0,'Données projet'!$E$14+1,1))-AVERAGE(OFFSET($H$3,0,0,'Données projet'!$E$14+1,1))</f>
        <v>313.90901812281373</v>
      </c>
      <c r="DU44" s="59">
        <f t="shared" si="44"/>
        <v>210.54265725995265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14.98229999999999</v>
      </c>
      <c r="EJ44" s="12">
        <f>IF('Données projet'!$A$192&gt;35,EJ43+EI44-ER43,IF(A44&lt;'Données projet'!$A$192,$EG$205^A44,IF(A44='Données projet'!$A$192,'Données projet'!$B$192,EJ43+EI44-ER43)))</f>
        <v>321.34751527777792</v>
      </c>
      <c r="EK44" s="17">
        <f>EJ44*VLOOKUP('Données projet'!$B$15,Paramètres!$A$1:$I$89,3,0)*VLOOKUP('Données projet'!$B$15,Paramètres!$A$1:$I$89,5,0)</f>
        <v>255.66408315500013</v>
      </c>
      <c r="EL44" s="13">
        <f t="shared" si="45"/>
        <v>61.79723303703836</v>
      </c>
      <c r="EM44" s="20">
        <f t="shared" si="19"/>
        <v>552.91179236780033</v>
      </c>
      <c r="EN44" s="59">
        <f t="shared" si="20"/>
        <v>846.2451257011337</v>
      </c>
      <c r="EO44" s="59">
        <f ca="1">AVERAGE(OFFSET($EN$3,0,0,'Données projet'!$E$15+1,1))-AVERAGE(OFFSET($H$3,0,0,'Données projet'!$E$15+1,1))</f>
        <v>316.52407313312403</v>
      </c>
      <c r="EP44" s="59">
        <f t="shared" si="46"/>
        <v>340.55949748167382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20.695090607833357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20.695090607833357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11.926499999999994</v>
      </c>
      <c r="FE44" s="12">
        <f>IF('Données projet'!$A$218&gt;35,FE43+FD44-FM43,IF(A44&lt;'Données projet'!$A$218,$FB$205^A44,IF(A44='Données projet'!$A$218,'Données projet'!$B$218,FE43+FD44-FM43)))</f>
        <v>256.12740277777783</v>
      </c>
      <c r="FF44" s="17">
        <f>FE44*VLOOKUP('Données projet'!$B$16,Paramètres!$A$1:$I$89,3,0)*VLOOKUP('Données projet'!$B$16,Paramètres!$A$1:$I$89,5,0)</f>
        <v>167.81467430000004</v>
      </c>
      <c r="FG44" s="13">
        <f t="shared" si="47"/>
        <v>42.600215385048458</v>
      </c>
      <c r="FH44" s="20">
        <f t="shared" si="22"/>
        <v>366.47259953479278</v>
      </c>
      <c r="FI44" s="59">
        <f t="shared" si="23"/>
        <v>659.80593286812609</v>
      </c>
      <c r="FJ44" s="59">
        <f ca="1">AVERAGE(OFFSET($FI$3,0,0,'Données projet'!$E$16+1,1))-AVERAGE(OFFSET($H$3,0,0,'Données projet'!$E$16+1,1))</f>
        <v>199.99826357281154</v>
      </c>
      <c r="FK44" s="59">
        <f t="shared" si="48"/>
        <v>214.67424457475136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11.029838469661435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11.029838469661435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</v>
      </c>
      <c r="N45" s="13">
        <f>IF('Données projet'!$A$36&gt;35,N44+M45-V44,IF(A45&lt;'Données projet'!$A$36,$K$205^A45,IF(A45='Données projet'!$A$36,'Données projet'!$B$36,N44+M45-V44)))</f>
        <v>324.00000000000006</v>
      </c>
      <c r="O45" s="13">
        <f>N45*VLOOKUP('Données projet'!$B$9,Paramètres!$A$1:$I$89,3,0)*VLOOKUP('Données projet'!$B$9,Paramètres!$A$1:$I$89,5,0)</f>
        <v>193.75200000000004</v>
      </c>
      <c r="P45" s="13">
        <f t="shared" si="33"/>
        <v>48.368520355376113</v>
      </c>
      <c r="Q45" s="20">
        <f t="shared" si="53"/>
        <v>421.69323961894679</v>
      </c>
      <c r="R45" s="59">
        <f t="shared" si="0"/>
        <v>715.02657295228005</v>
      </c>
      <c r="S45" s="59">
        <f ca="1">AVERAGE(OFFSET($R$3,0,0,'Données projet'!$E$9+1,1))-AVERAGE(OFFSET($H$3,0,0,'Données projet'!$E$9+1,1))</f>
        <v>284.60021367910457</v>
      </c>
      <c r="T45" s="59">
        <f t="shared" si="34"/>
        <v>301.41905904220812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42.981578549486109</v>
      </c>
      <c r="AA45" s="21">
        <f>EXP(-LN(2)/25)*AA44+(1-EXP(-LN(2)/25))/(LN(2)/25)*Calculateur!V45*Calculateur!X45*VLOOKUP('Données projet'!$B$9,Paramètres!$A$1:$I$89,3,0)*0.475*44/12</f>
        <v>11.0539263624462</v>
      </c>
      <c r="AB45" s="21">
        <f>EXP(-LN(2)/2)*AB44+(1-EXP(-LN(2)/2))/(LN(2)/2)*V45*Y45*VLOOKUP('Données projet'!$B$9,Paramètres!$A$1:$I$89,3,0)*0.475*44/12</f>
        <v>2.6651742163810588</v>
      </c>
      <c r="AC45" s="22">
        <f t="shared" si="3"/>
        <v>56.700679128313368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16.600000000000001</v>
      </c>
      <c r="AI45" s="13">
        <f>IF('Données projet'!$A$62&gt;35,AI44+AH45-AQ44,IF(A45&lt;'Données projet'!$A$62,$AF$205^A45,IF(A45='Données projet'!$A$62,'Données projet'!$B$62,AI44+AH45-AQ44)))</f>
        <v>256.2000000000001</v>
      </c>
      <c r="AJ45" s="13">
        <f>AI45*VLOOKUP('Données projet'!$B$10,Paramètres!$A$1:$I$89,3,0)*VLOOKUP('Données projet'!$B$10,Paramètres!$A$1:$I$89,5,0)</f>
        <v>153.20760000000007</v>
      </c>
      <c r="AK45" s="13">
        <f t="shared" si="35"/>
        <v>39.306624169832133</v>
      </c>
      <c r="AL45" s="20">
        <f t="shared" si="4"/>
        <v>335.29560709579107</v>
      </c>
      <c r="AM45" s="59">
        <f t="shared" si="5"/>
        <v>628.62894042912444</v>
      </c>
      <c r="AN45" s="59">
        <f ca="1">AVERAGE(OFFSET($AM$3,0,0,'Données projet'!$E$10+1,1))-AVERAGE(OFFSET($H$3,0,0,'Données projet'!$E$10+1,1))</f>
        <v>294.45857786714919</v>
      </c>
      <c r="AO45" s="59">
        <f t="shared" si="36"/>
        <v>221.9773436301067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28.499145012360287</v>
      </c>
      <c r="AV45" s="21">
        <f>EXP(-LN(2)/25)*AV44+(1-EXP(-LN(2)/25))/(LN(2)/25)*Calculateur!AQ45*Calculateur!AS45*VLOOKUP('Données projet'!$B$10,Paramètres!$A$1:$I$89,3,0)*0.475*44/12</f>
        <v>8.254092616174967</v>
      </c>
      <c r="AW45" s="21">
        <f>EXP(-LN(2)/2)*AW44+(1-EXP(-LN(2)/2))/(LN(2)/2)*AQ45*AT45*VLOOKUP('Données projet'!$B$10,Paramètres!$A$1:$I$89,3,0)*0.475*44/12</f>
        <v>2.2123801773572511</v>
      </c>
      <c r="AX45" s="21">
        <f t="shared" si="6"/>
        <v>38.965617805892506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20.6</v>
      </c>
      <c r="BD45" s="12">
        <f>IF('Données projet'!$A$88&gt;35,BD44+BC45-BL44,IF(A45&lt;'Données projet'!$A$88,$BA$205^A45,IF(A45='Données projet'!$A$88,'Données projet'!$B$88,BD44+BC45-BL44)))</f>
        <v>464.20000000000016</v>
      </c>
      <c r="BE45" s="13">
        <f>BD45*VLOOKUP('Données projet'!$B$11,Paramètres!$A$1:$I$89,3,0)*VLOOKUP('Données projet'!$B$11,Paramètres!$A$1:$I$89,5,0)</f>
        <v>259.48780000000005</v>
      </c>
      <c r="BF45" s="13">
        <f t="shared" si="37"/>
        <v>62.613185087484013</v>
      </c>
      <c r="BG45" s="20">
        <f t="shared" si="7"/>
        <v>560.992549027368</v>
      </c>
      <c r="BH45" s="59">
        <f t="shared" si="8"/>
        <v>854.32588236070137</v>
      </c>
      <c r="BI45" s="59">
        <f ca="1">AVERAGE(OFFSET($BH$3,0,0,'Données projet'!$E$11+1,1))-AVERAGE(OFFSET($H$3,0,0,'Données projet'!$E$11+1,1))</f>
        <v>304.91676868833792</v>
      </c>
      <c r="BJ45" s="59">
        <f t="shared" si="38"/>
        <v>365.95065044620048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37.548702165539375</v>
      </c>
      <c r="BQ45" s="21">
        <f>EXP(-LN(2)/25)*BQ44+(1-EXP(-LN(2)/25))/(LN(2)/25)*Calculateur!BL45*Calculateur!BN45*VLOOKUP('Données projet'!$B$11,Paramètres!$A$1:$I$89,3,0)*0.475*44/12</f>
        <v>10.542352067255576</v>
      </c>
      <c r="BR45" s="21">
        <f>EXP(-LN(2)/2)*BR44+(1-EXP(-LN(2)/2))/(LN(2)/2)*BL45*BO45*VLOOKUP('Données projet'!$B$11,Paramètres!$A$1:$I$89,3,0)*0.475*44/12</f>
        <v>2.8502414985844071</v>
      </c>
      <c r="BS45" s="22">
        <f t="shared" si="9"/>
        <v>50.941295731379363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242.99999999999989</v>
      </c>
      <c r="BZ45" s="13">
        <f>BY45*VLOOKUP('Données projet'!$B$12,Paramètres!$A$1:$I$89,3,0)*VLOOKUP('Données projet'!$B$12,Paramètres!$A$1:$I$89,5,0)</f>
        <v>113.72399999999995</v>
      </c>
      <c r="CA45" s="13">
        <f t="shared" si="39"/>
        <v>30.206680638130489</v>
      </c>
      <c r="CB45" s="20">
        <f t="shared" si="10"/>
        <v>250.67926877807716</v>
      </c>
      <c r="CC45" s="59">
        <f t="shared" si="11"/>
        <v>544.0126021114105</v>
      </c>
      <c r="CD45" s="59">
        <f ca="1">AVERAGE(OFFSET($CC$3,0,0,'Données projet'!$E$12+1,1))-AVERAGE(OFFSET($H$3,0,0,'Données projet'!$E$12+1,1))</f>
        <v>259.87681411271632</v>
      </c>
      <c r="CE45" s="59">
        <f t="shared" si="40"/>
        <v>191.8684235641158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20.927945722825321</v>
      </c>
      <c r="CL45" s="21">
        <f>EXP(-LN(2)/25)*CL44+(1-EXP(-LN(2)/25))/(LN(2)/25)*Calculateur!CG45*Calculateur!CI45*VLOOKUP('Données projet'!$B$12,Paramètres!$A$1:$I$89,3,0)*0.475*44/12</f>
        <v>8.1442755001912399</v>
      </c>
      <c r="CM45" s="21">
        <f>EXP(-LN(2)/2)*CM44+(1-EXP(-LN(2)/2))/(LN(2)/2)*CG45*CJ45*VLOOKUP('Données projet'!$B$12,Paramètres!$A$1:$I$89,3,0)*0.475*44/12</f>
        <v>1.9453392608336102</v>
      </c>
      <c r="CN45" s="22">
        <f t="shared" si="12"/>
        <v>31.017560483850172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</v>
      </c>
      <c r="CT45" s="12">
        <f>IF('Données projet'!$A$140&gt;35,CT44+CS45-DB44,IF(A45&lt;'Données projet'!$A$140,$CQ$205^A45,IF(A45='Données projet'!$A$140,'Données projet'!$B$140,CT44+CS45-DB44)))</f>
        <v>170.48</v>
      </c>
      <c r="CU45" s="17">
        <f>CT45*VLOOKUP('Données projet'!$B$13,Paramètres!$A$1:$I$89,3,0)*VLOOKUP('Données projet'!$B$13,Paramètres!$A$1:$I$89,5,0)</f>
        <v>79.784639999999996</v>
      </c>
      <c r="CV45" s="13">
        <f t="shared" si="41"/>
        <v>22.084519230845231</v>
      </c>
      <c r="CW45" s="20">
        <f t="shared" si="13"/>
        <v>177.42211899372208</v>
      </c>
      <c r="CX45" s="59">
        <f t="shared" si="14"/>
        <v>470.75545232705542</v>
      </c>
      <c r="CY45" s="59">
        <f ca="1">AVERAGE(OFFSET($CX$3,0,0,'Données projet'!$E$13+1,1))-AVERAGE(OFFSET($H$3,0,0,'Données projet'!$E$13+1,1))</f>
        <v>137.59122085719031</v>
      </c>
      <c r="CZ45" s="59">
        <f t="shared" si="42"/>
        <v>130.1134470448718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14.905077117264094</v>
      </c>
      <c r="DG45" s="21">
        <f>EXP(-LN(2)/25)*DG44+(1-EXP(-LN(2)/25))/(LN(2)/25)*Calculateur!DB45*Calculateur!DD45*VLOOKUP('Données projet'!$B$13,Paramètres!$A$1:$I$89,3,0)*0.475*44/12</f>
        <v>5.7813860651660978</v>
      </c>
      <c r="DH45" s="21">
        <f>EXP(-LN(2)/2)*DH44+(1-EXP(-LN(2)/2))/(LN(2)/2)*DB45*DE45*VLOOKUP('Données projet'!$B$13,Paramètres!$A$1:$I$89,3,0)*0.475*44/12</f>
        <v>1.4050549784931849</v>
      </c>
      <c r="DI45" s="22">
        <f t="shared" si="15"/>
        <v>22.091518160923378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148</v>
      </c>
      <c r="DM45" s="12">
        <f>VLOOKUP(A45,'Données projet'!$A$165:$I$185,9,0)</f>
        <v>8.8333333333333339</v>
      </c>
      <c r="DN45" s="12">
        <f t="array" ref="DN45">INDEX(DM:DM,MIN(IF(ISNUMBER(DM45:DM241),ROW(DM45:DM241),"")))</f>
        <v>8.8333333333333339</v>
      </c>
      <c r="DO45" s="12">
        <f>IF('Données projet'!$A$166&gt;35,DO44+DN45-DW44,IF(A45&lt;'Données projet'!$A$166,$DL$205^A45,IF(A45='Données projet'!$A$166,'Données projet'!$B$166,DO44+DN45-DW44)))</f>
        <v>147.99999999999994</v>
      </c>
      <c r="DP45" s="17">
        <f>DO45*VLOOKUP('Données projet'!$B$14,Paramètres!$A$1:$I$89,3,0)*VLOOKUP('Données projet'!$B$14,Paramètres!$A$1:$I$89,5,0)</f>
        <v>150.07199999999995</v>
      </c>
      <c r="DQ45" s="13">
        <f t="shared" si="43"/>
        <v>38.594947422201457</v>
      </c>
      <c r="DR45" s="20">
        <f t="shared" si="16"/>
        <v>328.5949334270008</v>
      </c>
      <c r="DS45" s="59">
        <f t="shared" si="17"/>
        <v>621.92826676033405</v>
      </c>
      <c r="DT45" s="59">
        <f ca="1">AVERAGE(OFFSET($DS$3,0,0,'Données projet'!$E$14+1,1))-AVERAGE(OFFSET($H$3,0,0,'Données projet'!$E$14+1,1))</f>
        <v>313.90901812281373</v>
      </c>
      <c r="DU45" s="59">
        <f t="shared" si="44"/>
        <v>210.54265725995265</v>
      </c>
      <c r="DV45" s="15">
        <f>IF(ISNA(VLOOKUP(A45,'Données projet'!$A$165:$I$185,3,0)),0,VLOOKUP(A45,'Données projet'!$A$165:$I$185,3,0))</f>
        <v>2</v>
      </c>
      <c r="DW45" s="15">
        <f>IF(ISNA(VLOOKUP(A45,'Données projet'!$A$165:$I$185,4,0)),0,VLOOKUP(A45,'Données projet'!$A$165:$I$185,4,0))</f>
        <v>41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14.98229999999999</v>
      </c>
      <c r="EJ45" s="12">
        <f>IF('Données projet'!$A$192&gt;35,EJ44+EI45-ER44,IF(A45&lt;'Données projet'!$A$192,$EG$205^A45,IF(A45='Données projet'!$A$192,'Données projet'!$B$192,EJ44+EI45-ER44)))</f>
        <v>336.32981527777793</v>
      </c>
      <c r="EK45" s="17">
        <f>EJ45*VLOOKUP('Données projet'!$B$15,Paramètres!$A$1:$I$89,3,0)*VLOOKUP('Données projet'!$B$15,Paramètres!$A$1:$I$89,5,0)</f>
        <v>267.58400103500014</v>
      </c>
      <c r="EL45" s="13">
        <f t="shared" si="45"/>
        <v>64.336265414691141</v>
      </c>
      <c r="EM45" s="20">
        <f t="shared" si="19"/>
        <v>578.09446406654558</v>
      </c>
      <c r="EN45" s="59">
        <f t="shared" si="20"/>
        <v>871.42779739987895</v>
      </c>
      <c r="EO45" s="59">
        <f ca="1">AVERAGE(OFFSET($EN$3,0,0,'Données projet'!$E$15+1,1))-AVERAGE(OFFSET($H$3,0,0,'Données projet'!$E$15+1,1))</f>
        <v>316.52407313312403</v>
      </c>
      <c r="EP45" s="59">
        <f t="shared" si="46"/>
        <v>340.55949748167382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20.289272503772622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20.289272503772622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11.926499999999994</v>
      </c>
      <c r="FE45" s="12">
        <f>IF('Données projet'!$A$218&gt;35,FE44+FD45-FM44,IF(A45&lt;'Données projet'!$A$218,$FB$205^A45,IF(A45='Données projet'!$A$218,'Données projet'!$B$218,FE44+FD45-FM44)))</f>
        <v>268.05390277777781</v>
      </c>
      <c r="FF45" s="17">
        <f>FE45*VLOOKUP('Données projet'!$B$16,Paramètres!$A$1:$I$89,3,0)*VLOOKUP('Données projet'!$B$16,Paramètres!$A$1:$I$89,5,0)</f>
        <v>175.62891710000002</v>
      </c>
      <c r="FG45" s="13">
        <f t="shared" si="47"/>
        <v>44.348313741259268</v>
      </c>
      <c r="FH45" s="20">
        <f t="shared" si="22"/>
        <v>383.12701038185992</v>
      </c>
      <c r="FI45" s="59">
        <f t="shared" si="23"/>
        <v>676.46034371519318</v>
      </c>
      <c r="FJ45" s="59">
        <f ca="1">AVERAGE(OFFSET($FI$3,0,0,'Données projet'!$E$16+1,1))-AVERAGE(OFFSET($H$3,0,0,'Données projet'!$E$16+1,1))</f>
        <v>199.99826357281154</v>
      </c>
      <c r="FK45" s="59">
        <f t="shared" si="48"/>
        <v>214.67424457475136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10.813550064808551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10.813550064808551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</v>
      </c>
      <c r="N46" s="13">
        <f>IF('Données projet'!$A$36&gt;35,N45+M46-V45,IF(A46&lt;'Données projet'!$A$36,$K$205^A46,IF(A46='Données projet'!$A$36,'Données projet'!$B$36,N45+M46-V45)))</f>
        <v>344.00000000000006</v>
      </c>
      <c r="O46" s="13">
        <f>N46*VLOOKUP('Données projet'!$B$9,Paramètres!$A$1:$I$89,3,0)*VLOOKUP('Données projet'!$B$9,Paramètres!$A$1:$I$89,5,0)</f>
        <v>205.71200000000005</v>
      </c>
      <c r="P46" s="13">
        <f t="shared" si="33"/>
        <v>50.997427696933762</v>
      </c>
      <c r="Q46" s="20">
        <f t="shared" si="53"/>
        <v>447.10225323882634</v>
      </c>
      <c r="R46" s="59">
        <f t="shared" si="0"/>
        <v>740.43558657215965</v>
      </c>
      <c r="S46" s="59">
        <f ca="1">AVERAGE(OFFSET($R$3,0,0,'Données projet'!$E$9+1,1))-AVERAGE(OFFSET($H$3,0,0,'Données projet'!$E$9+1,1))</f>
        <v>284.60021367910457</v>
      </c>
      <c r="T46" s="59">
        <f t="shared" si="34"/>
        <v>301.41905904220812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42.138736010304967</v>
      </c>
      <c r="AA46" s="21">
        <f>EXP(-LN(2)/25)*AA45+(1-EXP(-LN(2)/25))/(LN(2)/25)*Calculateur!V46*Calculateur!X46*VLOOKUP('Données projet'!$B$9,Paramètres!$A$1:$I$89,3,0)*0.475*44/12</f>
        <v>10.751656164764386</v>
      </c>
      <c r="AB46" s="21">
        <f>EXP(-LN(2)/2)*AB45+(1-EXP(-LN(2)/2))/(LN(2)/2)*V46*Y46*VLOOKUP('Données projet'!$B$9,Paramètres!$A$1:$I$89,3,0)*0.475*44/12</f>
        <v>1.8845627614465896</v>
      </c>
      <c r="AC46" s="22">
        <f t="shared" si="3"/>
        <v>54.77495493651594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16.600000000000001</v>
      </c>
      <c r="AI46" s="13">
        <f>IF('Données projet'!$A$62&gt;35,AI45+AH46-AQ45,IF(A46&lt;'Données projet'!$A$62,$AF$205^A46,IF(A46='Données projet'!$A$62,'Données projet'!$B$62,AI45+AH46-AQ45)))</f>
        <v>272.80000000000013</v>
      </c>
      <c r="AJ46" s="13">
        <f>AI46*VLOOKUP('Données projet'!$B$10,Paramètres!$A$1:$I$89,3,0)*VLOOKUP('Données projet'!$B$10,Paramètres!$A$1:$I$89,5,0)</f>
        <v>163.13440000000008</v>
      </c>
      <c r="AK46" s="13">
        <f t="shared" si="35"/>
        <v>41.548687845426002</v>
      </c>
      <c r="AL46" s="20">
        <f t="shared" si="4"/>
        <v>356.48971133078379</v>
      </c>
      <c r="AM46" s="59">
        <f t="shared" si="5"/>
        <v>649.82304466411711</v>
      </c>
      <c r="AN46" s="59">
        <f ca="1">AVERAGE(OFFSET($AM$3,0,0,'Données projet'!$E$10+1,1))-AVERAGE(OFFSET($H$3,0,0,'Données projet'!$E$10+1,1))</f>
        <v>294.45857786714919</v>
      </c>
      <c r="AO46" s="59">
        <f t="shared" si="36"/>
        <v>221.9773436301067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27.940294161429954</v>
      </c>
      <c r="AV46" s="21">
        <f>EXP(-LN(2)/25)*AV45+(1-EXP(-LN(2)/25))/(LN(2)/25)*Calculateur!AQ46*Calculateur!AS46*VLOOKUP('Données projet'!$B$10,Paramètres!$A$1:$I$89,3,0)*0.475*44/12</f>
        <v>8.0283840195217966</v>
      </c>
      <c r="AW46" s="21">
        <f>EXP(-LN(2)/2)*AW45+(1-EXP(-LN(2)/2))/(LN(2)/2)*AQ46*AT46*VLOOKUP('Données projet'!$B$10,Paramètres!$A$1:$I$89,3,0)*0.475*44/12</f>
        <v>1.564389025972009</v>
      </c>
      <c r="AX46" s="21">
        <f t="shared" si="6"/>
        <v>37.533067206923761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20.6</v>
      </c>
      <c r="BD46" s="12">
        <f>IF('Données projet'!$A$88&gt;35,BD45+BC46-BL45,IF(A46&lt;'Données projet'!$A$88,$BA$205^A46,IF(A46='Données projet'!$A$88,'Données projet'!$B$88,BD45+BC46-BL45)))</f>
        <v>484.80000000000018</v>
      </c>
      <c r="BE46" s="13">
        <f>BD46*VLOOKUP('Données projet'!$B$11,Paramètres!$A$1:$I$89,3,0)*VLOOKUP('Données projet'!$B$11,Paramètres!$A$1:$I$89,5,0)</f>
        <v>271.00320000000011</v>
      </c>
      <c r="BF46" s="13">
        <f t="shared" si="37"/>
        <v>65.062127670866857</v>
      </c>
      <c r="BG46" s="20">
        <f t="shared" si="7"/>
        <v>585.31377902676002</v>
      </c>
      <c r="BH46" s="59">
        <f t="shared" si="8"/>
        <v>878.64711236009339</v>
      </c>
      <c r="BI46" s="59">
        <f ca="1">AVERAGE(OFFSET($BH$3,0,0,'Données projet'!$E$11+1,1))-AVERAGE(OFFSET($H$3,0,0,'Données projet'!$E$11+1,1))</f>
        <v>304.91676868833792</v>
      </c>
      <c r="BJ46" s="59">
        <f t="shared" si="38"/>
        <v>365.95065044620048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36.812395018520043</v>
      </c>
      <c r="BQ46" s="21">
        <f>EXP(-LN(2)/25)*BQ45+(1-EXP(-LN(2)/25))/(LN(2)/25)*Calculateur!BL46*Calculateur!BN46*VLOOKUP('Données projet'!$B$11,Paramètres!$A$1:$I$89,3,0)*0.475*44/12</f>
        <v>10.254070895578272</v>
      </c>
      <c r="BR46" s="21">
        <f>EXP(-LN(2)/2)*BR45+(1-EXP(-LN(2)/2))/(LN(2)/2)*BL46*BO46*VLOOKUP('Données projet'!$B$11,Paramètres!$A$1:$I$89,3,0)*0.475*44/12</f>
        <v>2.0154250916683418</v>
      </c>
      <c r="BS46" s="22">
        <f t="shared" si="9"/>
        <v>49.081891005766657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254.49999999999989</v>
      </c>
      <c r="BZ46" s="13">
        <f>BY46*VLOOKUP('Données projet'!$B$12,Paramètres!$A$1:$I$89,3,0)*VLOOKUP('Données projet'!$B$12,Paramètres!$A$1:$I$89,5,0)</f>
        <v>119.10599999999995</v>
      </c>
      <c r="CA46" s="13">
        <f t="shared" si="39"/>
        <v>31.466397815424038</v>
      </c>
      <c r="CB46" s="20">
        <f t="shared" si="10"/>
        <v>262.24692619519675</v>
      </c>
      <c r="CC46" s="59">
        <f t="shared" si="11"/>
        <v>555.58025952853006</v>
      </c>
      <c r="CD46" s="59">
        <f ca="1">AVERAGE(OFFSET($CC$3,0,0,'Données projet'!$E$12+1,1))-AVERAGE(OFFSET($H$3,0,0,'Données projet'!$E$12+1,1))</f>
        <v>259.87681411271632</v>
      </c>
      <c r="CE46" s="59">
        <f t="shared" si="40"/>
        <v>191.8684235641158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20.517561471987189</v>
      </c>
      <c r="CL46" s="21">
        <f>EXP(-LN(2)/25)*CL45+(1-EXP(-LN(2)/25))/(LN(2)/25)*Calculateur!CG46*Calculateur!CI46*VLOOKUP('Données projet'!$B$12,Paramètres!$A$1:$I$89,3,0)*0.475*44/12</f>
        <v>7.9215698583496756</v>
      </c>
      <c r="CM46" s="21">
        <f>EXP(-LN(2)/2)*CM45+(1-EXP(-LN(2)/2))/(LN(2)/2)*CG46*CJ46*VLOOKUP('Données projet'!$B$12,Paramètres!$A$1:$I$89,3,0)*0.475*44/12</f>
        <v>1.3755625830438718</v>
      </c>
      <c r="CN46" s="22">
        <f t="shared" si="12"/>
        <v>29.814693913380736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</v>
      </c>
      <c r="CT46" s="12">
        <f>IF('Données projet'!$A$140&gt;35,CT45+CS46-DB45,IF(A46&lt;'Données projet'!$A$140,$CQ$205^A46,IF(A46='Données projet'!$A$140,'Données projet'!$B$140,CT45+CS46-DB45)))</f>
        <v>177.48</v>
      </c>
      <c r="CU46" s="17">
        <f>CT46*VLOOKUP('Données projet'!$B$13,Paramètres!$A$1:$I$89,3,0)*VLOOKUP('Données projet'!$B$13,Paramètres!$A$1:$I$89,5,0)</f>
        <v>83.060639999999992</v>
      </c>
      <c r="CV46" s="13">
        <f t="shared" si="41"/>
        <v>22.883883502950997</v>
      </c>
      <c r="CW46" s="20">
        <f t="shared" si="13"/>
        <v>184.52004510097296</v>
      </c>
      <c r="CX46" s="59">
        <f t="shared" si="14"/>
        <v>477.85337843430625</v>
      </c>
      <c r="CY46" s="59">
        <f ca="1">AVERAGE(OFFSET($CX$3,0,0,'Données projet'!$E$13+1,1))-AVERAGE(OFFSET($H$3,0,0,'Données projet'!$E$13+1,1))</f>
        <v>137.59122085719031</v>
      </c>
      <c r="CZ46" s="59">
        <f t="shared" si="42"/>
        <v>130.1134470448718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14.612797646193906</v>
      </c>
      <c r="DG46" s="21">
        <f>EXP(-LN(2)/25)*DG45+(1-EXP(-LN(2)/25))/(LN(2)/25)*Calculateur!DB46*Calculateur!DD46*VLOOKUP('Données projet'!$B$13,Paramètres!$A$1:$I$89,3,0)*0.475*44/12</f>
        <v>5.6232937591842509</v>
      </c>
      <c r="DH46" s="21">
        <f>EXP(-LN(2)/2)*DH45+(1-EXP(-LN(2)/2))/(LN(2)/2)*DB46*DE46*VLOOKUP('Données projet'!$B$13,Paramètres!$A$1:$I$89,3,0)*0.475*44/12</f>
        <v>0.99352390323244988</v>
      </c>
      <c r="DI46" s="22">
        <f t="shared" si="15"/>
        <v>21.229615308610608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8.3333333333333339</v>
      </c>
      <c r="DO46" s="12">
        <f>IF('Données projet'!$A$166&gt;35,DO45+DN46-DW45,IF(A46&lt;'Données projet'!$A$166,$DL$205^A46,IF(A46='Données projet'!$A$166,'Données projet'!$B$166,DO45+DN46-DW45)))</f>
        <v>115.33333333333329</v>
      </c>
      <c r="DP46" s="17">
        <f>DO46*VLOOKUP('Données projet'!$B$14,Paramètres!$A$1:$I$89,3,0)*VLOOKUP('Données projet'!$B$14,Paramètres!$A$1:$I$89,5,0)</f>
        <v>116.94799999999996</v>
      </c>
      <c r="DQ46" s="13">
        <f t="shared" si="43"/>
        <v>30.962106641451879</v>
      </c>
      <c r="DR46" s="20">
        <f t="shared" si="16"/>
        <v>257.61010240052866</v>
      </c>
      <c r="DS46" s="59">
        <f t="shared" si="17"/>
        <v>550.94343573386197</v>
      </c>
      <c r="DT46" s="59">
        <f ca="1">AVERAGE(OFFSET($DS$3,0,0,'Données projet'!$E$14+1,1))-AVERAGE(OFFSET($H$3,0,0,'Données projet'!$E$14+1,1))</f>
        <v>313.90901812281373</v>
      </c>
      <c r="DU46" s="59">
        <f t="shared" si="44"/>
        <v>210.54265725995265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14.98229999999999</v>
      </c>
      <c r="EJ46" s="12">
        <f>IF('Données projet'!$A$192&gt;35,EJ45+EI46-ER45,IF(A46&lt;'Données projet'!$A$192,$EG$205^A46,IF(A46='Données projet'!$A$192,'Données projet'!$B$192,EJ45+EI46-ER45)))</f>
        <v>351.31211527777793</v>
      </c>
      <c r="EK46" s="17">
        <f>EJ46*VLOOKUP('Données projet'!$B$15,Paramètres!$A$1:$I$89,3,0)*VLOOKUP('Données projet'!$B$15,Paramètres!$A$1:$I$89,5,0)</f>
        <v>279.50391891500016</v>
      </c>
      <c r="EL46" s="13">
        <f t="shared" si="45"/>
        <v>66.862161869991255</v>
      </c>
      <c r="EM46" s="20">
        <f t="shared" si="19"/>
        <v>603.25425736719342</v>
      </c>
      <c r="EN46" s="59">
        <f t="shared" si="20"/>
        <v>896.58759070052679</v>
      </c>
      <c r="EO46" s="59">
        <f ca="1">AVERAGE(OFFSET($EN$3,0,0,'Données projet'!$E$15+1,1))-AVERAGE(OFFSET($H$3,0,0,'Données projet'!$E$15+1,1))</f>
        <v>316.52407313312403</v>
      </c>
      <c r="EP46" s="59">
        <f t="shared" si="46"/>
        <v>340.55949748167382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19.891412245207917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19.891412245207917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11.926499999999994</v>
      </c>
      <c r="FE46" s="12">
        <f>IF('Données projet'!$A$218&gt;35,FE45+FD46-FM45,IF(A46&lt;'Données projet'!$A$218,$FB$205^A46,IF(A46='Données projet'!$A$218,'Données projet'!$B$218,FE45+FD46-FM45)))</f>
        <v>279.98040277777778</v>
      </c>
      <c r="FF46" s="17">
        <f>FE46*VLOOKUP('Données projet'!$B$16,Paramètres!$A$1:$I$89,3,0)*VLOOKUP('Données projet'!$B$16,Paramètres!$A$1:$I$89,5,0)</f>
        <v>183.44315990000001</v>
      </c>
      <c r="FG46" s="13">
        <f t="shared" si="47"/>
        <v>46.087378994863862</v>
      </c>
      <c r="FH46" s="20">
        <f t="shared" si="22"/>
        <v>399.76568857522125</v>
      </c>
      <c r="FI46" s="59">
        <f t="shared" si="23"/>
        <v>693.0990219085545</v>
      </c>
      <c r="FJ46" s="59">
        <f ca="1">AVERAGE(OFFSET($FI$3,0,0,'Données projet'!$E$16+1,1))-AVERAGE(OFFSET($H$3,0,0,'Données projet'!$E$16+1,1))</f>
        <v>199.99826357281154</v>
      </c>
      <c r="FK46" s="59">
        <f t="shared" si="48"/>
        <v>214.67424457475136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10.601502943651932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10.601502943651932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</v>
      </c>
      <c r="N47" s="13">
        <f>IF('Données projet'!$A$36&gt;35,N46+M47-V46,IF(A47&lt;'Données projet'!$A$36,$K$205^A47,IF(A47='Données projet'!$A$36,'Données projet'!$B$36,N46+M47-V46)))</f>
        <v>364.00000000000006</v>
      </c>
      <c r="O47" s="13">
        <f>N47*VLOOKUP('Données projet'!$B$9,Paramètres!$A$1:$I$89,3,0)*VLOOKUP('Données projet'!$B$9,Paramètres!$A$1:$I$89,5,0)</f>
        <v>217.67200000000005</v>
      </c>
      <c r="P47" s="13">
        <f t="shared" si="33"/>
        <v>53.60859357546007</v>
      </c>
      <c r="Q47" s="20">
        <f t="shared" si="53"/>
        <v>472.48036714392634</v>
      </c>
      <c r="R47" s="59">
        <f t="shared" si="0"/>
        <v>765.81370047725966</v>
      </c>
      <c r="S47" s="59">
        <f ca="1">AVERAGE(OFFSET($R$3,0,0,'Données projet'!$E$9+1,1))-AVERAGE(OFFSET($H$3,0,0,'Données projet'!$E$9+1,1))</f>
        <v>284.60021367910457</v>
      </c>
      <c r="T47" s="59">
        <f t="shared" si="34"/>
        <v>301.41905904220812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41.31242109923398</v>
      </c>
      <c r="AA47" s="21">
        <f>EXP(-LN(2)/25)*AA46+(1-EXP(-LN(2)/25))/(LN(2)/25)*Calculateur!V47*Calculateur!X47*VLOOKUP('Données projet'!$B$9,Paramètres!$A$1:$I$89,3,0)*0.475*44/12</f>
        <v>10.457651561533879</v>
      </c>
      <c r="AB47" s="21">
        <f>EXP(-LN(2)/2)*AB46+(1-EXP(-LN(2)/2))/(LN(2)/2)*V47*Y47*VLOOKUP('Données projet'!$B$9,Paramètres!$A$1:$I$89,3,0)*0.475*44/12</f>
        <v>1.3325871081905296</v>
      </c>
      <c r="AC47" s="22">
        <f t="shared" si="3"/>
        <v>53.102659768958389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16.600000000000001</v>
      </c>
      <c r="AI47" s="13">
        <f>IF('Données projet'!$A$62&gt;35,AI46+AH47-AQ46,IF(A47&lt;'Données projet'!$A$62,$AF$205^A47,IF(A47='Données projet'!$A$62,'Données projet'!$B$62,AI46+AH47-AQ46)))</f>
        <v>289.40000000000015</v>
      </c>
      <c r="AJ47" s="13">
        <f>AI47*VLOOKUP('Données projet'!$B$10,Paramètres!$A$1:$I$89,3,0)*VLOOKUP('Données projet'!$B$10,Paramètres!$A$1:$I$89,5,0)</f>
        <v>173.0612000000001</v>
      </c>
      <c r="AK47" s="13">
        <f t="shared" si="35"/>
        <v>43.774916798471111</v>
      </c>
      <c r="AL47" s="20">
        <f t="shared" si="4"/>
        <v>377.65623675733735</v>
      </c>
      <c r="AM47" s="59">
        <f t="shared" si="5"/>
        <v>670.98957009067067</v>
      </c>
      <c r="AN47" s="59">
        <f ca="1">AVERAGE(OFFSET($AM$3,0,0,'Données projet'!$E$10+1,1))-AVERAGE(OFFSET($H$3,0,0,'Données projet'!$E$10+1,1))</f>
        <v>294.45857786714919</v>
      </c>
      <c r="AO47" s="59">
        <f t="shared" si="36"/>
        <v>221.9773436301067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27.392402034821004</v>
      </c>
      <c r="AV47" s="21">
        <f>EXP(-LN(2)/25)*AV46+(1-EXP(-LN(2)/25))/(LN(2)/25)*Calculateur!AQ47*Calculateur!AS47*VLOOKUP('Données projet'!$B$10,Paramètres!$A$1:$I$89,3,0)*0.475*44/12</f>
        <v>7.8088474363136067</v>
      </c>
      <c r="AW47" s="21">
        <f>EXP(-LN(2)/2)*AW46+(1-EXP(-LN(2)/2))/(LN(2)/2)*AQ47*AT47*VLOOKUP('Données projet'!$B$10,Paramètres!$A$1:$I$89,3,0)*0.475*44/12</f>
        <v>1.1061900886786256</v>
      </c>
      <c r="AX47" s="21">
        <f t="shared" si="6"/>
        <v>36.307439559813233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20.6</v>
      </c>
      <c r="BD47" s="12">
        <f>IF('Données projet'!$A$88&gt;35,BD46+BC47-BL46,IF(A47&lt;'Données projet'!$A$88,$BA$205^A47,IF(A47='Données projet'!$A$88,'Données projet'!$B$88,BD46+BC47-BL46)))</f>
        <v>505.4000000000002</v>
      </c>
      <c r="BE47" s="13">
        <f>BD47*VLOOKUP('Données projet'!$B$11,Paramètres!$A$1:$I$89,3,0)*VLOOKUP('Données projet'!$B$11,Paramètres!$A$1:$I$89,5,0)</f>
        <v>282.51860000000011</v>
      </c>
      <c r="BF47" s="13">
        <f t="shared" si="37"/>
        <v>67.498983751557503</v>
      </c>
      <c r="BG47" s="20">
        <f t="shared" si="7"/>
        <v>609.61395836729616</v>
      </c>
      <c r="BH47" s="59">
        <f t="shared" si="8"/>
        <v>902.94729170062942</v>
      </c>
      <c r="BI47" s="59">
        <f ca="1">AVERAGE(OFFSET($BH$3,0,0,'Données projet'!$E$11+1,1))-AVERAGE(OFFSET($H$3,0,0,'Données projet'!$E$11+1,1))</f>
        <v>304.91676868833792</v>
      </c>
      <c r="BJ47" s="59">
        <f t="shared" si="38"/>
        <v>365.95065044620048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36.09052640555074</v>
      </c>
      <c r="BQ47" s="21">
        <f>EXP(-LN(2)/25)*BQ46+(1-EXP(-LN(2)/25))/(LN(2)/25)*Calculateur!BL47*Calculateur!BN47*VLOOKUP('Données projet'!$B$11,Paramètres!$A$1:$I$89,3,0)*0.475*44/12</f>
        <v>9.9736727877005311</v>
      </c>
      <c r="BR47" s="21">
        <f>EXP(-LN(2)/2)*BR46+(1-EXP(-LN(2)/2))/(LN(2)/2)*BL47*BO47*VLOOKUP('Données projet'!$B$11,Paramètres!$A$1:$I$89,3,0)*0.475*44/12</f>
        <v>1.4251207492922038</v>
      </c>
      <c r="BS47" s="22">
        <f t="shared" si="9"/>
        <v>47.489319942543474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265.99999999999989</v>
      </c>
      <c r="BZ47" s="13">
        <f>BY47*VLOOKUP('Données projet'!$B$12,Paramètres!$A$1:$I$89,3,0)*VLOOKUP('Données projet'!$B$12,Paramètres!$A$1:$I$89,5,0)</f>
        <v>124.48799999999996</v>
      </c>
      <c r="CA47" s="13">
        <f t="shared" si="39"/>
        <v>32.719504245667267</v>
      </c>
      <c r="CB47" s="20">
        <f t="shared" si="10"/>
        <v>273.80306989453703</v>
      </c>
      <c r="CC47" s="59">
        <f t="shared" si="11"/>
        <v>567.13640322787035</v>
      </c>
      <c r="CD47" s="59">
        <f ca="1">AVERAGE(OFFSET($CC$3,0,0,'Données projet'!$E$12+1,1))-AVERAGE(OFFSET($H$3,0,0,'Données projet'!$E$12+1,1))</f>
        <v>259.87681411271632</v>
      </c>
      <c r="CE47" s="59">
        <f t="shared" si="40"/>
        <v>191.8684235641158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20.115224605998318</v>
      </c>
      <c r="CL47" s="21">
        <f>EXP(-LN(2)/25)*CL46+(1-EXP(-LN(2)/25))/(LN(2)/25)*Calculateur!CG47*Calculateur!CI47*VLOOKUP('Données projet'!$B$12,Paramètres!$A$1:$I$89,3,0)*0.475*44/12</f>
        <v>7.70495411399585</v>
      </c>
      <c r="CM47" s="21">
        <f>EXP(-LN(2)/2)*CM46+(1-EXP(-LN(2)/2))/(LN(2)/2)*CG47*CJ47*VLOOKUP('Données projet'!$B$12,Paramètres!$A$1:$I$89,3,0)*0.475*44/12</f>
        <v>0.97266963041680521</v>
      </c>
      <c r="CN47" s="22">
        <f t="shared" si="12"/>
        <v>28.792848350410974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</v>
      </c>
      <c r="CT47" s="12">
        <f>IF('Données projet'!$A$140&gt;35,CT46+CS47-DB46,IF(A47&lt;'Données projet'!$A$140,$CQ$205^A47,IF(A47='Données projet'!$A$140,'Données projet'!$B$140,CT46+CS47-DB46)))</f>
        <v>184.48</v>
      </c>
      <c r="CU47" s="17">
        <f>CT47*VLOOKUP('Données projet'!$B$13,Paramètres!$A$1:$I$89,3,0)*VLOOKUP('Données projet'!$B$13,Paramètres!$A$1:$I$89,5,0)</f>
        <v>86.336639999999989</v>
      </c>
      <c r="CV47" s="13">
        <f t="shared" si="41"/>
        <v>23.679585350021053</v>
      </c>
      <c r="CW47" s="20">
        <f t="shared" si="13"/>
        <v>191.61159248461999</v>
      </c>
      <c r="CX47" s="59">
        <f t="shared" si="14"/>
        <v>484.94492581795328</v>
      </c>
      <c r="CY47" s="59">
        <f ca="1">AVERAGE(OFFSET($CX$3,0,0,'Données projet'!$E$13+1,1))-AVERAGE(OFFSET($H$3,0,0,'Données projet'!$E$13+1,1))</f>
        <v>137.59122085719031</v>
      </c>
      <c r="CZ47" s="59">
        <f t="shared" si="42"/>
        <v>130.1134470448718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14.32624959727853</v>
      </c>
      <c r="DG47" s="21">
        <f>EXP(-LN(2)/25)*DG46+(1-EXP(-LN(2)/25))/(LN(2)/25)*Calculateur!DB47*Calculateur!DD47*VLOOKUP('Données projet'!$B$13,Paramètres!$A$1:$I$89,3,0)*0.475*44/12</f>
        <v>5.4695244956231912</v>
      </c>
      <c r="DH47" s="21">
        <f>EXP(-LN(2)/2)*DH46+(1-EXP(-LN(2)/2))/(LN(2)/2)*DB47*DE47*VLOOKUP('Données projet'!$B$13,Paramètres!$A$1:$I$89,3,0)*0.475*44/12</f>
        <v>0.70252748924659258</v>
      </c>
      <c r="DI47" s="22">
        <f t="shared" si="15"/>
        <v>20.498301582148311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8.3333333333333339</v>
      </c>
      <c r="DO47" s="12">
        <f>IF('Données projet'!$A$166&gt;35,DO46+DN47-DW46,IF(A47&lt;'Données projet'!$A$166,$DL$205^A47,IF(A47='Données projet'!$A$166,'Données projet'!$B$166,DO46+DN47-DW46)))</f>
        <v>123.66666666666661</v>
      </c>
      <c r="DP47" s="17">
        <f>DO47*VLOOKUP('Données projet'!$B$14,Paramètres!$A$1:$I$89,3,0)*VLOOKUP('Données projet'!$B$14,Paramètres!$A$1:$I$89,5,0)</f>
        <v>125.39799999999995</v>
      </c>
      <c r="DQ47" s="13">
        <f t="shared" si="43"/>
        <v>32.930751960914954</v>
      </c>
      <c r="DR47" s="20">
        <f t="shared" si="16"/>
        <v>275.75590966526011</v>
      </c>
      <c r="DS47" s="59">
        <f t="shared" si="17"/>
        <v>569.08924299859336</v>
      </c>
      <c r="DT47" s="59">
        <f ca="1">AVERAGE(OFFSET($DS$3,0,0,'Données projet'!$E$14+1,1))-AVERAGE(OFFSET($H$3,0,0,'Données projet'!$E$14+1,1))</f>
        <v>313.90901812281373</v>
      </c>
      <c r="DU47" s="59">
        <f t="shared" si="44"/>
        <v>210.54265725995265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14.98229999999999</v>
      </c>
      <c r="EJ47" s="12">
        <f>IF('Données projet'!$A$192&gt;35,EJ46+EI47-ER46,IF(A47&lt;'Données projet'!$A$192,$EG$205^A47,IF(A47='Données projet'!$A$192,'Données projet'!$B$192,EJ46+EI47-ER46)))</f>
        <v>366.29441527777794</v>
      </c>
      <c r="EK47" s="17">
        <f>EJ47*VLOOKUP('Données projet'!$B$15,Paramètres!$A$1:$I$89,3,0)*VLOOKUP('Données projet'!$B$15,Paramètres!$A$1:$I$89,5,0)</f>
        <v>291.42383679500017</v>
      </c>
      <c r="EL47" s="13">
        <f t="shared" si="45"/>
        <v>69.375546650686303</v>
      </c>
      <c r="EM47" s="20">
        <f t="shared" si="19"/>
        <v>628.39225950123728</v>
      </c>
      <c r="EN47" s="59">
        <f t="shared" si="20"/>
        <v>921.72559283457053</v>
      </c>
      <c r="EO47" s="59">
        <f ca="1">AVERAGE(OFFSET($EN$3,0,0,'Données projet'!$E$15+1,1))-AVERAGE(OFFSET($H$3,0,0,'Données projet'!$E$15+1,1))</f>
        <v>316.52407313312403</v>
      </c>
      <c r="EP47" s="59">
        <f t="shared" si="46"/>
        <v>340.55949748167382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19.50135378364287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19.50135378364287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11.926499999999994</v>
      </c>
      <c r="FE47" s="12">
        <f>IF('Données projet'!$A$218&gt;35,FE46+FD47-FM46,IF(A47&lt;'Données projet'!$A$218,$FB$205^A47,IF(A47='Données projet'!$A$218,'Données projet'!$B$218,FE46+FD47-FM46)))</f>
        <v>291.90690277777776</v>
      </c>
      <c r="FF47" s="17">
        <f>FE47*VLOOKUP('Données projet'!$B$16,Paramètres!$A$1:$I$89,3,0)*VLOOKUP('Données projet'!$B$16,Paramètres!$A$1:$I$89,5,0)</f>
        <v>191.25740269999997</v>
      </c>
      <c r="FG47" s="13">
        <f t="shared" si="47"/>
        <v>47.817839925334816</v>
      </c>
      <c r="FH47" s="20">
        <f t="shared" si="22"/>
        <v>416.38938090579137</v>
      </c>
      <c r="FI47" s="59">
        <f t="shared" si="23"/>
        <v>709.72271423912468</v>
      </c>
      <c r="FJ47" s="59">
        <f ca="1">AVERAGE(OFFSET($FI$3,0,0,'Données projet'!$E$16+1,1))-AVERAGE(OFFSET($H$3,0,0,'Données projet'!$E$16+1,1))</f>
        <v>199.99826357281154</v>
      </c>
      <c r="FK47" s="59">
        <f t="shared" si="48"/>
        <v>214.67424457475136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10.39361393720522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10.39361393720522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384</v>
      </c>
      <c r="L48" s="12">
        <f>VLOOKUP(A48,'Données projet'!$A$35:$I$55,9,0)</f>
        <v>20</v>
      </c>
      <c r="M48" s="12">
        <f t="array" ref="M48">INDEX(L:L,MIN(IF(ISNUMBER(L48:L244),ROW(L48:L244),"")))</f>
        <v>20</v>
      </c>
      <c r="N48" s="13">
        <f>IF('Données projet'!$A$36&gt;35,N47+M48-V47,IF(A48&lt;'Données projet'!$A$36,$K$205^A48,IF(A48='Données projet'!$A$36,'Données projet'!$B$36,N47+M48-V47)))</f>
        <v>384.00000000000006</v>
      </c>
      <c r="O48" s="13">
        <f>N48*VLOOKUP('Données projet'!$B$9,Paramètres!$A$1:$I$89,3,0)*VLOOKUP('Données projet'!$B$9,Paramètres!$A$1:$I$89,5,0)</f>
        <v>229.63200000000006</v>
      </c>
      <c r="P48" s="13">
        <f t="shared" si="33"/>
        <v>56.20310391330667</v>
      </c>
      <c r="Q48" s="20">
        <f t="shared" si="53"/>
        <v>497.82947264900918</v>
      </c>
      <c r="R48" s="59">
        <f t="shared" si="0"/>
        <v>791.16280598234243</v>
      </c>
      <c r="S48" s="59">
        <f ca="1">AVERAGE(OFFSET($R$3,0,0,'Données projet'!$E$9+1,1))-AVERAGE(OFFSET($H$3,0,0,'Données projet'!$E$9+1,1))</f>
        <v>284.60021367910457</v>
      </c>
      <c r="T48" s="59">
        <f t="shared" si="34"/>
        <v>301.41905904220812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57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54.745751668422102</v>
      </c>
      <c r="AA48" s="21">
        <f>EXP(-LN(2)/25)*AA47+(1-EXP(-LN(2)/25))/(LN(2)/25)*Calculateur!V48*Calculateur!X48*VLOOKUP('Données projet'!$B$9,Paramètres!$A$1:$I$89,3,0)*0.475*44/12</f>
        <v>13.576652951413939</v>
      </c>
      <c r="AB48" s="21">
        <f>EXP(-LN(2)/2)*AB47+(1-EXP(-LN(2)/2))/(LN(2)/2)*V48*Y48*VLOOKUP('Données projet'!$B$9,Paramètres!$A$1:$I$89,3,0)*0.475*44/12</f>
        <v>6.0365930330635944</v>
      </c>
      <c r="AC48" s="22">
        <f t="shared" si="3"/>
        <v>74.358997652899632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306</v>
      </c>
      <c r="AG48" s="12">
        <f>VLOOKUP(A48,'Données projet'!$A$61:$I$81,9,0)</f>
        <v>16.600000000000001</v>
      </c>
      <c r="AH48" s="12">
        <f t="array" ref="AH48">INDEX(AG:AG,MIN(IF(ISNUMBER(AG48:AG244),ROW(AG48:AG244),"")))</f>
        <v>16.600000000000001</v>
      </c>
      <c r="AI48" s="13">
        <f>IF('Données projet'!$A$62&gt;35,AI47+AH48-AQ47,IF(A48&lt;'Données projet'!$A$62,$AF$205^A48,IF(A48='Données projet'!$A$62,'Données projet'!$B$62,AI47+AH48-AQ47)))</f>
        <v>306.00000000000017</v>
      </c>
      <c r="AJ48" s="13">
        <f>AI48*VLOOKUP('Données projet'!$B$10,Paramètres!$A$1:$I$89,3,0)*VLOOKUP('Données projet'!$B$10,Paramètres!$A$1:$I$89,5,0)</f>
        <v>182.98800000000011</v>
      </c>
      <c r="AK48" s="13">
        <f t="shared" si="35"/>
        <v>45.986322796524874</v>
      </c>
      <c r="AL48" s="20">
        <f t="shared" si="4"/>
        <v>398.79694553728103</v>
      </c>
      <c r="AM48" s="59">
        <f t="shared" si="5"/>
        <v>692.13027887061435</v>
      </c>
      <c r="AN48" s="59">
        <f ca="1">AVERAGE(OFFSET($AM$3,0,0,'Données projet'!$E$10+1,1))-AVERAGE(OFFSET($H$3,0,0,'Données projet'!$E$10+1,1))</f>
        <v>294.45857786714919</v>
      </c>
      <c r="AO48" s="59">
        <f t="shared" si="36"/>
        <v>221.9773436301067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41</v>
      </c>
      <c r="AR48" s="16">
        <f>IF(ISNA(VLOOKUP(A48,'Données projet'!$A$61:$I$81,5,0)),0%,VLOOKUP(A48,'Données projet'!$A$61:$I$81,5,0)*VLOOKUP('Données projet'!$B$10,Paramètres!$A$1:$I$89,7,0))</f>
        <v>0.315</v>
      </c>
      <c r="AS48" s="16">
        <f>IF(ISNA(VLOOKUP(A48,'Données projet'!$A$61:$I$81,6,0)),0%,VLOOKUP(A48,'Données projet'!$A$61:$I$81,6,0)*VLOOKUP('Données projet'!$B$10,Paramètres!$A$1:$I$89,7,0))</f>
        <v>7.5600000000000001E-2</v>
      </c>
      <c r="AT48" s="16">
        <f>IF(ISNA(VLOOKUP(A48,'Données projet'!$A$61:$I$81,7,0)),0%,VLOOKUP(A48,'Données projet'!$A$61:$I$81,7,0))</f>
        <v>0.13200000000000001</v>
      </c>
      <c r="AU48" s="21">
        <f>EXP(-LN(2)/35)*AU47+(1-EXP(-LN(2)/35))/(LN(2)/35)*AQ48*AR48*VLOOKUP('Données projet'!$B$10,Paramètres!$A$1:$I$89,3,0)*0.475*44/12</f>
        <v>37.100536543950653</v>
      </c>
      <c r="AV48" s="21">
        <f>EXP(-LN(2)/25)*AV47+(1-EXP(-LN(2)/25))/(LN(2)/25)*Calculateur!AQ48*Calculateur!AS48*VLOOKUP('Données projet'!$B$10,Paramètres!$A$1:$I$89,3,0)*0.475*44/12</f>
        <v>10.044500466075052</v>
      </c>
      <c r="AW48" s="21">
        <f>EXP(-LN(2)/2)*AW47+(1-EXP(-LN(2)/2))/(LN(2)/2)*AQ48*AT48*VLOOKUP('Données projet'!$B$10,Paramètres!$A$1:$I$89,3,0)*0.475*44/12</f>
        <v>4.4465239471255185</v>
      </c>
      <c r="AX48" s="21">
        <f t="shared" si="6"/>
        <v>51.591560957151223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526</v>
      </c>
      <c r="BB48" s="12">
        <f>VLOOKUP(A48,'Données projet'!$A$87:$I$107,9,0)</f>
        <v>20.6</v>
      </c>
      <c r="BC48" s="12">
        <f t="array" ref="BC48">INDEX(BB:BB,MIN(IF(ISNUMBER(BB48:BB244),ROW(BB48:BB244),"")))</f>
        <v>20.6</v>
      </c>
      <c r="BD48" s="12">
        <f>IF('Données projet'!$A$88&gt;35,BD47+BC48-BL47,IF(A48&lt;'Données projet'!$A$88,$BA$205^A48,IF(A48='Données projet'!$A$88,'Données projet'!$B$88,BD47+BC48-BL47)))</f>
        <v>526.00000000000023</v>
      </c>
      <c r="BE48" s="13">
        <f>BD48*VLOOKUP('Données projet'!$B$11,Paramètres!$A$1:$I$89,3,0)*VLOOKUP('Données projet'!$B$11,Paramètres!$A$1:$I$89,5,0)</f>
        <v>294.03400000000011</v>
      </c>
      <c r="BF48" s="13">
        <f t="shared" si="37"/>
        <v>69.924302323873434</v>
      </c>
      <c r="BG48" s="20">
        <f t="shared" si="7"/>
        <v>633.89404321407972</v>
      </c>
      <c r="BH48" s="59">
        <f t="shared" si="8"/>
        <v>927.22737654741309</v>
      </c>
      <c r="BI48" s="59">
        <f ca="1">AVERAGE(OFFSET($BH$3,0,0,'Données projet'!$E$11+1,1))-AVERAGE(OFFSET($H$3,0,0,'Données projet'!$E$11+1,1))</f>
        <v>304.91676868833792</v>
      </c>
      <c r="BJ48" s="59">
        <f t="shared" si="38"/>
        <v>365.95065044620048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57</v>
      </c>
      <c r="BM48" s="16">
        <f>IF(ISNA(VLOOKUP(A48,'Données projet'!$A$87:$I$107,5,0)),0%,VLOOKUP(A48,'Données projet'!$A$87:$I$107,5,0)*VLOOKUP('Données projet'!$B$11,Paramètres!$A$1:$I$89,7,0))</f>
        <v>0.38500000000000001</v>
      </c>
      <c r="BN48" s="16">
        <f>IF(ISNA(VLOOKUP(A48,'Données projet'!$A$87:$I$107,6,0)),0%,VLOOKUP(A48,'Données projet'!$A$87:$I$107,6,0)*VLOOKUP('Données projet'!$B$11,Paramètres!$A$1:$I$89,7,0))</f>
        <v>9.240000000000001E-2</v>
      </c>
      <c r="BO48" s="16">
        <f>IF(ISNA(VLOOKUP(A48,'Données projet'!$A$87:$I$107,7,0)),0%,VLOOKUP(A48,'Données projet'!$A$87:$I$107,7,0))</f>
        <v>0.13200000000000001</v>
      </c>
      <c r="BP48" s="21">
        <f>EXP(-LN(2)/35)*BP47+(1-EXP(-LN(2)/35))/(LN(2)/35)*BL48*BM48*VLOOKUP('Données projet'!$B$11,Paramètres!$A$1:$I$89,3,0)*0.475*44/12</f>
        <v>51.656117644598368</v>
      </c>
      <c r="BQ48" s="21">
        <f>EXP(-LN(2)/25)*BQ47+(1-EXP(-LN(2)/25))/(LN(2)/25)*Calculateur!BL48*Calculateur!BN48*VLOOKUP('Données projet'!$B$11,Paramètres!$A$1:$I$89,3,0)*0.475*44/12</f>
        <v>13.591157440488097</v>
      </c>
      <c r="BR48" s="21">
        <f>EXP(-LN(2)/2)*BR47+(1-EXP(-LN(2)/2))/(LN(2)/2)*BL48*BO48*VLOOKUP('Données projet'!$B$11,Paramètres!$A$1:$I$89,3,0)*0.475*44/12</f>
        <v>5.7697864817174951</v>
      </c>
      <c r="BS48" s="22">
        <f t="shared" si="9"/>
        <v>71.01706156680396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277.49999999999989</v>
      </c>
      <c r="BZ48" s="13">
        <f>BY48*VLOOKUP('Données projet'!$B$12,Paramètres!$A$1:$I$89,3,0)*VLOOKUP('Données projet'!$B$12,Paramètres!$A$1:$I$89,5,0)</f>
        <v>129.86999999999995</v>
      </c>
      <c r="CA48" s="13">
        <f t="shared" si="39"/>
        <v>33.966318400312289</v>
      </c>
      <c r="CB48" s="20">
        <f t="shared" si="10"/>
        <v>285.34825454721044</v>
      </c>
      <c r="CC48" s="59">
        <f t="shared" si="11"/>
        <v>578.6815878805437</v>
      </c>
      <c r="CD48" s="59">
        <f ca="1">AVERAGE(OFFSET($CC$3,0,0,'Données projet'!$E$12+1,1))-AVERAGE(OFFSET($H$3,0,0,'Données projet'!$E$12+1,1))</f>
        <v>259.87681411271632</v>
      </c>
      <c r="CE48" s="59">
        <f t="shared" si="40"/>
        <v>191.8684235641158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19.72077732055023</v>
      </c>
      <c r="CL48" s="21">
        <f>EXP(-LN(2)/25)*CL47+(1-EXP(-LN(2)/25))/(LN(2)/25)*Calculateur!CG48*Calculateur!CI48*VLOOKUP('Données projet'!$B$12,Paramètres!$A$1:$I$89,3,0)*0.475*44/12</f>
        <v>7.4942617385627068</v>
      </c>
      <c r="CM48" s="21">
        <f>EXP(-LN(2)/2)*CM47+(1-EXP(-LN(2)/2))/(LN(2)/2)*CG48*CJ48*VLOOKUP('Données projet'!$B$12,Paramètres!$A$1:$I$89,3,0)*0.475*44/12</f>
        <v>0.68778129152193601</v>
      </c>
      <c r="CN48" s="22">
        <f t="shared" si="12"/>
        <v>27.902820350634872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</v>
      </c>
      <c r="CT48" s="12">
        <f>IF('Données projet'!$A$140&gt;35,CT47+CS48-DB47,IF(A48&lt;'Données projet'!$A$140,$CQ$205^A48,IF(A48='Données projet'!$A$140,'Données projet'!$B$140,CT47+CS48-DB47)))</f>
        <v>191.48</v>
      </c>
      <c r="CU48" s="17">
        <f>CT48*VLOOKUP('Données projet'!$B$13,Paramètres!$A$1:$I$89,3,0)*VLOOKUP('Données projet'!$B$13,Paramètres!$A$1:$I$89,5,0)</f>
        <v>89.612639999999999</v>
      </c>
      <c r="CV48" s="13">
        <f t="shared" si="41"/>
        <v>24.471779650437046</v>
      </c>
      <c r="CW48" s="20">
        <f t="shared" si="13"/>
        <v>198.69703089117783</v>
      </c>
      <c r="CX48" s="59">
        <f t="shared" si="14"/>
        <v>492.03036422451112</v>
      </c>
      <c r="CY48" s="59">
        <f ca="1">AVERAGE(OFFSET($CX$3,0,0,'Données projet'!$E$13+1,1))-AVERAGE(OFFSET($H$3,0,0,'Données projet'!$E$13+1,1))</f>
        <v>137.59122085719031</v>
      </c>
      <c r="CZ48" s="59">
        <f t="shared" si="42"/>
        <v>130.1134470448718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14.045320580825331</v>
      </c>
      <c r="DG48" s="21">
        <f>EXP(-LN(2)/25)*DG47+(1-EXP(-LN(2)/25))/(LN(2)/25)*Calculateur!DB48*Calculateur!DD48*VLOOKUP('Données projet'!$B$13,Paramètres!$A$1:$I$89,3,0)*0.475*44/12</f>
        <v>5.3199600606605824</v>
      </c>
      <c r="DH48" s="21">
        <f>EXP(-LN(2)/2)*DH47+(1-EXP(-LN(2)/2))/(LN(2)/2)*DB48*DE48*VLOOKUP('Données projet'!$B$13,Paramètres!$A$1:$I$89,3,0)*0.475*44/12</f>
        <v>0.49676195161622499</v>
      </c>
      <c r="DI48" s="22">
        <f t="shared" si="15"/>
        <v>19.862042593102139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8.3333333333333339</v>
      </c>
      <c r="DO48" s="12">
        <f>IF('Données projet'!$A$166&gt;35,DO47+DN48-DW47,IF(A48&lt;'Données projet'!$A$166,$DL$205^A48,IF(A48='Données projet'!$A$166,'Données projet'!$B$166,DO47+DN48-DW47)))</f>
        <v>131.99999999999994</v>
      </c>
      <c r="DP48" s="17">
        <f>DO48*VLOOKUP('Données projet'!$B$14,Paramètres!$A$1:$I$89,3,0)*VLOOKUP('Données projet'!$B$14,Paramètres!$A$1:$I$89,5,0)</f>
        <v>133.84799999999996</v>
      </c>
      <c r="DQ48" s="13">
        <f t="shared" si="43"/>
        <v>34.884003992121656</v>
      </c>
      <c r="DR48" s="20">
        <f t="shared" si="16"/>
        <v>293.87490695294508</v>
      </c>
      <c r="DS48" s="59">
        <f t="shared" si="17"/>
        <v>587.2082402862784</v>
      </c>
      <c r="DT48" s="59">
        <f ca="1">AVERAGE(OFFSET($DS$3,0,0,'Données projet'!$E$14+1,1))-AVERAGE(OFFSET($H$3,0,0,'Données projet'!$E$14+1,1))</f>
        <v>313.90901812281373</v>
      </c>
      <c r="DU48" s="59">
        <f t="shared" si="44"/>
        <v>210.54265725995265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381.27671527777773</v>
      </c>
      <c r="EH48" s="12">
        <f>VLOOKUP(A48,'Données projet'!$A$191:$I$211,9,0)</f>
        <v>14.98229999999999</v>
      </c>
      <c r="EI48" s="12">
        <f t="array" ref="EI48">INDEX(EH:EH,MIN(IF(ISNUMBER(EH48:EH244),ROW(EH48:EH244),"")))</f>
        <v>14.98229999999999</v>
      </c>
      <c r="EJ48" s="12">
        <f>IF('Données projet'!$A$192&gt;35,EJ47+EI48-ER47,IF(A48&lt;'Données projet'!$A$192,$EG$205^A48,IF(A48='Données projet'!$A$192,'Données projet'!$B$192,EJ47+EI48-ER47)))</f>
        <v>381.27671527777795</v>
      </c>
      <c r="EK48" s="17">
        <f>EJ48*VLOOKUP('Données projet'!$B$15,Paramètres!$A$1:$I$89,3,0)*VLOOKUP('Données projet'!$B$15,Paramètres!$A$1:$I$89,5,0)</f>
        <v>303.34375467500013</v>
      </c>
      <c r="EL48" s="13">
        <f t="shared" si="45"/>
        <v>71.876990048386105</v>
      </c>
      <c r="EM48" s="20">
        <f t="shared" si="19"/>
        <v>653.50946372656438</v>
      </c>
      <c r="EN48" s="59">
        <f t="shared" si="20"/>
        <v>946.84279705989775</v>
      </c>
      <c r="EO48" s="59">
        <f ca="1">AVERAGE(OFFSET($EN$3,0,0,'Données projet'!$E$15+1,1))-AVERAGE(OFFSET($H$3,0,0,'Données projet'!$E$15+1,1))</f>
        <v>316.52407313312403</v>
      </c>
      <c r="EP48" s="59">
        <f t="shared" si="46"/>
        <v>340.55949748167382</v>
      </c>
      <c r="EQ48" s="15">
        <f>IF(ISNA(VLOOKUP(A48,'Données projet'!$A$191:$I$211,3,0)),0,VLOOKUP(A48,'Données projet'!$A$191:$I$211,3,0))</f>
        <v>4</v>
      </c>
      <c r="ER48" s="15">
        <f>IF(ISNA(VLOOKUP(A48,'Données projet'!$A$191:$I$211,4,0)),0,VLOOKUP(A48,'Données projet'!$A$191:$I$211,4,0))</f>
        <v>63.546119212962964</v>
      </c>
      <c r="ES48" s="16">
        <f>IF(ISNA(VLOOKUP(A48,'Données projet'!$A$191:$I$211,5,0)),0%,VLOOKUP(A48,'Données projet'!$A$191:$I$211,5,0)*VLOOKUP('Données projet'!$B$15,Paramètres!$A$1:$I$89,7,0))</f>
        <v>0.371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39.853981749119072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39.853981749119072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303.83340277777774</v>
      </c>
      <c r="FC48" s="12">
        <f>VLOOKUP(A48,'Données projet'!$A$217:$I$237,9,0)</f>
        <v>11.926499999999994</v>
      </c>
      <c r="FD48" s="12">
        <f t="array" ref="FD48">INDEX(FC:FC,MIN(IF(ISNUMBER(FC48:FC244),ROW(FC48:FC244),"")))</f>
        <v>11.926499999999994</v>
      </c>
      <c r="FE48" s="12">
        <f>IF('Données projet'!$A$218&gt;35,FE47+FD48-FM47,IF(A48&lt;'Données projet'!$A$218,$FB$205^A48,IF(A48='Données projet'!$A$218,'Données projet'!$B$218,FE47+FD48-FM47)))</f>
        <v>303.83340277777774</v>
      </c>
      <c r="FF48" s="17">
        <f>FE48*VLOOKUP('Données projet'!$B$16,Paramètres!$A$1:$I$89,3,0)*VLOOKUP('Données projet'!$B$16,Paramètres!$A$1:$I$89,5,0)</f>
        <v>199.07164549999999</v>
      </c>
      <c r="FG48" s="13">
        <f t="shared" si="47"/>
        <v>49.540088291957133</v>
      </c>
      <c r="FH48" s="20">
        <f t="shared" si="22"/>
        <v>432.99876968765869</v>
      </c>
      <c r="FI48" s="59">
        <f t="shared" si="23"/>
        <v>726.33210302099201</v>
      </c>
      <c r="FJ48" s="59">
        <f ca="1">AVERAGE(OFFSET($FI$3,0,0,'Données projet'!$E$16+1,1))-AVERAGE(OFFSET($H$3,0,0,'Données projet'!$E$16+1,1))</f>
        <v>199.99826357281154</v>
      </c>
      <c r="FK48" s="59">
        <f t="shared" si="48"/>
        <v>214.67424457475136</v>
      </c>
      <c r="FL48" s="15">
        <f>IF(ISNA(VLOOKUP(A48,'Données projet'!$A$217:$I$237,3,0)),0,VLOOKUP(A48,'Données projet'!$A$217:$I$237,3,0))</f>
        <v>4</v>
      </c>
      <c r="FM48" s="15">
        <f>IF(ISNA(VLOOKUP(A48,'Données projet'!$A$217:$I$237,4,0)),0,VLOOKUP(A48,'Données projet'!$A$217:$I$237,4,0))</f>
        <v>50.638900462962958</v>
      </c>
      <c r="FN48" s="16">
        <f>IF(ISNA(VLOOKUP(A48,'Données projet'!$A$217:$I$237,5,0)),0%,VLOOKUP(A48,'Données projet'!$A$217:$I$237,5,0)*VLOOKUP('Données projet'!$B$16,Paramètres!$A$1:$I$89,7,0))</f>
        <v>0.30099999999999999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21.22986985054937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21.22986985054937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17.399999999999999</v>
      </c>
      <c r="N49" s="13">
        <f>IF('Données projet'!$A$36&gt;35,N48+M49-V48,IF(A49&lt;'Données projet'!$A$36,$K$205^A49,IF(A49='Données projet'!$A$36,'Données projet'!$B$36,N48+M49-V48)))</f>
        <v>344.40000000000003</v>
      </c>
      <c r="O49" s="13">
        <f>N49*VLOOKUP('Données projet'!$B$9,Paramètres!$A$1:$I$89,3,0)*VLOOKUP('Données projet'!$B$9,Paramètres!$A$1:$I$89,5,0)</f>
        <v>205.95120000000006</v>
      </c>
      <c r="P49" s="13">
        <f t="shared" si="33"/>
        <v>51.049821044529857</v>
      </c>
      <c r="Q49" s="20">
        <f t="shared" si="53"/>
        <v>447.61011165255627</v>
      </c>
      <c r="R49" s="59">
        <f t="shared" si="0"/>
        <v>740.94344498588953</v>
      </c>
      <c r="S49" s="59">
        <f ca="1">AVERAGE(OFFSET($R$3,0,0,'Données projet'!$E$9+1,1))-AVERAGE(OFFSET($H$3,0,0,'Données projet'!$E$9+1,1))</f>
        <v>284.60021367910457</v>
      </c>
      <c r="T49" s="59">
        <f t="shared" si="34"/>
        <v>301.41905904220812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53.672220869815717</v>
      </c>
      <c r="AA49" s="21">
        <f>EXP(-LN(2)/25)*AA48+(1-EXP(-LN(2)/25))/(LN(2)/25)*Calculateur!V49*Calculateur!X49*VLOOKUP('Données projet'!$B$9,Paramètres!$A$1:$I$89,3,0)*0.475*44/12</f>
        <v>13.205398662492376</v>
      </c>
      <c r="AB49" s="21">
        <f>EXP(-LN(2)/2)*AB48+(1-EXP(-LN(2)/2))/(LN(2)/2)*V49*Y49*VLOOKUP('Données projet'!$B$9,Paramètres!$A$1:$I$89,3,0)*0.475*44/12</f>
        <v>4.2685158689427363</v>
      </c>
      <c r="AC49" s="22">
        <f t="shared" si="3"/>
        <v>71.146135401250831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282.40000000000015</v>
      </c>
      <c r="AJ49" s="13">
        <f>AI49*VLOOKUP('Données projet'!$B$10,Paramètres!$A$1:$I$89,3,0)*VLOOKUP('Données projet'!$B$10,Paramètres!$A$1:$I$89,5,0)</f>
        <v>168.87520000000012</v>
      </c>
      <c r="AK49" s="13">
        <f t="shared" si="35"/>
        <v>42.838008554673955</v>
      </c>
      <c r="AL49" s="20">
        <f t="shared" si="4"/>
        <v>368.73383823272405</v>
      </c>
      <c r="AM49" s="59">
        <f t="shared" si="5"/>
        <v>662.06717156605737</v>
      </c>
      <c r="AN49" s="59">
        <f ca="1">AVERAGE(OFFSET($AM$3,0,0,'Données projet'!$E$10+1,1))-AVERAGE(OFFSET($H$3,0,0,'Données projet'!$E$10+1,1))</f>
        <v>294.45857786714919</v>
      </c>
      <c r="AO49" s="59">
        <f t="shared" si="36"/>
        <v>221.9773436301067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36.373017651416639</v>
      </c>
      <c r="AV49" s="21">
        <f>EXP(-LN(2)/25)*AV48+(1-EXP(-LN(2)/25))/(LN(2)/25)*Calculateur!AQ49*Calculateur!AS49*VLOOKUP('Données projet'!$B$10,Paramètres!$A$1:$I$89,3,0)*0.475*44/12</f>
        <v>9.7698330726129061</v>
      </c>
      <c r="AW49" s="21">
        <f>EXP(-LN(2)/2)*AW48+(1-EXP(-LN(2)/2))/(LN(2)/2)*AQ49*AT49*VLOOKUP('Données projet'!$B$10,Paramètres!$A$1:$I$89,3,0)*0.475*44/12</f>
        <v>3.1441672357208277</v>
      </c>
      <c r="AX49" s="21">
        <f t="shared" si="6"/>
        <v>49.287017959750372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</v>
      </c>
      <c r="BD49" s="12">
        <f>IF('Données projet'!$A$88&gt;35,BD48+BC49-BL48,IF(A49&lt;'Données projet'!$A$88,$BA$205^A49,IF(A49='Données projet'!$A$88,'Données projet'!$B$88,BD48+BC49-BL48)))</f>
        <v>484.00000000000023</v>
      </c>
      <c r="BE49" s="13">
        <f>BD49*VLOOKUP('Données projet'!$B$11,Paramètres!$A$1:$I$89,3,0)*VLOOKUP('Données projet'!$B$11,Paramètres!$A$1:$I$89,5,0)</f>
        <v>270.55600000000015</v>
      </c>
      <c r="BF49" s="13">
        <f t="shared" si="37"/>
        <v>64.967252389325282</v>
      </c>
      <c r="BG49" s="20">
        <f t="shared" si="7"/>
        <v>584.36966457807512</v>
      </c>
      <c r="BH49" s="59">
        <f t="shared" si="8"/>
        <v>877.70299791140837</v>
      </c>
      <c r="BI49" s="59">
        <f ca="1">AVERAGE(OFFSET($BH$3,0,0,'Données projet'!$E$11+1,1))-AVERAGE(OFFSET($H$3,0,0,'Données projet'!$E$11+1,1))</f>
        <v>304.91676868833792</v>
      </c>
      <c r="BJ49" s="59">
        <f t="shared" si="38"/>
        <v>365.95065044620048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50.643172684708489</v>
      </c>
      <c r="BQ49" s="21">
        <f>EXP(-LN(2)/25)*BQ48+(1-EXP(-LN(2)/25))/(LN(2)/25)*Calculateur!BL49*Calculateur!BN49*VLOOKUP('Données projet'!$B$11,Paramètres!$A$1:$I$89,3,0)*0.475*44/12</f>
        <v>13.219506525550043</v>
      </c>
      <c r="BR49" s="21">
        <f>EXP(-LN(2)/2)*BR48+(1-EXP(-LN(2)/2))/(LN(2)/2)*BL49*BO49*VLOOKUP('Données projet'!$B$11,Paramètres!$A$1:$I$89,3,0)*0.475*44/12</f>
        <v>4.079855147220913</v>
      </c>
      <c r="BS49" s="22">
        <f t="shared" si="9"/>
        <v>67.942534357479445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288.99999999999989</v>
      </c>
      <c r="BZ49" s="13">
        <f>BY49*VLOOKUP('Données projet'!$B$12,Paramètres!$A$1:$I$89,3,0)*VLOOKUP('Données projet'!$B$12,Paramètres!$A$1:$I$89,5,0)</f>
        <v>135.25199999999995</v>
      </c>
      <c r="CA49" s="13">
        <f t="shared" si="39"/>
        <v>35.207130861518152</v>
      </c>
      <c r="CB49" s="20">
        <f t="shared" si="10"/>
        <v>296.88298625047736</v>
      </c>
      <c r="CC49" s="59">
        <f t="shared" si="11"/>
        <v>590.21631958381067</v>
      </c>
      <c r="CD49" s="59">
        <f ca="1">AVERAGE(OFFSET($CC$3,0,0,'Données projet'!$E$12+1,1))-AVERAGE(OFFSET($H$3,0,0,'Données projet'!$E$12+1,1))</f>
        <v>259.87681411271632</v>
      </c>
      <c r="CE49" s="59">
        <f t="shared" si="40"/>
        <v>191.8684235641158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19.334064905780693</v>
      </c>
      <c r="CL49" s="21">
        <f>EXP(-LN(2)/25)*CL48+(1-EXP(-LN(2)/25))/(LN(2)/25)*Calculateur!CG49*Calculateur!CI49*VLOOKUP('Données projet'!$B$12,Paramètres!$A$1:$I$89,3,0)*0.475*44/12</f>
        <v>7.2893307572156134</v>
      </c>
      <c r="CM49" s="21">
        <f>EXP(-LN(2)/2)*CM48+(1-EXP(-LN(2)/2))/(LN(2)/2)*CG49*CJ49*VLOOKUP('Données projet'!$B$12,Paramètres!$A$1:$I$89,3,0)*0.475*44/12</f>
        <v>0.48633481520840272</v>
      </c>
      <c r="CN49" s="22">
        <f t="shared" si="12"/>
        <v>27.109730478204707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</v>
      </c>
      <c r="CT49" s="12">
        <f>IF('Données projet'!$A$140&gt;35,CT48+CS49-DB48,IF(A49&lt;'Données projet'!$A$140,$CQ$205^A49,IF(A49='Données projet'!$A$140,'Données projet'!$B$140,CT48+CS49-DB48)))</f>
        <v>198.48</v>
      </c>
      <c r="CU49" s="17">
        <f>CT49*VLOOKUP('Données projet'!$B$13,Paramètres!$A$1:$I$89,3,0)*VLOOKUP('Données projet'!$B$13,Paramètres!$A$1:$I$89,5,0)</f>
        <v>92.888639999999995</v>
      </c>
      <c r="CV49" s="13">
        <f t="shared" si="41"/>
        <v>25.260609316973607</v>
      </c>
      <c r="CW49" s="20">
        <f t="shared" si="13"/>
        <v>205.77660922706232</v>
      </c>
      <c r="CX49" s="59">
        <f t="shared" si="14"/>
        <v>499.10994256039567</v>
      </c>
      <c r="CY49" s="59">
        <f ca="1">AVERAGE(OFFSET($CX$3,0,0,'Données projet'!$E$13+1,1))-AVERAGE(OFFSET($H$3,0,0,'Données projet'!$E$13+1,1))</f>
        <v>137.59122085719031</v>
      </c>
      <c r="CZ49" s="59">
        <f t="shared" si="42"/>
        <v>130.1134470448718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13.769900411035</v>
      </c>
      <c r="DG49" s="21">
        <f>EXP(-LN(2)/25)*DG48+(1-EXP(-LN(2)/25))/(LN(2)/25)*Calculateur!DB49*Calculateur!DD49*VLOOKUP('Données projet'!$B$13,Paramètres!$A$1:$I$89,3,0)*0.475*44/12</f>
        <v>5.1744854730372785</v>
      </c>
      <c r="DH49" s="21">
        <f>EXP(-LN(2)/2)*DH48+(1-EXP(-LN(2)/2))/(LN(2)/2)*DB49*DE49*VLOOKUP('Données projet'!$B$13,Paramètres!$A$1:$I$89,3,0)*0.475*44/12</f>
        <v>0.35126374462329635</v>
      </c>
      <c r="DI49" s="22">
        <f t="shared" si="15"/>
        <v>19.295649628695575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8.3333333333333339</v>
      </c>
      <c r="DO49" s="12">
        <f>IF('Données projet'!$A$166&gt;35,DO48+DN49-DW48,IF(A49&lt;'Données projet'!$A$166,$DL$205^A49,IF(A49='Données projet'!$A$166,'Données projet'!$B$166,DO48+DN49-DW48)))</f>
        <v>140.33333333333329</v>
      </c>
      <c r="DP49" s="17">
        <f>DO49*VLOOKUP('Données projet'!$B$14,Paramètres!$A$1:$I$89,3,0)*VLOOKUP('Données projet'!$B$14,Paramètres!$A$1:$I$89,5,0)</f>
        <v>142.29799999999997</v>
      </c>
      <c r="DQ49" s="13">
        <f t="shared" si="43"/>
        <v>36.822945157271441</v>
      </c>
      <c r="DR49" s="20">
        <f t="shared" si="16"/>
        <v>311.96897948224768</v>
      </c>
      <c r="DS49" s="59">
        <f t="shared" si="17"/>
        <v>605.30231281558099</v>
      </c>
      <c r="DT49" s="59">
        <f ca="1">AVERAGE(OFFSET($DS$3,0,0,'Données projet'!$E$14+1,1))-AVERAGE(OFFSET($H$3,0,0,'Données projet'!$E$14+1,1))</f>
        <v>313.90901812281373</v>
      </c>
      <c r="DU49" s="59">
        <f t="shared" si="44"/>
        <v>210.54265725995265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17.201875000000001</v>
      </c>
      <c r="EJ49" s="12">
        <f>IF('Données projet'!$A$192&gt;35,EJ48+EI49-ER48,IF(A49&lt;'Données projet'!$A$192,$EG$205^A49,IF(A49='Données projet'!$A$192,'Données projet'!$B$192,EJ48+EI49-ER48)))</f>
        <v>334.93247106481499</v>
      </c>
      <c r="EK49" s="17">
        <f>EJ49*VLOOKUP('Données projet'!$B$15,Paramètres!$A$1:$I$89,3,0)*VLOOKUP('Données projet'!$B$15,Paramètres!$A$1:$I$89,5,0)</f>
        <v>266.4722739791668</v>
      </c>
      <c r="EL49" s="13">
        <f t="shared" si="45"/>
        <v>64.100024698789568</v>
      </c>
      <c r="EM49" s="20">
        <f t="shared" si="19"/>
        <v>575.74675353077407</v>
      </c>
      <c r="EN49" s="59">
        <f t="shared" si="20"/>
        <v>869.08008686410744</v>
      </c>
      <c r="EO49" s="59">
        <f ca="1">AVERAGE(OFFSET($EN$3,0,0,'Données projet'!$E$15+1,1))-AVERAGE(OFFSET($H$3,0,0,'Données projet'!$E$15+1,1))</f>
        <v>316.52407313312403</v>
      </c>
      <c r="EP49" s="59">
        <f t="shared" si="46"/>
        <v>340.55949748167382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39.072469475547443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39.072469475547443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13.93250000000001</v>
      </c>
      <c r="FE49" s="12">
        <f>IF('Données projet'!$A$218&gt;35,FE48+FD49-FM48,IF(A49&lt;'Données projet'!$A$218,$FB$205^A49,IF(A49='Données projet'!$A$218,'Données projet'!$B$218,FE48+FD49-FM48)))</f>
        <v>267.12700231481477</v>
      </c>
      <c r="FF49" s="17">
        <f>FE49*VLOOKUP('Données projet'!$B$16,Paramètres!$A$1:$I$89,3,0)*VLOOKUP('Données projet'!$B$16,Paramètres!$A$1:$I$89,5,0)</f>
        <v>175.02161191666664</v>
      </c>
      <c r="FG49" s="13">
        <f t="shared" si="47"/>
        <v>44.212785036446277</v>
      </c>
      <c r="FH49" s="20">
        <f t="shared" si="22"/>
        <v>381.83324136000505</v>
      </c>
      <c r="FI49" s="59">
        <f t="shared" si="23"/>
        <v>675.16657469333836</v>
      </c>
      <c r="FJ49" s="59">
        <f ca="1">AVERAGE(OFFSET($FI$3,0,0,'Données projet'!$E$16+1,1))-AVERAGE(OFFSET($H$3,0,0,'Données projet'!$E$16+1,1))</f>
        <v>199.99826357281154</v>
      </c>
      <c r="FK49" s="59">
        <f t="shared" si="48"/>
        <v>214.67424457475136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20.813565051722104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20.813565051722104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17.399999999999999</v>
      </c>
      <c r="N50" s="13">
        <f>IF('Données projet'!$A$36&gt;35,N49+M50-V49,IF(A50&lt;'Données projet'!$A$36,$K$205^A50,IF(A50='Données projet'!$A$36,'Données projet'!$B$36,N49+M50-V49)))</f>
        <v>361.8</v>
      </c>
      <c r="O50" s="13">
        <f>N50*VLOOKUP('Données projet'!$B$9,Paramètres!$A$1:$I$89,3,0)*VLOOKUP('Données projet'!$B$9,Paramètres!$A$1:$I$89,5,0)</f>
        <v>216.35640000000004</v>
      </c>
      <c r="P50" s="13">
        <f t="shared" si="33"/>
        <v>53.322199188237285</v>
      </c>
      <c r="Q50" s="20">
        <f t="shared" si="53"/>
        <v>469.69022691951341</v>
      </c>
      <c r="R50" s="59">
        <f t="shared" si="0"/>
        <v>763.02356025284666</v>
      </c>
      <c r="S50" s="59">
        <f ca="1">AVERAGE(OFFSET($R$3,0,0,'Données projet'!$E$9+1,1))-AVERAGE(OFFSET($H$3,0,0,'Données projet'!$E$9+1,1))</f>
        <v>284.60021367910457</v>
      </c>
      <c r="T50" s="59">
        <f t="shared" si="34"/>
        <v>301.41905904220812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52.619741355380867</v>
      </c>
      <c r="AA50" s="21">
        <f>EXP(-LN(2)/25)*AA49+(1-EXP(-LN(2)/25))/(LN(2)/25)*Calculateur!V50*Calculateur!X50*VLOOKUP('Données projet'!$B$9,Paramètres!$A$1:$I$89,3,0)*0.475*44/12</f>
        <v>12.844296341624787</v>
      </c>
      <c r="AB50" s="21">
        <f>EXP(-LN(2)/2)*AB49+(1-EXP(-LN(2)/2))/(LN(2)/2)*V50*Y50*VLOOKUP('Données projet'!$B$9,Paramètres!$A$1:$I$89,3,0)*0.475*44/12</f>
        <v>3.0182965165317972</v>
      </c>
      <c r="AC50" s="22">
        <f t="shared" si="3"/>
        <v>68.482334213537442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299.80000000000013</v>
      </c>
      <c r="AJ50" s="13">
        <f>AI50*VLOOKUP('Données projet'!$B$10,Paramètres!$A$1:$I$89,3,0)*VLOOKUP('Données projet'!$B$10,Paramètres!$A$1:$I$89,5,0)</f>
        <v>179.2804000000001</v>
      </c>
      <c r="AK50" s="13">
        <f t="shared" si="35"/>
        <v>45.16205111882433</v>
      </c>
      <c r="AL50" s="20">
        <f t="shared" si="4"/>
        <v>390.90393569861925</v>
      </c>
      <c r="AM50" s="59">
        <f t="shared" si="5"/>
        <v>684.23726903195256</v>
      </c>
      <c r="AN50" s="59">
        <f ca="1">AVERAGE(OFFSET($AM$3,0,0,'Données projet'!$E$10+1,1))-AVERAGE(OFFSET($H$3,0,0,'Données projet'!$E$10+1,1))</f>
        <v>294.45857786714919</v>
      </c>
      <c r="AO50" s="59">
        <f t="shared" si="36"/>
        <v>221.9773436301067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35.659764960622503</v>
      </c>
      <c r="AV50" s="21">
        <f>EXP(-LN(2)/25)*AV49+(1-EXP(-LN(2)/25))/(LN(2)/25)*Calculateur!AQ50*Calculateur!AS50*VLOOKUP('Données projet'!$B$10,Paramètres!$A$1:$I$89,3,0)*0.475*44/12</f>
        <v>9.5026764734691138</v>
      </c>
      <c r="AW50" s="21">
        <f>EXP(-LN(2)/2)*AW49+(1-EXP(-LN(2)/2))/(LN(2)/2)*AQ50*AT50*VLOOKUP('Données projet'!$B$10,Paramètres!$A$1:$I$89,3,0)*0.475*44/12</f>
        <v>2.2232619735627592</v>
      </c>
      <c r="AX50" s="21">
        <f t="shared" si="6"/>
        <v>47.385703407654375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</v>
      </c>
      <c r="BD50" s="12">
        <f>IF('Données projet'!$A$88&gt;35,BD49+BC50-BL49,IF(A50&lt;'Données projet'!$A$88,$BA$205^A50,IF(A50='Données projet'!$A$88,'Données projet'!$B$88,BD49+BC50-BL49)))</f>
        <v>499.00000000000023</v>
      </c>
      <c r="BE50" s="13">
        <f>BD50*VLOOKUP('Données projet'!$B$11,Paramètres!$A$1:$I$89,3,0)*VLOOKUP('Données projet'!$B$11,Paramètres!$A$1:$I$89,5,0)</f>
        <v>278.94100000000014</v>
      </c>
      <c r="BF50" s="13">
        <f t="shared" si="37"/>
        <v>66.743162406600192</v>
      </c>
      <c r="BG50" s="20">
        <f t="shared" si="7"/>
        <v>602.06658285816218</v>
      </c>
      <c r="BH50" s="59">
        <f t="shared" si="8"/>
        <v>895.39991619149555</v>
      </c>
      <c r="BI50" s="59">
        <f ca="1">AVERAGE(OFFSET($BH$3,0,0,'Données projet'!$E$11+1,1))-AVERAGE(OFFSET($H$3,0,0,'Données projet'!$E$11+1,1))</f>
        <v>304.91676868833792</v>
      </c>
      <c r="BJ50" s="59">
        <f t="shared" si="38"/>
        <v>365.95065044620048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49.650090957646633</v>
      </c>
      <c r="BQ50" s="21">
        <f>EXP(-LN(2)/25)*BQ49+(1-EXP(-LN(2)/25))/(LN(2)/25)*Calculateur!BL50*Calculateur!BN50*VLOOKUP('Données projet'!$B$11,Paramètres!$A$1:$I$89,3,0)*0.475*44/12</f>
        <v>12.858018424425243</v>
      </c>
      <c r="BR50" s="21">
        <f>EXP(-LN(2)/2)*BR49+(1-EXP(-LN(2)/2))/(LN(2)/2)*BL50*BO50*VLOOKUP('Données projet'!$B$11,Paramètres!$A$1:$I$89,3,0)*0.475*44/12</f>
        <v>2.884893240858748</v>
      </c>
      <c r="BS50" s="22">
        <f t="shared" si="9"/>
        <v>65.393002622930624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300.49999999999989</v>
      </c>
      <c r="BZ50" s="13">
        <f>BY50*VLOOKUP('Données projet'!$B$12,Paramètres!$A$1:$I$89,3,0)*VLOOKUP('Données projet'!$B$12,Paramètres!$A$1:$I$89,5,0)</f>
        <v>140.63399999999993</v>
      </c>
      <c r="CA50" s="13">
        <f t="shared" si="39"/>
        <v>36.442207776443553</v>
      </c>
      <c r="CB50" s="20">
        <f t="shared" si="10"/>
        <v>308.40772854397238</v>
      </c>
      <c r="CC50" s="59">
        <f t="shared" si="11"/>
        <v>601.7410618773057</v>
      </c>
      <c r="CD50" s="59">
        <f ca="1">AVERAGE(OFFSET($CC$3,0,0,'Données projet'!$E$12+1,1))-AVERAGE(OFFSET($H$3,0,0,'Données projet'!$E$12+1,1))</f>
        <v>259.87681411271632</v>
      </c>
      <c r="CE50" s="59">
        <f t="shared" si="40"/>
        <v>191.8684235641158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18.954935685593501</v>
      </c>
      <c r="CL50" s="21">
        <f>EXP(-LN(2)/25)*CL49+(1-EXP(-LN(2)/25))/(LN(2)/25)*Calculateur!CG50*Calculateur!CI50*VLOOKUP('Données projet'!$B$12,Paramètres!$A$1:$I$89,3,0)*0.475*44/12</f>
        <v>7.0900036243303077</v>
      </c>
      <c r="CM50" s="21">
        <f>EXP(-LN(2)/2)*CM49+(1-EXP(-LN(2)/2))/(LN(2)/2)*CG50*CJ50*VLOOKUP('Données projet'!$B$12,Paramètres!$A$1:$I$89,3,0)*0.475*44/12</f>
        <v>0.34389064576096806</v>
      </c>
      <c r="CN50" s="22">
        <f t="shared" si="12"/>
        <v>26.388829955684777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</v>
      </c>
      <c r="CT50" s="12">
        <f>IF('Données projet'!$A$140&gt;35,CT49+CS50-DB49,IF(A50&lt;'Données projet'!$A$140,$CQ$205^A50,IF(A50='Données projet'!$A$140,'Données projet'!$B$140,CT49+CS50-DB49)))</f>
        <v>205.48</v>
      </c>
      <c r="CU50" s="17">
        <f>CT50*VLOOKUP('Données projet'!$B$13,Paramètres!$A$1:$I$89,3,0)*VLOOKUP('Données projet'!$B$13,Paramètres!$A$1:$I$89,5,0)</f>
        <v>96.164639999999991</v>
      </c>
      <c r="CV50" s="13">
        <f t="shared" si="41"/>
        <v>26.046206610350879</v>
      </c>
      <c r="CW50" s="20">
        <f t="shared" si="13"/>
        <v>212.85055784636108</v>
      </c>
      <c r="CX50" s="59">
        <f t="shared" si="14"/>
        <v>506.1838911796944</v>
      </c>
      <c r="CY50" s="59">
        <f ca="1">AVERAGE(OFFSET($CX$3,0,0,'Données projet'!$E$13+1,1))-AVERAGE(OFFSET($H$3,0,0,'Données projet'!$E$13+1,1))</f>
        <v>137.59122085719031</v>
      </c>
      <c r="CZ50" s="59">
        <f t="shared" si="42"/>
        <v>130.1134470448718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13.49988106278454</v>
      </c>
      <c r="DG50" s="21">
        <f>EXP(-LN(2)/25)*DG49+(1-EXP(-LN(2)/25))/(LN(2)/25)*Calculateur!DB50*Calculateur!DD50*VLOOKUP('Données projet'!$B$13,Paramètres!$A$1:$I$89,3,0)*0.475*44/12</f>
        <v>5.0329888956627098</v>
      </c>
      <c r="DH50" s="21">
        <f>EXP(-LN(2)/2)*DH49+(1-EXP(-LN(2)/2))/(LN(2)/2)*DB50*DE50*VLOOKUP('Données projet'!$B$13,Paramètres!$A$1:$I$89,3,0)*0.475*44/12</f>
        <v>0.24838097580811253</v>
      </c>
      <c r="DI50" s="22">
        <f t="shared" si="15"/>
        <v>18.781250934255361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8.3333333333333339</v>
      </c>
      <c r="DO50" s="12">
        <f>IF('Données projet'!$A$166&gt;35,DO49+DN50-DW49,IF(A50&lt;'Données projet'!$A$166,$DL$205^A50,IF(A50='Données projet'!$A$166,'Données projet'!$B$166,DO49+DN50-DW49)))</f>
        <v>148.66666666666663</v>
      </c>
      <c r="DP50" s="17">
        <f>DO50*VLOOKUP('Données projet'!$B$14,Paramètres!$A$1:$I$89,3,0)*VLOOKUP('Données projet'!$B$14,Paramètres!$A$1:$I$89,5,0)</f>
        <v>150.74799999999996</v>
      </c>
      <c r="DQ50" s="13">
        <f t="shared" si="43"/>
        <v>38.748522062333109</v>
      </c>
      <c r="DR50" s="20">
        <f t="shared" si="16"/>
        <v>330.03977592523006</v>
      </c>
      <c r="DS50" s="59">
        <f t="shared" si="17"/>
        <v>623.37310925856332</v>
      </c>
      <c r="DT50" s="59">
        <f ca="1">AVERAGE(OFFSET($DS$3,0,0,'Données projet'!$E$14+1,1))-AVERAGE(OFFSET($H$3,0,0,'Données projet'!$E$14+1,1))</f>
        <v>313.90901812281373</v>
      </c>
      <c r="DU50" s="59">
        <f t="shared" si="44"/>
        <v>210.54265725995265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17.201875000000001</v>
      </c>
      <c r="EJ50" s="12">
        <f>IF('Données projet'!$A$192&gt;35,EJ49+EI50-ER49,IF(A50&lt;'Données projet'!$A$192,$EG$205^A50,IF(A50='Données projet'!$A$192,'Données projet'!$B$192,EJ49+EI50-ER49)))</f>
        <v>352.13434606481496</v>
      </c>
      <c r="EK50" s="17">
        <f>EJ50*VLOOKUP('Données projet'!$B$15,Paramètres!$A$1:$I$89,3,0)*VLOOKUP('Données projet'!$B$15,Paramètres!$A$1:$I$89,5,0)</f>
        <v>280.15808572916683</v>
      </c>
      <c r="EL50" s="13">
        <f t="shared" si="45"/>
        <v>67.000415842574697</v>
      </c>
      <c r="EM50" s="20">
        <f t="shared" si="19"/>
        <v>604.63439023744979</v>
      </c>
      <c r="EN50" s="59">
        <f t="shared" si="20"/>
        <v>897.96772357078316</v>
      </c>
      <c r="EO50" s="59">
        <f ca="1">AVERAGE(OFFSET($EN$3,0,0,'Données projet'!$E$15+1,1))-AVERAGE(OFFSET($H$3,0,0,'Données projet'!$E$15+1,1))</f>
        <v>316.52407313312403</v>
      </c>
      <c r="EP50" s="59">
        <f t="shared" si="46"/>
        <v>340.55949748167382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38.306282180985136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38.306282180985136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13.93250000000001</v>
      </c>
      <c r="FE50" s="12">
        <f>IF('Données projet'!$A$218&gt;35,FE49+FD50-FM49,IF(A50&lt;'Données projet'!$A$218,$FB$205^A50,IF(A50='Données projet'!$A$218,'Données projet'!$B$218,FE49+FD50-FM49)))</f>
        <v>281.05950231481478</v>
      </c>
      <c r="FF50" s="17">
        <f>FE50*VLOOKUP('Données projet'!$B$16,Paramètres!$A$1:$I$89,3,0)*VLOOKUP('Données projet'!$B$16,Paramètres!$A$1:$I$89,5,0)</f>
        <v>184.15018591666666</v>
      </c>
      <c r="FG50" s="13">
        <f t="shared" si="47"/>
        <v>46.24429754974188</v>
      </c>
      <c r="FH50" s="20">
        <f t="shared" si="22"/>
        <v>401.27039203732812</v>
      </c>
      <c r="FI50" s="59">
        <f t="shared" si="23"/>
        <v>694.60372537066144</v>
      </c>
      <c r="FJ50" s="59">
        <f ca="1">AVERAGE(OFFSET($FI$3,0,0,'Données projet'!$E$16+1,1))-AVERAGE(OFFSET($H$3,0,0,'Données projet'!$E$16+1,1))</f>
        <v>199.99826357281154</v>
      </c>
      <c r="FK50" s="59">
        <f t="shared" si="48"/>
        <v>214.67424457475136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20.405423736078987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20.405423736078987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17.399999999999999</v>
      </c>
      <c r="N51" s="13">
        <f>IF('Données projet'!$A$36&gt;35,N50+M51-V50,IF(A51&lt;'Données projet'!$A$36,$K$205^A51,IF(A51='Données projet'!$A$36,'Données projet'!$B$36,N50+M51-V50)))</f>
        <v>379.2</v>
      </c>
      <c r="O51" s="13">
        <f>N51*VLOOKUP('Données projet'!$B$9,Paramètres!$A$1:$I$89,3,0)*VLOOKUP('Données projet'!$B$9,Paramètres!$A$1:$I$89,5,0)</f>
        <v>226.76160000000002</v>
      </c>
      <c r="P51" s="13">
        <f t="shared" si="33"/>
        <v>55.581886910575967</v>
      </c>
      <c r="Q51" s="20">
        <f t="shared" si="53"/>
        <v>491.74823970258643</v>
      </c>
      <c r="R51" s="59">
        <f t="shared" si="0"/>
        <v>785.08157303591975</v>
      </c>
      <c r="S51" s="59">
        <f ca="1">AVERAGE(OFFSET($R$3,0,0,'Données projet'!$E$9+1,1))-AVERAGE(OFFSET($H$3,0,0,'Données projet'!$E$9+1,1))</f>
        <v>284.60021367910457</v>
      </c>
      <c r="T51" s="59">
        <f t="shared" si="34"/>
        <v>301.41905904220812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51.587900322274969</v>
      </c>
      <c r="AA51" s="21">
        <f>EXP(-LN(2)/25)*AA50+(1-EXP(-LN(2)/25))/(LN(2)/25)*Calculateur!V51*Calculateur!X51*VLOOKUP('Données projet'!$B$9,Paramètres!$A$1:$I$89,3,0)*0.475*44/12</f>
        <v>12.493068382710868</v>
      </c>
      <c r="AB51" s="21">
        <f>EXP(-LN(2)/2)*AB50+(1-EXP(-LN(2)/2))/(LN(2)/2)*V51*Y51*VLOOKUP('Données projet'!$B$9,Paramètres!$A$1:$I$89,3,0)*0.475*44/12</f>
        <v>2.1342579344713681</v>
      </c>
      <c r="AC51" s="22">
        <f t="shared" si="3"/>
        <v>66.2152266394572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317.2000000000001</v>
      </c>
      <c r="AJ51" s="13">
        <f>AI51*VLOOKUP('Données projet'!$B$10,Paramètres!$A$1:$I$89,3,0)*VLOOKUP('Données projet'!$B$10,Paramètres!$A$1:$I$89,5,0)</f>
        <v>189.68560000000008</v>
      </c>
      <c r="AK51" s="13">
        <f t="shared" si="35"/>
        <v>47.470436776872745</v>
      </c>
      <c r="AL51" s="20">
        <f t="shared" si="4"/>
        <v>413.04676405305349</v>
      </c>
      <c r="AM51" s="59">
        <f t="shared" si="5"/>
        <v>706.38009738638675</v>
      </c>
      <c r="AN51" s="59">
        <f ca="1">AVERAGE(OFFSET($AM$3,0,0,'Données projet'!$E$10+1,1))-AVERAGE(OFFSET($H$3,0,0,'Données projet'!$E$10+1,1))</f>
        <v>294.45857786714919</v>
      </c>
      <c r="AO51" s="59">
        <f t="shared" si="36"/>
        <v>221.9773436301067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34.960498720053657</v>
      </c>
      <c r="AV51" s="21">
        <f>EXP(-LN(2)/25)*AV50+(1-EXP(-LN(2)/25))/(LN(2)/25)*Calculateur!AQ51*Calculateur!AS51*VLOOKUP('Données projet'!$B$10,Paramètres!$A$1:$I$89,3,0)*0.475*44/12</f>
        <v>9.2428252855780642</v>
      </c>
      <c r="AW51" s="21">
        <f>EXP(-LN(2)/2)*AW50+(1-EXP(-LN(2)/2))/(LN(2)/2)*AQ51*AT51*VLOOKUP('Données projet'!$B$10,Paramètres!$A$1:$I$89,3,0)*0.475*44/12</f>
        <v>1.5720836178604138</v>
      </c>
      <c r="AX51" s="21">
        <f t="shared" si="6"/>
        <v>45.775407623492136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</v>
      </c>
      <c r="BD51" s="12">
        <f>IF('Données projet'!$A$88&gt;35,BD50+BC51-BL50,IF(A51&lt;'Données projet'!$A$88,$BA$205^A51,IF(A51='Données projet'!$A$88,'Données projet'!$B$88,BD50+BC51-BL50)))</f>
        <v>514.00000000000023</v>
      </c>
      <c r="BE51" s="13">
        <f>BD51*VLOOKUP('Données projet'!$B$11,Paramètres!$A$1:$I$89,3,0)*VLOOKUP('Données projet'!$B$11,Paramètres!$A$1:$I$89,5,0)</f>
        <v>287.32600000000014</v>
      </c>
      <c r="BF51" s="13">
        <f t="shared" si="37"/>
        <v>68.512868389632118</v>
      </c>
      <c r="BG51" s="20">
        <f t="shared" si="7"/>
        <v>619.75269577860945</v>
      </c>
      <c r="BH51" s="59">
        <f t="shared" si="8"/>
        <v>913.08602911194271</v>
      </c>
      <c r="BI51" s="59">
        <f ca="1">AVERAGE(OFFSET($BH$3,0,0,'Données projet'!$E$11+1,1))-AVERAGE(OFFSET($H$3,0,0,'Données projet'!$E$11+1,1))</f>
        <v>304.91676868833792</v>
      </c>
      <c r="BJ51" s="59">
        <f t="shared" si="38"/>
        <v>365.95065044620048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48.676482957532414</v>
      </c>
      <c r="BQ51" s="21">
        <f>EXP(-LN(2)/25)*BQ50+(1-EXP(-LN(2)/25))/(LN(2)/25)*Calculateur!BL51*Calculateur!BN51*VLOOKUP('Données projet'!$B$11,Paramètres!$A$1:$I$89,3,0)*0.475*44/12</f>
        <v>12.506415234435533</v>
      </c>
      <c r="BR51" s="21">
        <f>EXP(-LN(2)/2)*BR50+(1-EXP(-LN(2)/2))/(LN(2)/2)*BL51*BO51*VLOOKUP('Données projet'!$B$11,Paramètres!$A$1:$I$89,3,0)*0.475*44/12</f>
        <v>2.039927573610457</v>
      </c>
      <c r="BS51" s="22">
        <f t="shared" si="9"/>
        <v>63.222825765578406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311.99999999999989</v>
      </c>
      <c r="BZ51" s="13">
        <f>BY51*VLOOKUP('Données projet'!$B$12,Paramètres!$A$1:$I$89,3,0)*VLOOKUP('Données projet'!$B$12,Paramètres!$A$1:$I$89,5,0)</f>
        <v>146.01599999999993</v>
      </c>
      <c r="CA51" s="13">
        <f t="shared" si="39"/>
        <v>37.671793767891103</v>
      </c>
      <c r="CB51" s="20">
        <f t="shared" si="10"/>
        <v>319.92290747907685</v>
      </c>
      <c r="CC51" s="59">
        <f t="shared" si="11"/>
        <v>613.25624081241017</v>
      </c>
      <c r="CD51" s="59">
        <f ca="1">AVERAGE(OFFSET($CC$3,0,0,'Données projet'!$E$12+1,1))-AVERAGE(OFFSET($H$3,0,0,'Données projet'!$E$12+1,1))</f>
        <v>259.87681411271632</v>
      </c>
      <c r="CE51" s="59">
        <f t="shared" si="40"/>
        <v>191.8684235641158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18.58324095816819</v>
      </c>
      <c r="CL51" s="21">
        <f>EXP(-LN(2)/25)*CL50+(1-EXP(-LN(2)/25))/(LN(2)/25)*Calculateur!CG51*Calculateur!CI51*VLOOKUP('Données projet'!$B$12,Paramètres!$A$1:$I$89,3,0)*0.475*44/12</f>
        <v>6.8961271023759094</v>
      </c>
      <c r="CM51" s="21">
        <f>EXP(-LN(2)/2)*CM50+(1-EXP(-LN(2)/2))/(LN(2)/2)*CG51*CJ51*VLOOKUP('Données projet'!$B$12,Paramètres!$A$1:$I$89,3,0)*0.475*44/12</f>
        <v>0.24316740760420139</v>
      </c>
      <c r="CN51" s="22">
        <f t="shared" si="12"/>
        <v>25.722535468148301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</v>
      </c>
      <c r="CT51" s="12">
        <f>IF('Données projet'!$A$140&gt;35,CT50+CS51-DB50,IF(A51&lt;'Données projet'!$A$140,$CQ$205^A51,IF(A51='Données projet'!$A$140,'Données projet'!$B$140,CT50+CS51-DB50)))</f>
        <v>212.48</v>
      </c>
      <c r="CU51" s="17">
        <f>CT51*VLOOKUP('Données projet'!$B$13,Paramètres!$A$1:$I$89,3,0)*VLOOKUP('Données projet'!$B$13,Paramètres!$A$1:$I$89,5,0)</f>
        <v>99.440639999999988</v>
      </c>
      <c r="CV51" s="13">
        <f t="shared" si="41"/>
        <v>26.828694268765723</v>
      </c>
      <c r="CW51" s="20">
        <f t="shared" si="13"/>
        <v>219.91909051810026</v>
      </c>
      <c r="CX51" s="59">
        <f t="shared" si="14"/>
        <v>513.2524238514336</v>
      </c>
      <c r="CY51" s="59">
        <f ca="1">AVERAGE(OFFSET($CX$3,0,0,'Données projet'!$E$13+1,1))-AVERAGE(OFFSET($H$3,0,0,'Données projet'!$E$13+1,1))</f>
        <v>137.59122085719031</v>
      </c>
      <c r="CZ51" s="59">
        <f t="shared" si="42"/>
        <v>130.1134470448718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13.235156629257732</v>
      </c>
      <c r="DG51" s="21">
        <f>EXP(-LN(2)/25)*DG50+(1-EXP(-LN(2)/25))/(LN(2)/25)*Calculateur!DB51*Calculateur!DD51*VLOOKUP('Données projet'!$B$13,Paramètres!$A$1:$I$89,3,0)*0.475*44/12</f>
        <v>4.8953615496374301</v>
      </c>
      <c r="DH51" s="21">
        <f>EXP(-LN(2)/2)*DH50+(1-EXP(-LN(2)/2))/(LN(2)/2)*DB51*DE51*VLOOKUP('Données projet'!$B$13,Paramètres!$A$1:$I$89,3,0)*0.475*44/12</f>
        <v>0.1756318723116482</v>
      </c>
      <c r="DI51" s="22">
        <f t="shared" si="15"/>
        <v>18.30615005120681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157</v>
      </c>
      <c r="DM51" s="12">
        <f>VLOOKUP(A51,'Données projet'!$A$165:$I$185,9,0)</f>
        <v>8.3333333333333339</v>
      </c>
      <c r="DN51" s="12">
        <f t="array" ref="DN51">INDEX(DM:DM,MIN(IF(ISNUMBER(DM51:DM247),ROW(DM51:DM247),"")))</f>
        <v>8.3333333333333339</v>
      </c>
      <c r="DO51" s="12">
        <f>IF('Données projet'!$A$166&gt;35,DO50+DN51-DW50,IF(A51&lt;'Données projet'!$A$166,$DL$205^A51,IF(A51='Données projet'!$A$166,'Données projet'!$B$166,DO50+DN51-DW50)))</f>
        <v>156.99999999999997</v>
      </c>
      <c r="DP51" s="17">
        <f>DO51*VLOOKUP('Données projet'!$B$14,Paramètres!$A$1:$I$89,3,0)*VLOOKUP('Données projet'!$B$14,Paramètres!$A$1:$I$89,5,0)</f>
        <v>159.19799999999998</v>
      </c>
      <c r="DQ51" s="13">
        <f t="shared" si="43"/>
        <v>40.661569197787308</v>
      </c>
      <c r="DR51" s="20">
        <f t="shared" si="16"/>
        <v>348.08874968614617</v>
      </c>
      <c r="DS51" s="59">
        <f t="shared" si="17"/>
        <v>641.42208301947949</v>
      </c>
      <c r="DT51" s="59">
        <f ca="1">AVERAGE(OFFSET($DS$3,0,0,'Données projet'!$E$14+1,1))-AVERAGE(OFFSET($H$3,0,0,'Données projet'!$E$14+1,1))</f>
        <v>313.90901812281373</v>
      </c>
      <c r="DU51" s="59">
        <f t="shared" si="44"/>
        <v>210.54265725995265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41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17.201875000000001</v>
      </c>
      <c r="EJ51" s="12">
        <f>IF('Données projet'!$A$192&gt;35,EJ50+EI51-ER50,IF(A51&lt;'Données projet'!$A$192,$EG$205^A51,IF(A51='Données projet'!$A$192,'Données projet'!$B$192,EJ50+EI51-ER50)))</f>
        <v>369.33622106481494</v>
      </c>
      <c r="EK51" s="17">
        <f>EJ51*VLOOKUP('Données projet'!$B$15,Paramètres!$A$1:$I$89,3,0)*VLOOKUP('Données projet'!$B$15,Paramètres!$A$1:$I$89,5,0)</f>
        <v>293.8438974791668</v>
      </c>
      <c r="EL51" s="13">
        <f t="shared" si="45"/>
        <v>69.884354739916745</v>
      </c>
      <c r="EM51" s="20">
        <f t="shared" si="19"/>
        <v>633.49337261490382</v>
      </c>
      <c r="EN51" s="59">
        <f t="shared" si="20"/>
        <v>926.82670594823708</v>
      </c>
      <c r="EO51" s="59">
        <f ca="1">AVERAGE(OFFSET($EN$3,0,0,'Données projet'!$E$15+1,1))-AVERAGE(OFFSET($H$3,0,0,'Données projet'!$E$15+1,1))</f>
        <v>316.52407313312403</v>
      </c>
      <c r="EP51" s="59">
        <f t="shared" si="46"/>
        <v>340.55949748167382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37.555119351941094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37.555119351941094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13.93250000000001</v>
      </c>
      <c r="FE51" s="12">
        <f>IF('Données projet'!$A$218&gt;35,FE50+FD51-FM50,IF(A51&lt;'Données projet'!$A$218,$FB$205^A51,IF(A51='Données projet'!$A$218,'Données projet'!$B$218,FE50+FD51-FM50)))</f>
        <v>294.99200231481478</v>
      </c>
      <c r="FF51" s="17">
        <f>FE51*VLOOKUP('Données projet'!$B$16,Paramètres!$A$1:$I$89,3,0)*VLOOKUP('Données projet'!$B$16,Paramètres!$A$1:$I$89,5,0)</f>
        <v>193.27875991666664</v>
      </c>
      <c r="FG51" s="13">
        <f t="shared" si="47"/>
        <v>48.264116718949118</v>
      </c>
      <c r="FH51" s="20">
        <f t="shared" si="22"/>
        <v>420.68717680703077</v>
      </c>
      <c r="FI51" s="59">
        <f t="shared" si="23"/>
        <v>714.02051014036408</v>
      </c>
      <c r="FJ51" s="59">
        <f ca="1">AVERAGE(OFFSET($FI$3,0,0,'Données projet'!$E$16+1,1))-AVERAGE(OFFSET($H$3,0,0,'Données projet'!$E$16+1,1))</f>
        <v>199.99826357281154</v>
      </c>
      <c r="FK51" s="59">
        <f t="shared" si="48"/>
        <v>214.67424457475136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20.00528582269401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20.00528582269401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17.399999999999999</v>
      </c>
      <c r="N52" s="13">
        <f>IF('Données projet'!$A$36&gt;35,N51+M52-V51,IF(A52&lt;'Données projet'!$A$36,$K$205^A52,IF(A52='Données projet'!$A$36,'Données projet'!$B$36,N51+M52-V51)))</f>
        <v>396.59999999999997</v>
      </c>
      <c r="O52" s="13">
        <f>N52*VLOOKUP('Données projet'!$B$9,Paramètres!$A$1:$I$89,3,0)*VLOOKUP('Données projet'!$B$9,Paramètres!$A$1:$I$89,5,0)</f>
        <v>237.16679999999997</v>
      </c>
      <c r="P52" s="13">
        <f t="shared" si="33"/>
        <v>57.829533038824209</v>
      </c>
      <c r="Q52" s="20">
        <f t="shared" si="53"/>
        <v>513.78528004261875</v>
      </c>
      <c r="R52" s="59">
        <f t="shared" si="0"/>
        <v>807.11861337595201</v>
      </c>
      <c r="S52" s="59">
        <f ca="1">AVERAGE(OFFSET($R$3,0,0,'Données projet'!$E$9+1,1))-AVERAGE(OFFSET($H$3,0,0,'Données projet'!$E$9+1,1))</f>
        <v>284.60021367910457</v>
      </c>
      <c r="T52" s="59">
        <f t="shared" si="34"/>
        <v>301.41905904220812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50.576293062467393</v>
      </c>
      <c r="AA52" s="21">
        <f>EXP(-LN(2)/25)*AA51+(1-EXP(-LN(2)/25))/(LN(2)/25)*Calculateur!V52*Calculateur!X52*VLOOKUP('Données projet'!$B$9,Paramètres!$A$1:$I$89,3,0)*0.475*44/12</f>
        <v>12.151444770803726</v>
      </c>
      <c r="AB52" s="21">
        <f>EXP(-LN(2)/2)*AB51+(1-EXP(-LN(2)/2))/(LN(2)/2)*V52*Y52*VLOOKUP('Données projet'!$B$9,Paramètres!$A$1:$I$89,3,0)*0.475*44/12</f>
        <v>1.5091482582658986</v>
      </c>
      <c r="AC52" s="22">
        <f t="shared" si="3"/>
        <v>64.236886091537016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334.60000000000008</v>
      </c>
      <c r="AJ52" s="13">
        <f>AI52*VLOOKUP('Données projet'!$B$10,Paramètres!$A$1:$I$89,3,0)*VLOOKUP('Données projet'!$B$10,Paramètres!$A$1:$I$89,5,0)</f>
        <v>200.09080000000009</v>
      </c>
      <c r="AK52" s="13">
        <f t="shared" si="35"/>
        <v>49.764122289960234</v>
      </c>
      <c r="AL52" s="20">
        <f t="shared" si="4"/>
        <v>435.16398965501418</v>
      </c>
      <c r="AM52" s="59">
        <f t="shared" si="5"/>
        <v>728.49732298834749</v>
      </c>
      <c r="AN52" s="59">
        <f ca="1">AVERAGE(OFFSET($AM$3,0,0,'Données projet'!$E$10+1,1))-AVERAGE(OFFSET($H$3,0,0,'Données projet'!$E$10+1,1))</f>
        <v>294.45857786714919</v>
      </c>
      <c r="AO52" s="59">
        <f t="shared" si="36"/>
        <v>221.9773436301067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34.274944663952077</v>
      </c>
      <c r="AV52" s="21">
        <f>EXP(-LN(2)/25)*AV51+(1-EXP(-LN(2)/25))/(LN(2)/25)*Calculateur!AQ52*Calculateur!AS52*VLOOKUP('Données projet'!$B$10,Paramètres!$A$1:$I$89,3,0)*0.475*44/12</f>
        <v>8.990079742084875</v>
      </c>
      <c r="AW52" s="21">
        <f>EXP(-LN(2)/2)*AW51+(1-EXP(-LN(2)/2))/(LN(2)/2)*AQ52*AT52*VLOOKUP('Données projet'!$B$10,Paramètres!$A$1:$I$89,3,0)*0.475*44/12</f>
        <v>1.1116309867813796</v>
      </c>
      <c r="AX52" s="21">
        <f t="shared" si="6"/>
        <v>44.376655392818328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15</v>
      </c>
      <c r="BD52" s="12">
        <f>IF('Données projet'!$A$88&gt;35,BD51+BC52-BL51,IF(A52&lt;'Données projet'!$A$88,$BA$205^A52,IF(A52='Données projet'!$A$88,'Données projet'!$B$88,BD51+BC52-BL51)))</f>
        <v>529.00000000000023</v>
      </c>
      <c r="BE52" s="13">
        <f>BD52*VLOOKUP('Données projet'!$B$11,Paramètres!$A$1:$I$89,3,0)*VLOOKUP('Données projet'!$B$11,Paramètres!$A$1:$I$89,5,0)</f>
        <v>295.71100000000013</v>
      </c>
      <c r="BF52" s="13">
        <f t="shared" si="37"/>
        <v>70.276572179571303</v>
      </c>
      <c r="BG52" s="20">
        <f t="shared" si="7"/>
        <v>637.42835487942023</v>
      </c>
      <c r="BH52" s="59">
        <f t="shared" si="8"/>
        <v>930.7616882127536</v>
      </c>
      <c r="BI52" s="59">
        <f ca="1">AVERAGE(OFFSET($BH$3,0,0,'Données projet'!$E$11+1,1))-AVERAGE(OFFSET($H$3,0,0,'Données projet'!$E$11+1,1))</f>
        <v>304.91676868833792</v>
      </c>
      <c r="BJ52" s="59">
        <f t="shared" si="38"/>
        <v>365.95065044620048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47.721966816458192</v>
      </c>
      <c r="BQ52" s="21">
        <f>EXP(-LN(2)/25)*BQ51+(1-EXP(-LN(2)/25))/(LN(2)/25)*Calculateur!BL52*Calculateur!BN52*VLOOKUP('Données projet'!$B$11,Paramètres!$A$1:$I$89,3,0)*0.475*44/12</f>
        <v>12.1644266521661</v>
      </c>
      <c r="BR52" s="21">
        <f>EXP(-LN(2)/2)*BR51+(1-EXP(-LN(2)/2))/(LN(2)/2)*BL52*BO52*VLOOKUP('Données projet'!$B$11,Paramètres!$A$1:$I$89,3,0)*0.475*44/12</f>
        <v>1.4424466204293742</v>
      </c>
      <c r="BS52" s="22">
        <f t="shared" si="9"/>
        <v>61.328840089053664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323.49999999999989</v>
      </c>
      <c r="BZ52" s="13">
        <f>BY52*VLOOKUP('Données projet'!$B$12,Paramètres!$A$1:$I$89,3,0)*VLOOKUP('Données projet'!$B$12,Paramètres!$A$1:$I$89,5,0)</f>
        <v>151.39799999999994</v>
      </c>
      <c r="CA52" s="13">
        <f t="shared" si="39"/>
        <v>38.896114403754709</v>
      </c>
      <c r="CB52" s="20">
        <f t="shared" si="10"/>
        <v>331.42891591987262</v>
      </c>
      <c r="CC52" s="59">
        <f t="shared" si="11"/>
        <v>624.76224925320594</v>
      </c>
      <c r="CD52" s="59">
        <f ca="1">AVERAGE(OFFSET($CC$3,0,0,'Données projet'!$E$12+1,1))-AVERAGE(OFFSET($H$3,0,0,'Données projet'!$E$12+1,1))</f>
        <v>259.87681411271632</v>
      </c>
      <c r="CE52" s="59">
        <f t="shared" si="40"/>
        <v>191.8684235641158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18.218834937636291</v>
      </c>
      <c r="CL52" s="21">
        <f>EXP(-LN(2)/25)*CL51+(1-EXP(-LN(2)/25))/(LN(2)/25)*Calculateur!CG52*Calculateur!CI52*VLOOKUP('Données projet'!$B$12,Paramètres!$A$1:$I$89,3,0)*0.475*44/12</f>
        <v>6.7075521441098775</v>
      </c>
      <c r="CM52" s="21">
        <f>EXP(-LN(2)/2)*CM51+(1-EXP(-LN(2)/2))/(LN(2)/2)*CG52*CJ52*VLOOKUP('Données projet'!$B$12,Paramètres!$A$1:$I$89,3,0)*0.475*44/12</f>
        <v>0.17194532288048406</v>
      </c>
      <c r="CN52" s="22">
        <f t="shared" si="12"/>
        <v>25.098332404626653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</v>
      </c>
      <c r="CT52" s="12">
        <f>IF('Données projet'!$A$140&gt;35,CT51+CS52-DB51,IF(A52&lt;'Données projet'!$A$140,$CQ$205^A52,IF(A52='Données projet'!$A$140,'Données projet'!$B$140,CT51+CS52-DB51)))</f>
        <v>219.48</v>
      </c>
      <c r="CU52" s="17">
        <f>CT52*VLOOKUP('Données projet'!$B$13,Paramètres!$A$1:$I$89,3,0)*VLOOKUP('Données projet'!$B$13,Paramètres!$A$1:$I$89,5,0)</f>
        <v>102.71664</v>
      </c>
      <c r="CV52" s="13">
        <f t="shared" si="41"/>
        <v>27.608186484395237</v>
      </c>
      <c r="CW52" s="20">
        <f t="shared" si="13"/>
        <v>226.98240612698837</v>
      </c>
      <c r="CX52" s="59">
        <f t="shared" si="14"/>
        <v>520.31573946032165</v>
      </c>
      <c r="CY52" s="59">
        <f ca="1">AVERAGE(OFFSET($CX$3,0,0,'Données projet'!$E$13+1,1))-AVERAGE(OFFSET($H$3,0,0,'Données projet'!$E$13+1,1))</f>
        <v>137.59122085719031</v>
      </c>
      <c r="CZ52" s="59">
        <f t="shared" si="42"/>
        <v>130.1134470448718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12.975623280406424</v>
      </c>
      <c r="DG52" s="21">
        <f>EXP(-LN(2)/25)*DG51+(1-EXP(-LN(2)/25))/(LN(2)/25)*Calculateur!DB52*Calculateur!DD52*VLOOKUP('Données projet'!$B$13,Paramètres!$A$1:$I$89,3,0)*0.475*44/12</f>
        <v>4.7614976306267192</v>
      </c>
      <c r="DH52" s="21">
        <f>EXP(-LN(2)/2)*DH51+(1-EXP(-LN(2)/2))/(LN(2)/2)*DB52*DE52*VLOOKUP('Données projet'!$B$13,Paramètres!$A$1:$I$89,3,0)*0.475*44/12</f>
        <v>0.12419048790405629</v>
      </c>
      <c r="DI52" s="22">
        <f t="shared" si="15"/>
        <v>17.8613113989372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7.833333333333333</v>
      </c>
      <c r="DO52" s="12">
        <f>IF('Données projet'!$A$166&gt;35,DO51+DN52-DW51,IF(A52&lt;'Données projet'!$A$166,$DL$205^A52,IF(A52='Données projet'!$A$166,'Données projet'!$B$166,DO51+DN52-DW51)))</f>
        <v>123.83333333333331</v>
      </c>
      <c r="DP52" s="17">
        <f>DO52*VLOOKUP('Données projet'!$B$14,Paramètres!$A$1:$I$89,3,0)*VLOOKUP('Données projet'!$B$14,Paramètres!$A$1:$I$89,5,0)</f>
        <v>125.56699999999999</v>
      </c>
      <c r="DQ52" s="13">
        <f t="shared" si="43"/>
        <v>32.969963997649543</v>
      </c>
      <c r="DR52" s="20">
        <f t="shared" si="16"/>
        <v>276.11854562923963</v>
      </c>
      <c r="DS52" s="59">
        <f t="shared" si="17"/>
        <v>569.45187896257289</v>
      </c>
      <c r="DT52" s="59">
        <f ca="1">AVERAGE(OFFSET($DS$3,0,0,'Données projet'!$E$14+1,1))-AVERAGE(OFFSET($H$3,0,0,'Données projet'!$E$14+1,1))</f>
        <v>313.90901812281373</v>
      </c>
      <c r="DU52" s="59">
        <f t="shared" si="44"/>
        <v>210.54265725995265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17.201875000000001</v>
      </c>
      <c r="EJ52" s="12">
        <f>IF('Données projet'!$A$192&gt;35,EJ51+EI52-ER51,IF(A52&lt;'Données projet'!$A$192,$EG$205^A52,IF(A52='Données projet'!$A$192,'Données projet'!$B$192,EJ51+EI52-ER51)))</f>
        <v>386.53809606481491</v>
      </c>
      <c r="EK52" s="17">
        <f>EJ52*VLOOKUP('Données projet'!$B$15,Paramètres!$A$1:$I$89,3,0)*VLOOKUP('Données projet'!$B$15,Paramètres!$A$1:$I$89,5,0)</f>
        <v>307.52970922916671</v>
      </c>
      <c r="EL52" s="13">
        <f t="shared" si="45"/>
        <v>72.752695165699919</v>
      </c>
      <c r="EM52" s="20">
        <f t="shared" si="19"/>
        <v>662.32518765439261</v>
      </c>
      <c r="EN52" s="59">
        <f t="shared" si="20"/>
        <v>955.65852098772598</v>
      </c>
      <c r="EO52" s="59">
        <f ca="1">AVERAGE(OFFSET($EN$3,0,0,'Données projet'!$E$15+1,1))-AVERAGE(OFFSET($H$3,0,0,'Données projet'!$E$15+1,1))</f>
        <v>316.52407313312403</v>
      </c>
      <c r="EP52" s="59">
        <f t="shared" si="46"/>
        <v>340.55949748167382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36.818686367810521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36.818686367810521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13.93250000000001</v>
      </c>
      <c r="FE52" s="12">
        <f>IF('Données projet'!$A$218&gt;35,FE51+FD52-FM51,IF(A52&lt;'Données projet'!$A$218,$FB$205^A52,IF(A52='Données projet'!$A$218,'Données projet'!$B$218,FE51+FD52-FM51)))</f>
        <v>308.92450231481479</v>
      </c>
      <c r="FF52" s="17">
        <f>FE52*VLOOKUP('Données projet'!$B$16,Paramètres!$A$1:$I$89,3,0)*VLOOKUP('Données projet'!$B$16,Paramètres!$A$1:$I$89,5,0)</f>
        <v>202.40733391666666</v>
      </c>
      <c r="FG52" s="13">
        <f t="shared" si="47"/>
        <v>50.272857883138961</v>
      </c>
      <c r="FH52" s="20">
        <f t="shared" si="22"/>
        <v>440.08466738466149</v>
      </c>
      <c r="FI52" s="59">
        <f t="shared" si="23"/>
        <v>733.4180007179948</v>
      </c>
      <c r="FJ52" s="59">
        <f ca="1">AVERAGE(OFFSET($FI$3,0,0,'Données projet'!$E$16+1,1))-AVERAGE(OFFSET($H$3,0,0,'Données projet'!$E$16+1,1))</f>
        <v>199.99826357281154</v>
      </c>
      <c r="FK52" s="59">
        <f t="shared" si="48"/>
        <v>214.67424457475136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19.612994369730483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19.612994369730483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414</v>
      </c>
      <c r="L53" s="12">
        <f>VLOOKUP(A53,'Données projet'!$A$35:$I$55,9,0)</f>
        <v>17.399999999999999</v>
      </c>
      <c r="M53" s="12">
        <f t="array" ref="M53">INDEX(L:L,MIN(IF(ISNUMBER(L53:L249),ROW(L53:L249),"")))</f>
        <v>17.399999999999999</v>
      </c>
      <c r="N53" s="13">
        <f>IF('Données projet'!$A$36&gt;35,N52+M53-V52,IF(A53&lt;'Données projet'!$A$36,$K$205^A53,IF(A53='Données projet'!$A$36,'Données projet'!$B$36,N52+M53-V52)))</f>
        <v>413.99999999999994</v>
      </c>
      <c r="O53" s="13">
        <f>N53*VLOOKUP('Données projet'!$B$9,Paramètres!$A$1:$I$89,3,0)*VLOOKUP('Données projet'!$B$9,Paramètres!$A$1:$I$89,5,0)</f>
        <v>247.57199999999997</v>
      </c>
      <c r="P53" s="13">
        <f t="shared" si="33"/>
        <v>60.065726249156526</v>
      </c>
      <c r="Q53" s="20">
        <f t="shared" si="53"/>
        <v>535.80237321728089</v>
      </c>
      <c r="R53" s="59">
        <f t="shared" si="0"/>
        <v>829.13570655061426</v>
      </c>
      <c r="S53" s="59">
        <f ca="1">AVERAGE(OFFSET($R$3,0,0,'Données projet'!$E$9+1,1))-AVERAGE(OFFSET($H$3,0,0,'Données projet'!$E$9+1,1))</f>
        <v>284.60021367910457</v>
      </c>
      <c r="T53" s="59">
        <f t="shared" si="34"/>
        <v>301.41905904220812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47</v>
      </c>
      <c r="W53" s="16">
        <f>IF(ISNA(VLOOKUP(A53,'Données projet'!$A$35:$I$55,5,0)),0%,VLOOKUP(A53,'Données projet'!$A$35:$I$55,5,0)*VLOOKUP('Données projet'!$B$9,Paramètres!$A$1:$I$89,7,0))</f>
        <v>0.315</v>
      </c>
      <c r="X53" s="16">
        <f>IF(ISNA(VLOOKUP(A53,'Données projet'!$A$35:$I$55,6,0)),0%,VLOOKUP(A53,'Données projet'!$A$35:$I$55,6,0)*VLOOKUP('Données projet'!$B$9,Paramètres!$A$1:$I$89,7,0))</f>
        <v>7.5600000000000001E-2</v>
      </c>
      <c r="Y53" s="16">
        <f>IF(ISNA(VLOOKUP(A53,'Données projet'!$A$35:$I$55,7,0)),0%,VLOOKUP(A53,'Données projet'!$A$35:$I$55,7,0))</f>
        <v>0.13200000000000001</v>
      </c>
      <c r="Z53" s="21">
        <f>EXP(-LN(2)/35)*Z52+(1-EXP(-LN(2)/35))/(LN(2)/35)*V53*W53*VLOOKUP('Données projet'!$B$9,Paramètres!$A$1:$I$89,3,0)*0.475*44/12</f>
        <v>61.329115288149012</v>
      </c>
      <c r="AA53" s="21">
        <f>EXP(-LN(2)/25)*AA52+(1-EXP(-LN(2)/25))/(LN(2)/25)*Calculateur!V53*Calculateur!X53*VLOOKUP('Données projet'!$B$9,Paramètres!$A$1:$I$89,3,0)*0.475*44/12</f>
        <v>14.626766766167764</v>
      </c>
      <c r="AB53" s="21">
        <f>EXP(-LN(2)/2)*AB52+(1-EXP(-LN(2)/2))/(LN(2)/2)*V53*Y53*VLOOKUP('Données projet'!$B$9,Paramètres!$A$1:$I$89,3,0)*0.475*44/12</f>
        <v>5.267701733200493</v>
      </c>
      <c r="AC53" s="22">
        <f t="shared" si="3"/>
        <v>81.223583787517271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352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352.00000000000006</v>
      </c>
      <c r="AJ53" s="13">
        <f>AI53*VLOOKUP('Données projet'!$B$10,Paramètres!$A$1:$I$89,3,0)*VLOOKUP('Données projet'!$B$10,Paramètres!$A$1:$I$89,5,0)</f>
        <v>210.49600000000007</v>
      </c>
      <c r="AK53" s="13">
        <f t="shared" si="35"/>
        <v>52.043959291168512</v>
      </c>
      <c r="AL53" s="20">
        <f t="shared" si="4"/>
        <v>457.25709576545188</v>
      </c>
      <c r="AM53" s="59">
        <f t="shared" si="5"/>
        <v>750.59042909878519</v>
      </c>
      <c r="AN53" s="59">
        <f ca="1">AVERAGE(OFFSET($AM$3,0,0,'Données projet'!$E$10+1,1))-AVERAGE(OFFSET($H$3,0,0,'Données projet'!$E$10+1,1))</f>
        <v>294.45857786714919</v>
      </c>
      <c r="AO53" s="59">
        <f t="shared" si="36"/>
        <v>221.9773436301067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7.5600000000000001E-2</v>
      </c>
      <c r="AT53" s="16">
        <f>IF(ISNA(VLOOKUP(A53,'Données projet'!$A$61:$I$81,7,0)),0%,VLOOKUP(A53,'Données projet'!$A$61:$I$81,7,0))</f>
        <v>0.13200000000000001</v>
      </c>
      <c r="AU53" s="21">
        <f>EXP(-LN(2)/35)*AU52+(1-EXP(-LN(2)/35))/(LN(2)/35)*AQ53*AR53*VLOOKUP('Données projet'!$B$10,Paramètres!$A$1:$I$89,3,0)*0.475*44/12</f>
        <v>46.846736067714708</v>
      </c>
      <c r="AV53" s="21">
        <f>EXP(-LN(2)/25)*AV52+(1-EXP(-LN(2)/25))/(LN(2)/25)*Calculateur!AQ53*Calculateur!AS53*VLOOKUP('Données projet'!$B$10,Paramètres!$A$1:$I$89,3,0)*0.475*44/12</f>
        <v>11.910266948489687</v>
      </c>
      <c r="AW53" s="21">
        <f>EXP(-LN(2)/2)*AW52+(1-EXP(-LN(2)/2))/(LN(2)/2)*AQ53*AT53*VLOOKUP('Données projet'!$B$10,Paramètres!$A$1:$I$89,3,0)*0.475*44/12</f>
        <v>5.5228579067203105</v>
      </c>
      <c r="AX53" s="21">
        <f t="shared" si="6"/>
        <v>64.279860922924698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544</v>
      </c>
      <c r="BB53" s="12">
        <f>VLOOKUP(A53,'Données projet'!$A$87:$I$107,9,0)</f>
        <v>15</v>
      </c>
      <c r="BC53" s="12">
        <f t="array" ref="BC53">INDEX(BB:BB,MIN(IF(ISNUMBER(BB53:BB249),ROW(BB53:BB249),"")))</f>
        <v>15</v>
      </c>
      <c r="BD53" s="12">
        <f>IF('Données projet'!$A$88&gt;35,BD52+BC53-BL52,IF(A53&lt;'Données projet'!$A$88,$BA$205^A53,IF(A53='Données projet'!$A$88,'Données projet'!$B$88,BD52+BC53-BL52)))</f>
        <v>544.00000000000023</v>
      </c>
      <c r="BE53" s="13">
        <f>BD53*VLOOKUP('Données projet'!$B$11,Paramètres!$A$1:$I$89,3,0)*VLOOKUP('Données projet'!$B$11,Paramètres!$A$1:$I$89,5,0)</f>
        <v>304.09600000000012</v>
      </c>
      <c r="BF53" s="13">
        <f t="shared" si="37"/>
        <v>72.03446351987327</v>
      </c>
      <c r="BG53" s="20">
        <f t="shared" si="7"/>
        <v>655.09389063044614</v>
      </c>
      <c r="BH53" s="59">
        <f t="shared" si="8"/>
        <v>948.4272239637794</v>
      </c>
      <c r="BI53" s="59">
        <f ca="1">AVERAGE(OFFSET($BH$3,0,0,'Données projet'!$E$11+1,1))-AVERAGE(OFFSET($H$3,0,0,'Données projet'!$E$11+1,1))</f>
        <v>304.91676868833792</v>
      </c>
      <c r="BJ53" s="59">
        <f t="shared" si="38"/>
        <v>365.95065044620048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0.38500000000000001</v>
      </c>
      <c r="BN53" s="16">
        <f>IF(ISNA(VLOOKUP(A53,'Données projet'!$A$87:$I$107,6,0)),0%,VLOOKUP(A53,'Données projet'!$A$87:$I$107,6,0)*VLOOKUP('Données projet'!$B$11,Paramètres!$A$1:$I$89,7,0))</f>
        <v>9.240000000000001E-2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58.777024064364738</v>
      </c>
      <c r="BQ53" s="21">
        <f>EXP(-LN(2)/25)*BQ52+(1-EXP(-LN(2)/25))/(LN(2)/25)*Calculateur!BL53*Calculateur!BN53*VLOOKUP('Données projet'!$B$11,Paramètres!$A$1:$I$89,3,0)*0.475*44/12</f>
        <v>14.69826416751788</v>
      </c>
      <c r="BR53" s="21">
        <f>EXP(-LN(2)/2)*BR52+(1-EXP(-LN(2)/2))/(LN(2)/2)*BL53*BO53*VLOOKUP('Données projet'!$B$11,Paramètres!$A$1:$I$89,3,0)*0.475*44/12</f>
        <v>4.5288603711403095</v>
      </c>
      <c r="BS53" s="22">
        <f t="shared" si="9"/>
        <v>78.004148603022927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335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334.99999999999989</v>
      </c>
      <c r="BZ53" s="13">
        <f>BY53*VLOOKUP('Données projet'!$B$12,Paramètres!$A$1:$I$89,3,0)*VLOOKUP('Données projet'!$B$12,Paramètres!$A$1:$I$89,5,0)</f>
        <v>156.77999999999994</v>
      </c>
      <c r="CA53" s="13">
        <f t="shared" si="39"/>
        <v>40.115378305457938</v>
      </c>
      <c r="CB53" s="20">
        <f t="shared" si="10"/>
        <v>342.92611721533916</v>
      </c>
      <c r="CC53" s="59">
        <f t="shared" si="11"/>
        <v>636.25945054867248</v>
      </c>
      <c r="CD53" s="59">
        <f ca="1">AVERAGE(OFFSET($CC$3,0,0,'Données projet'!$E$12+1,1))-AVERAGE(OFFSET($H$3,0,0,'Données projet'!$E$12+1,1))</f>
        <v>259.87681411271632</v>
      </c>
      <c r="CE53" s="59">
        <f t="shared" si="40"/>
        <v>191.8684235641158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67</v>
      </c>
      <c r="CH53" s="16">
        <f>IF(ISNA(VLOOKUP(A53,'Données projet'!$A$113:$I$133,5,0)),0%,VLOOKUP(A53,'Données projet'!$A$113:$I$133,5,0)*VLOOKUP('Données projet'!$B$12,Paramètres!$A$1:$I$89,7,0))</f>
        <v>0.38500000000000001</v>
      </c>
      <c r="CI53" s="16">
        <f>IF(ISNA(VLOOKUP(A53,'Données projet'!$A$113:$I$133,6,0)),0%,VLOOKUP(A53,'Données projet'!$A$113:$I$133,6,0)*VLOOKUP('Données projet'!$B$12,Paramètres!$A$1:$I$89,7,0))</f>
        <v>9.3500000000000014E-2</v>
      </c>
      <c r="CJ53" s="16">
        <f>IF(ISNA(VLOOKUP(A53,'Données projet'!$A$113:$I$133,7,0)),0%,VLOOKUP(A53,'Données projet'!$A$113:$I$133,7,0))</f>
        <v>0.13</v>
      </c>
      <c r="CK53" s="21">
        <f>EXP(-LN(2)/35)*CK52+(1-EXP(-LN(2)/35))/(LN(2)/35)*CG53*CH53*VLOOKUP('Données projet'!$B$12,Paramètres!$A$1:$I$89,3,0)*0.475*44/12</f>
        <v>33.87594039683475</v>
      </c>
      <c r="CL53" s="21">
        <f>EXP(-LN(2)/25)*CL52+(1-EXP(-LN(2)/25))/(LN(2)/25)*Calculateur!CG53*Calculateur!CI53*VLOOKUP('Données projet'!$B$12,Paramètres!$A$1:$I$89,3,0)*0.475*44/12</f>
        <v>10.398023602048053</v>
      </c>
      <c r="CM53" s="21">
        <f>EXP(-LN(2)/2)*CM52+(1-EXP(-LN(2)/2))/(LN(2)/2)*CG53*CJ53*VLOOKUP('Données projet'!$B$12,Paramètres!$A$1:$I$89,3,0)*0.475*44/12</f>
        <v>4.7368795735632814</v>
      </c>
      <c r="CN53" s="22">
        <f t="shared" si="12"/>
        <v>49.010843572446085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226.48</v>
      </c>
      <c r="CR53" s="12">
        <f>VLOOKUP(A53,'Données projet'!$A$139:$I$159,9,0)</f>
        <v>7</v>
      </c>
      <c r="CS53" s="12">
        <f t="array" ref="CS53">INDEX(CR:CR,MIN(IF(ISNUMBER(CR53:CR249),ROW(CR53:CR249),"")))</f>
        <v>7</v>
      </c>
      <c r="CT53" s="12">
        <f>IF('Données projet'!$A$140&gt;35,CT52+CS53-DB52,IF(A53&lt;'Données projet'!$A$140,$CQ$205^A53,IF(A53='Données projet'!$A$140,'Données projet'!$B$140,CT52+CS53-DB52)))</f>
        <v>226.48</v>
      </c>
      <c r="CU53" s="17">
        <f>CT53*VLOOKUP('Données projet'!$B$13,Paramètres!$A$1:$I$89,3,0)*VLOOKUP('Données projet'!$B$13,Paramètres!$A$1:$I$89,5,0)</f>
        <v>105.99263999999999</v>
      </c>
      <c r="CV53" s="13">
        <f t="shared" si="41"/>
        <v>28.38478975182414</v>
      </c>
      <c r="CW53" s="20">
        <f t="shared" si="13"/>
        <v>234.04069015109368</v>
      </c>
      <c r="CX53" s="59">
        <f t="shared" si="14"/>
        <v>527.37402348442697</v>
      </c>
      <c r="CY53" s="59">
        <f ca="1">AVERAGE(OFFSET($CX$3,0,0,'Données projet'!$E$13+1,1))-AVERAGE(OFFSET($H$3,0,0,'Données projet'!$E$13+1,1))</f>
        <v>137.59122085719031</v>
      </c>
      <c r="CZ53" s="59">
        <f t="shared" si="42"/>
        <v>130.1134470448718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45.295999999999999</v>
      </c>
      <c r="DC53" s="16">
        <f>IF(ISNA(VLOOKUP(A53,'Données projet'!$A$139:$I$159,5,0)),0%,VLOOKUP(A53,'Données projet'!$A$139:$I$159,5,0)*VLOOKUP('Données projet'!$B$13,Paramètres!$A$1:$I$89,7,0))</f>
        <v>0.38500000000000001</v>
      </c>
      <c r="DD53" s="16">
        <f>IF(ISNA(VLOOKUP(A53,'Données projet'!$A$139:$I$159,6,0)),0%,VLOOKUP(A53,'Données projet'!$A$139:$I$159,6,0)*VLOOKUP('Données projet'!$B$13,Paramètres!$A$1:$I$89,7,0))</f>
        <v>9.240000000000001E-2</v>
      </c>
      <c r="DE53" s="16">
        <f>IF(ISNA(VLOOKUP(A53,'Données projet'!$A$139:$I$159,7,0)),0%,VLOOKUP(A53,'Données projet'!$A$139:$I$159,7,0))</f>
        <v>0.13200000000000001</v>
      </c>
      <c r="DF53" s="21">
        <f>EXP(-LN(2)/35)*DF52+(1-EXP(-LN(2)/35))/(LN(2)/35)*DB53*DC53*VLOOKUP('Données projet'!$B$13,Paramètres!$A$1:$I$89,3,0)*0.475*44/12</f>
        <v>23.547846516915719</v>
      </c>
      <c r="DG53" s="21">
        <f>EXP(-LN(2)/25)*DG52+(1-EXP(-LN(2)/25))/(LN(2)/25)*Calculateur!DB53*Calculateur!DD53*VLOOKUP('Données projet'!$B$13,Paramètres!$A$1:$I$89,3,0)*0.475*44/12</f>
        <v>7.2194634867849121</v>
      </c>
      <c r="DH53" s="21">
        <f>EXP(-LN(2)/2)*DH52+(1-EXP(-LN(2)/2))/(LN(2)/2)*DB53*DE53*VLOOKUP('Données projet'!$B$13,Paramètres!$A$1:$I$89,3,0)*0.475*44/12</f>
        <v>3.2560348002895476</v>
      </c>
      <c r="DI53" s="22">
        <f t="shared" si="15"/>
        <v>34.023344803990177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7.833333333333333</v>
      </c>
      <c r="DO53" s="12">
        <f>IF('Données projet'!$A$166&gt;35,DO52+DN53-DW52,IF(A53&lt;'Données projet'!$A$166,$DL$205^A53,IF(A53='Données projet'!$A$166,'Données projet'!$B$166,DO52+DN53-DW52)))</f>
        <v>131.66666666666666</v>
      </c>
      <c r="DP53" s="17">
        <f>DO53*VLOOKUP('Données projet'!$B$14,Paramètres!$A$1:$I$89,3,0)*VLOOKUP('Données projet'!$B$14,Paramètres!$A$1:$I$89,5,0)</f>
        <v>133.51</v>
      </c>
      <c r="DQ53" s="13">
        <f t="shared" si="43"/>
        <v>34.806155405476318</v>
      </c>
      <c r="DR53" s="20">
        <f t="shared" si="16"/>
        <v>293.15063733120456</v>
      </c>
      <c r="DS53" s="59">
        <f t="shared" si="17"/>
        <v>586.48397066453788</v>
      </c>
      <c r="DT53" s="59">
        <f ca="1">AVERAGE(OFFSET($DS$3,0,0,'Données projet'!$E$14+1,1))-AVERAGE(OFFSET($H$3,0,0,'Données projet'!$E$14+1,1))</f>
        <v>313.90901812281373</v>
      </c>
      <c r="DU53" s="59">
        <f t="shared" si="44"/>
        <v>210.54265725995265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17.201875000000001</v>
      </c>
      <c r="EJ53" s="12">
        <f>IF('Données projet'!$A$192&gt;35,EJ52+EI53-ER52,IF(A53&lt;'Données projet'!$A$192,$EG$205^A53,IF(A53='Données projet'!$A$192,'Données projet'!$B$192,EJ52+EI53-ER52)))</f>
        <v>403.73997106481488</v>
      </c>
      <c r="EK53" s="17">
        <f>EJ53*VLOOKUP('Données projet'!$B$15,Paramètres!$A$1:$I$89,3,0)*VLOOKUP('Données projet'!$B$15,Paramètres!$A$1:$I$89,5,0)</f>
        <v>321.21552097916674</v>
      </c>
      <c r="EL53" s="13">
        <f t="shared" si="45"/>
        <v>75.606210608475678</v>
      </c>
      <c r="EM53" s="20">
        <f t="shared" si="19"/>
        <v>691.13118251514391</v>
      </c>
      <c r="EN53" s="59">
        <f t="shared" si="20"/>
        <v>984.46451584847728</v>
      </c>
      <c r="EO53" s="59">
        <f ca="1">AVERAGE(OFFSET($EN$3,0,0,'Données projet'!$E$15+1,1))-AVERAGE(OFFSET($H$3,0,0,'Données projet'!$E$15+1,1))</f>
        <v>316.52407313312403</v>
      </c>
      <c r="EP53" s="59">
        <f t="shared" si="46"/>
        <v>340.55949748167382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36.096694385318976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36.096694385318976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13.93250000000001</v>
      </c>
      <c r="FE53" s="12">
        <f>IF('Données projet'!$A$218&gt;35,FE52+FD53-FM52,IF(A53&lt;'Données projet'!$A$218,$FB$205^A53,IF(A53='Données projet'!$A$218,'Données projet'!$B$218,FE52+FD53-FM52)))</f>
        <v>322.85700231481479</v>
      </c>
      <c r="FF53" s="17">
        <f>FE53*VLOOKUP('Données projet'!$B$16,Paramètres!$A$1:$I$89,3,0)*VLOOKUP('Données projet'!$B$16,Paramètres!$A$1:$I$89,5,0)</f>
        <v>211.53590791666667</v>
      </c>
      <c r="FG53" s="13">
        <f t="shared" si="47"/>
        <v>52.271077740148982</v>
      </c>
      <c r="FH53" s="20">
        <f t="shared" si="22"/>
        <v>459.46383335228717</v>
      </c>
      <c r="FI53" s="59">
        <f t="shared" si="23"/>
        <v>752.79716668562048</v>
      </c>
      <c r="FJ53" s="59">
        <f ca="1">AVERAGE(OFFSET($FI$3,0,0,'Données projet'!$E$16+1,1))-AVERAGE(OFFSET($H$3,0,0,'Données projet'!$E$16+1,1))</f>
        <v>199.99826357281154</v>
      </c>
      <c r="FK53" s="59">
        <f t="shared" si="48"/>
        <v>214.67424457475136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19.22839551288541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19.22839551288541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19.2</v>
      </c>
      <c r="N54" s="13">
        <f>IF('Données projet'!$A$36&gt;35,N53+M54-V53,IF(A54&lt;'Données projet'!$A$36,$K$205^A54,IF(A54='Données projet'!$A$36,'Données projet'!$B$36,N53+M54-V53)))</f>
        <v>386.19999999999993</v>
      </c>
      <c r="O54" s="13">
        <f>N54*VLOOKUP('Données projet'!$B$9,Paramètres!$A$1:$I$89,3,0)*VLOOKUP('Données projet'!$B$9,Paramètres!$A$1:$I$89,5,0)</f>
        <v>230.94759999999999</v>
      </c>
      <c r="P54" s="13">
        <f t="shared" si="33"/>
        <v>56.487525751065782</v>
      </c>
      <c r="Q54" s="20">
        <f t="shared" si="53"/>
        <v>500.61617734977284</v>
      </c>
      <c r="R54" s="59">
        <f t="shared" si="0"/>
        <v>793.94951068310615</v>
      </c>
      <c r="S54" s="59">
        <f ca="1">AVERAGE(OFFSET($R$3,0,0,'Données projet'!$E$9+1,1))-AVERAGE(OFFSET($H$3,0,0,'Données projet'!$E$9+1,1))</f>
        <v>284.60021367910457</v>
      </c>
      <c r="T54" s="59">
        <f t="shared" si="34"/>
        <v>301.41905904220812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60.126488744415092</v>
      </c>
      <c r="AA54" s="21">
        <f>EXP(-LN(2)/25)*AA53+(1-EXP(-LN(2)/25))/(LN(2)/25)*Calculateur!V54*Calculateur!X54*VLOOKUP('Données projet'!$B$9,Paramètres!$A$1:$I$89,3,0)*0.475*44/12</f>
        <v>14.226797059758672</v>
      </c>
      <c r="AB54" s="21">
        <f>EXP(-LN(2)/2)*AB53+(1-EXP(-LN(2)/2))/(LN(2)/2)*V54*Y54*VLOOKUP('Données projet'!$B$9,Paramètres!$A$1:$I$89,3,0)*0.475*44/12</f>
        <v>3.7248276168141983</v>
      </c>
      <c r="AC54" s="22">
        <f t="shared" si="3"/>
        <v>78.078113420987961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17.625</v>
      </c>
      <c r="AI54" s="13">
        <f>IF('Données projet'!$A$62&gt;35,AI53+AH54-AQ53,IF(A54&lt;'Données projet'!$A$62,$AF$205^A54,IF(A54='Données projet'!$A$62,'Données projet'!$B$62,AI53+AH54-AQ53)))</f>
        <v>316.62500000000006</v>
      </c>
      <c r="AJ54" s="13">
        <f>AI54*VLOOKUP('Données projet'!$B$10,Paramètres!$A$1:$I$89,3,0)*VLOOKUP('Données projet'!$B$10,Paramètres!$A$1:$I$89,5,0)</f>
        <v>189.34175000000005</v>
      </c>
      <c r="AK54" s="13">
        <f t="shared" si="35"/>
        <v>47.394393740797966</v>
      </c>
      <c r="AL54" s="20">
        <f t="shared" si="4"/>
        <v>412.31545034855657</v>
      </c>
      <c r="AM54" s="59">
        <f t="shared" si="5"/>
        <v>705.64878368188988</v>
      </c>
      <c r="AN54" s="59">
        <f ca="1">AVERAGE(OFFSET($AM$3,0,0,'Données projet'!$E$10+1,1))-AVERAGE(OFFSET($H$3,0,0,'Données projet'!$E$10+1,1))</f>
        <v>294.45857786714919</v>
      </c>
      <c r="AO54" s="59">
        <f t="shared" si="36"/>
        <v>221.9773436301067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45.928100147114407</v>
      </c>
      <c r="AV54" s="21">
        <f>EXP(-LN(2)/25)*AV53+(1-EXP(-LN(2)/25))/(LN(2)/25)*Calculateur!AQ54*Calculateur!AS54*VLOOKUP('Données projet'!$B$10,Paramètres!$A$1:$I$89,3,0)*0.475*44/12</f>
        <v>11.584580072449519</v>
      </c>
      <c r="AW54" s="21">
        <f>EXP(-LN(2)/2)*AW53+(1-EXP(-LN(2)/2))/(LN(2)/2)*AQ54*AT54*VLOOKUP('Données projet'!$B$10,Paramètres!$A$1:$I$89,3,0)*0.475*44/12</f>
        <v>3.9052502773716729</v>
      </c>
      <c r="AX54" s="21">
        <f t="shared" si="6"/>
        <v>61.417930496935597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12.6</v>
      </c>
      <c r="BD54" s="12">
        <f>IF('Données projet'!$A$88&gt;35,BD53+BC54-BL53,IF(A54&lt;'Données projet'!$A$88,$BA$205^A54,IF(A54='Données projet'!$A$88,'Données projet'!$B$88,BD53+BC54-BL53)))</f>
        <v>514.60000000000025</v>
      </c>
      <c r="BE54" s="13">
        <f>BD54*VLOOKUP('Données projet'!$B$11,Paramètres!$A$1:$I$89,3,0)*VLOOKUP('Données projet'!$B$11,Paramètres!$A$1:$I$89,5,0)</f>
        <v>287.66140000000013</v>
      </c>
      <c r="BF54" s="13">
        <f t="shared" si="37"/>
        <v>68.583530482412016</v>
      </c>
      <c r="BG54" s="20">
        <f t="shared" si="7"/>
        <v>620.45992059020114</v>
      </c>
      <c r="BH54" s="59">
        <f t="shared" si="8"/>
        <v>913.79325392353439</v>
      </c>
      <c r="BI54" s="59">
        <f ca="1">AVERAGE(OFFSET($BH$3,0,0,'Données projet'!$E$11+1,1))-AVERAGE(OFFSET($H$3,0,0,'Données projet'!$E$11+1,1))</f>
        <v>304.91676868833792</v>
      </c>
      <c r="BJ54" s="59">
        <f t="shared" si="38"/>
        <v>365.95065044620048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57.62444247290729</v>
      </c>
      <c r="BQ54" s="21">
        <f>EXP(-LN(2)/25)*BQ53+(1-EXP(-LN(2)/25))/(LN(2)/25)*Calculateur!BL54*Calculateur!BN54*VLOOKUP('Données projet'!$B$11,Paramètres!$A$1:$I$89,3,0)*0.475*44/12</f>
        <v>14.296339360908984</v>
      </c>
      <c r="BR54" s="21">
        <f>EXP(-LN(2)/2)*BR53+(1-EXP(-LN(2)/2))/(LN(2)/2)*BL54*BO54*VLOOKUP('Données projet'!$B$11,Paramètres!$A$1:$I$89,3,0)*0.475*44/12</f>
        <v>3.2023878794803373</v>
      </c>
      <c r="BS54" s="22">
        <f t="shared" si="9"/>
        <v>75.123169713296619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13.5</v>
      </c>
      <c r="BY54" s="12">
        <f>IF('Données projet'!$A$114&gt;35,BY53+BX54-CG53,IF(A54&lt;'Données projet'!$A$114,$BV$205^A54,IF(A54='Données projet'!$A$114,'Données projet'!$B$114,BY53+BX54-CG53)))</f>
        <v>281.49999999999989</v>
      </c>
      <c r="BZ54" s="13">
        <f>BY54*VLOOKUP('Données projet'!$B$12,Paramètres!$A$1:$I$89,3,0)*VLOOKUP('Données projet'!$B$12,Paramètres!$A$1:$I$89,5,0)</f>
        <v>131.74199999999996</v>
      </c>
      <c r="CA54" s="13">
        <f t="shared" si="39"/>
        <v>34.398572019120941</v>
      </c>
      <c r="CB54" s="20">
        <f t="shared" si="10"/>
        <v>289.36149626663558</v>
      </c>
      <c r="CC54" s="59">
        <f t="shared" si="11"/>
        <v>582.6948295999689</v>
      </c>
      <c r="CD54" s="59">
        <f ca="1">AVERAGE(OFFSET($CC$3,0,0,'Données projet'!$E$12+1,1))-AVERAGE(OFFSET($H$3,0,0,'Données projet'!$E$12+1,1))</f>
        <v>259.87681411271632</v>
      </c>
      <c r="CE54" s="59">
        <f t="shared" si="40"/>
        <v>191.8684235641158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33.211653867936235</v>
      </c>
      <c r="CL54" s="21">
        <f>EXP(-LN(2)/25)*CL53+(1-EXP(-LN(2)/25))/(LN(2)/25)*Calculateur!CG54*Calculateur!CI54*VLOOKUP('Données projet'!$B$12,Paramètres!$A$1:$I$89,3,0)*0.475*44/12</f>
        <v>10.113689099841752</v>
      </c>
      <c r="CM54" s="21">
        <f>EXP(-LN(2)/2)*CM53+(1-EXP(-LN(2)/2))/(LN(2)/2)*CG54*CJ54*VLOOKUP('Données projet'!$B$12,Paramètres!$A$1:$I$89,3,0)*0.475*44/12</f>
        <v>3.349479668130638</v>
      </c>
      <c r="CN54" s="22">
        <f t="shared" si="12"/>
        <v>46.674822635908626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7.9999999999999973</v>
      </c>
      <c r="CT54" s="12">
        <f>IF('Données projet'!$A$140&gt;35,CT53+CS54-DB53,IF(A54&lt;'Données projet'!$A$140,$CQ$205^A54,IF(A54='Données projet'!$A$140,'Données projet'!$B$140,CT53+CS54-DB53)))</f>
        <v>189.184</v>
      </c>
      <c r="CU54" s="17">
        <f>CT54*VLOOKUP('Données projet'!$B$13,Paramètres!$A$1:$I$89,3,0)*VLOOKUP('Données projet'!$B$13,Paramètres!$A$1:$I$89,5,0)</f>
        <v>88.538111999999998</v>
      </c>
      <c r="CV54" s="13">
        <f t="shared" si="41"/>
        <v>24.212317472685573</v>
      </c>
      <c r="CW54" s="20">
        <f t="shared" si="13"/>
        <v>196.37366466492736</v>
      </c>
      <c r="CX54" s="59">
        <f t="shared" si="14"/>
        <v>489.7069979982607</v>
      </c>
      <c r="CY54" s="59">
        <f ca="1">AVERAGE(OFFSET($CX$3,0,0,'Données projet'!$E$13+1,1))-AVERAGE(OFFSET($H$3,0,0,'Données projet'!$E$13+1,1))</f>
        <v>137.59122085719031</v>
      </c>
      <c r="CZ54" s="59">
        <f t="shared" si="42"/>
        <v>130.1134470448718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23.086087609487173</v>
      </c>
      <c r="DG54" s="21">
        <f>EXP(-LN(2)/25)*DG53+(1-EXP(-LN(2)/25))/(LN(2)/25)*Calculateur!DB54*Calculateur!DD54*VLOOKUP('Données projet'!$B$13,Paramètres!$A$1:$I$89,3,0)*0.475*44/12</f>
        <v>7.0220468780836942</v>
      </c>
      <c r="DH54" s="21">
        <f>EXP(-LN(2)/2)*DH53+(1-EXP(-LN(2)/2))/(LN(2)/2)*DB54*DE54*VLOOKUP('Données projet'!$B$13,Paramètres!$A$1:$I$89,3,0)*0.475*44/12</f>
        <v>2.3023642870641252</v>
      </c>
      <c r="DI54" s="22">
        <f t="shared" si="15"/>
        <v>32.410498774634988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7.833333333333333</v>
      </c>
      <c r="DO54" s="12">
        <f>IF('Données projet'!$A$166&gt;35,DO53+DN54-DW53,IF(A54&lt;'Données projet'!$A$166,$DL$205^A54,IF(A54='Données projet'!$A$166,'Données projet'!$B$166,DO53+DN54-DW53)))</f>
        <v>139.5</v>
      </c>
      <c r="DP54" s="17">
        <f>DO54*VLOOKUP('Données projet'!$B$14,Paramètres!$A$1:$I$89,3,0)*VLOOKUP('Données projet'!$B$14,Paramètres!$A$1:$I$89,5,0)</f>
        <v>141.453</v>
      </c>
      <c r="DQ54" s="13">
        <f t="shared" si="43"/>
        <v>36.62966710408697</v>
      </c>
      <c r="DR54" s="20">
        <f t="shared" si="16"/>
        <v>310.16064520628476</v>
      </c>
      <c r="DS54" s="59">
        <f t="shared" si="17"/>
        <v>603.49397853961807</v>
      </c>
      <c r="DT54" s="59">
        <f ca="1">AVERAGE(OFFSET($DS$3,0,0,'Données projet'!$E$14+1,1))-AVERAGE(OFFSET($H$3,0,0,'Données projet'!$E$14+1,1))</f>
        <v>313.90901812281373</v>
      </c>
      <c r="DU54" s="59">
        <f t="shared" si="44"/>
        <v>210.54265725995265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17.201875000000001</v>
      </c>
      <c r="EJ54" s="12">
        <f>IF('Données projet'!$A$192&gt;35,EJ53+EI54-ER53,IF(A54&lt;'Données projet'!$A$192,$EG$205^A54,IF(A54='Données projet'!$A$192,'Données projet'!$B$192,EJ53+EI54-ER53)))</f>
        <v>420.94184606481485</v>
      </c>
      <c r="EK54" s="17">
        <f>EJ54*VLOOKUP('Données projet'!$B$15,Paramètres!$A$1:$I$89,3,0)*VLOOKUP('Données projet'!$B$15,Paramètres!$A$1:$I$89,5,0)</f>
        <v>334.90133272916671</v>
      </c>
      <c r="EL54" s="13">
        <f t="shared" si="45"/>
        <v>78.445604917732027</v>
      </c>
      <c r="EM54" s="20">
        <f t="shared" si="19"/>
        <v>719.91258306834868</v>
      </c>
      <c r="EN54" s="59">
        <f t="shared" si="20"/>
        <v>1013.2459164016821</v>
      </c>
      <c r="EO54" s="59">
        <f ca="1">AVERAGE(OFFSET($EN$3,0,0,'Données projet'!$E$15+1,1))-AVERAGE(OFFSET($H$3,0,0,'Données projet'!$E$15+1,1))</f>
        <v>316.52407313312403</v>
      </c>
      <c r="EP54" s="59">
        <f t="shared" si="46"/>
        <v>340.55949748167382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35.388860225232463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35.388860225232463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13.93250000000001</v>
      </c>
      <c r="FE54" s="12">
        <f>IF('Données projet'!$A$218&gt;35,FE53+FD54-FM53,IF(A54&lt;'Données projet'!$A$218,$FB$205^A54,IF(A54='Données projet'!$A$218,'Données projet'!$B$218,FE53+FD54-FM53)))</f>
        <v>336.7895023148148</v>
      </c>
      <c r="FF54" s="17">
        <f>FE54*VLOOKUP('Données projet'!$B$16,Paramètres!$A$1:$I$89,3,0)*VLOOKUP('Données projet'!$B$16,Paramètres!$A$1:$I$89,5,0)</f>
        <v>220.66448191666666</v>
      </c>
      <c r="FG54" s="13">
        <f t="shared" si="47"/>
        <v>54.259282223302897</v>
      </c>
      <c r="FH54" s="20">
        <f t="shared" si="22"/>
        <v>478.82555587711357</v>
      </c>
      <c r="FI54" s="59">
        <f t="shared" si="23"/>
        <v>772.15888921044689</v>
      </c>
      <c r="FJ54" s="59">
        <f ca="1">AVERAGE(OFFSET($FI$3,0,0,'Données projet'!$E$16+1,1))-AVERAGE(OFFSET($H$3,0,0,'Données projet'!$E$16+1,1))</f>
        <v>199.99826357281154</v>
      </c>
      <c r="FK54" s="59">
        <f t="shared" si="48"/>
        <v>214.67424457475136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18.851338405040931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18.851338405040931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19.2</v>
      </c>
      <c r="N55" s="13">
        <f>IF('Données projet'!$A$36&gt;35,N54+M55-V54,IF(A55&lt;'Données projet'!$A$36,$K$205^A55,IF(A55='Données projet'!$A$36,'Données projet'!$B$36,N54+M55-V54)))</f>
        <v>405.39999999999992</v>
      </c>
      <c r="O55" s="13">
        <f>N55*VLOOKUP('Données projet'!$B$9,Paramètres!$A$1:$I$89,3,0)*VLOOKUP('Données projet'!$B$9,Paramètres!$A$1:$I$89,5,0)</f>
        <v>242.42919999999998</v>
      </c>
      <c r="P55" s="13">
        <f t="shared" si="33"/>
        <v>58.961877963646643</v>
      </c>
      <c r="Q55" s="20">
        <f t="shared" si="53"/>
        <v>524.9227941200179</v>
      </c>
      <c r="R55" s="59">
        <f t="shared" si="0"/>
        <v>818.25612745335116</v>
      </c>
      <c r="S55" s="59">
        <f ca="1">AVERAGE(OFFSET($R$3,0,0,'Données projet'!$E$9+1,1))-AVERAGE(OFFSET($H$3,0,0,'Données projet'!$E$9+1,1))</f>
        <v>284.60021367910457</v>
      </c>
      <c r="T55" s="59">
        <f t="shared" si="34"/>
        <v>301.41905904220812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58.947444973674031</v>
      </c>
      <c r="AA55" s="21">
        <f>EXP(-LN(2)/25)*AA54+(1-EXP(-LN(2)/25))/(LN(2)/25)*Calculateur!V55*Calculateur!X55*VLOOKUP('Données projet'!$B$9,Paramètres!$A$1:$I$89,3,0)*0.475*44/12</f>
        <v>13.837764546004829</v>
      </c>
      <c r="AB55" s="21">
        <f>EXP(-LN(2)/2)*AB54+(1-EXP(-LN(2)/2))/(LN(2)/2)*V55*Y55*VLOOKUP('Données projet'!$B$9,Paramètres!$A$1:$I$89,3,0)*0.475*44/12</f>
        <v>2.6338508666002469</v>
      </c>
      <c r="AC55" s="22">
        <f t="shared" si="3"/>
        <v>75.419060386279099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17.625</v>
      </c>
      <c r="AI55" s="13">
        <f>IF('Données projet'!$A$62&gt;35,AI54+AH55-AQ54,IF(A55&lt;'Données projet'!$A$62,$AF$205^A55,IF(A55='Données projet'!$A$62,'Données projet'!$B$62,AI54+AH55-AQ54)))</f>
        <v>334.25000000000006</v>
      </c>
      <c r="AJ55" s="13">
        <f>AI55*VLOOKUP('Données projet'!$B$10,Paramètres!$A$1:$I$89,3,0)*VLOOKUP('Données projet'!$B$10,Paramètres!$A$1:$I$89,5,0)</f>
        <v>199.88150000000005</v>
      </c>
      <c r="AK55" s="13">
        <f t="shared" si="35"/>
        <v>49.71812411377941</v>
      </c>
      <c r="AL55" s="20">
        <f t="shared" si="4"/>
        <v>434.7193453314992</v>
      </c>
      <c r="AM55" s="59">
        <f t="shared" si="5"/>
        <v>728.05267866483246</v>
      </c>
      <c r="AN55" s="59">
        <f ca="1">AVERAGE(OFFSET($AM$3,0,0,'Données projet'!$E$10+1,1))-AVERAGE(OFFSET($H$3,0,0,'Données projet'!$E$10+1,1))</f>
        <v>294.45857786714919</v>
      </c>
      <c r="AO55" s="59">
        <f t="shared" si="36"/>
        <v>221.9773436301067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45.027478116604492</v>
      </c>
      <c r="AV55" s="21">
        <f>EXP(-LN(2)/25)*AV54+(1-EXP(-LN(2)/25))/(LN(2)/25)*Calculateur!AQ55*Calculateur!AS55*VLOOKUP('Données projet'!$B$10,Paramètres!$A$1:$I$89,3,0)*0.475*44/12</f>
        <v>11.267799121161797</v>
      </c>
      <c r="AW55" s="21">
        <f>EXP(-LN(2)/2)*AW54+(1-EXP(-LN(2)/2))/(LN(2)/2)*AQ55*AT55*VLOOKUP('Données projet'!$B$10,Paramètres!$A$1:$I$89,3,0)*0.475*44/12</f>
        <v>2.7614289533601557</v>
      </c>
      <c r="AX55" s="21">
        <f t="shared" si="6"/>
        <v>59.056706191126437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12.6</v>
      </c>
      <c r="BD55" s="12">
        <f>IF('Données projet'!$A$88&gt;35,BD54+BC55-BL54,IF(A55&lt;'Données projet'!$A$88,$BA$205^A55,IF(A55='Données projet'!$A$88,'Données projet'!$B$88,BD54+BC55-BL54)))</f>
        <v>527.20000000000027</v>
      </c>
      <c r="BE55" s="13">
        <f>BD55*VLOOKUP('Données projet'!$B$11,Paramètres!$A$1:$I$89,3,0)*VLOOKUP('Données projet'!$B$11,Paramètres!$A$1:$I$89,5,0)</f>
        <v>294.70480000000015</v>
      </c>
      <c r="BF55" s="13">
        <f t="shared" si="37"/>
        <v>70.065238256033226</v>
      </c>
      <c r="BG55" s="20">
        <f t="shared" si="7"/>
        <v>635.30781662925813</v>
      </c>
      <c r="BH55" s="59">
        <f t="shared" si="8"/>
        <v>928.6411499625915</v>
      </c>
      <c r="BI55" s="59">
        <f ca="1">AVERAGE(OFFSET($BH$3,0,0,'Données projet'!$E$11+1,1))-AVERAGE(OFFSET($H$3,0,0,'Données projet'!$E$11+1,1))</f>
        <v>304.91676868833792</v>
      </c>
      <c r="BJ55" s="59">
        <f t="shared" si="38"/>
        <v>365.95065044620048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56.494462303452963</v>
      </c>
      <c r="BQ55" s="21">
        <f>EXP(-LN(2)/25)*BQ54+(1-EXP(-LN(2)/25))/(LN(2)/25)*Calculateur!BL55*Calculateur!BN55*VLOOKUP('Données projet'!$B$11,Paramètres!$A$1:$I$89,3,0)*0.475*44/12</f>
        <v>13.905405209273116</v>
      </c>
      <c r="BR55" s="21">
        <f>EXP(-LN(2)/2)*BR54+(1-EXP(-LN(2)/2))/(LN(2)/2)*BL55*BO55*VLOOKUP('Données projet'!$B$11,Paramètres!$A$1:$I$89,3,0)*0.475*44/12</f>
        <v>2.2644301855701547</v>
      </c>
      <c r="BS55" s="22">
        <f t="shared" si="9"/>
        <v>72.664297698296224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13.5</v>
      </c>
      <c r="BY55" s="12">
        <f>IF('Données projet'!$A$114&gt;35,BY54+BX55-CG54,IF(A55&lt;'Données projet'!$A$114,$BV$205^A55,IF(A55='Données projet'!$A$114,'Données projet'!$B$114,BY54+BX55-CG54)))</f>
        <v>294.99999999999989</v>
      </c>
      <c r="BZ55" s="13">
        <f>BY55*VLOOKUP('Données projet'!$B$12,Paramètres!$A$1:$I$89,3,0)*VLOOKUP('Données projet'!$B$12,Paramètres!$A$1:$I$89,5,0)</f>
        <v>138.05999999999995</v>
      </c>
      <c r="CA55" s="13">
        <f t="shared" si="39"/>
        <v>35.85221845159689</v>
      </c>
      <c r="CB55" s="20">
        <f t="shared" si="10"/>
        <v>302.89711380319778</v>
      </c>
      <c r="CC55" s="59">
        <f t="shared" si="11"/>
        <v>596.2304471365311</v>
      </c>
      <c r="CD55" s="59">
        <f ca="1">AVERAGE(OFFSET($CC$3,0,0,'Données projet'!$E$12+1,1))-AVERAGE(OFFSET($H$3,0,0,'Données projet'!$E$12+1,1))</f>
        <v>259.87681411271632</v>
      </c>
      <c r="CE55" s="59">
        <f t="shared" si="40"/>
        <v>191.8684235641158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32.560393592694645</v>
      </c>
      <c r="CL55" s="21">
        <f>EXP(-LN(2)/25)*CL54+(1-EXP(-LN(2)/25))/(LN(2)/25)*Calculateur!CG55*Calculateur!CI55*VLOOKUP('Données projet'!$B$12,Paramètres!$A$1:$I$89,3,0)*0.475*44/12</f>
        <v>9.8371297395507842</v>
      </c>
      <c r="CM55" s="21">
        <f>EXP(-LN(2)/2)*CM54+(1-EXP(-LN(2)/2))/(LN(2)/2)*CG55*CJ55*VLOOKUP('Données projet'!$B$12,Paramètres!$A$1:$I$89,3,0)*0.475*44/12</f>
        <v>2.3684397867816411</v>
      </c>
      <c r="CN55" s="22">
        <f t="shared" si="12"/>
        <v>44.76596311902707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7.9999999999999973</v>
      </c>
      <c r="CT55" s="12">
        <f>IF('Données projet'!$A$140&gt;35,CT54+CS55-DB54,IF(A55&lt;'Données projet'!$A$140,$CQ$205^A55,IF(A55='Données projet'!$A$140,'Données projet'!$B$140,CT54+CS55-DB54)))</f>
        <v>197.184</v>
      </c>
      <c r="CU55" s="17">
        <f>CT55*VLOOKUP('Données projet'!$B$13,Paramètres!$A$1:$I$89,3,0)*VLOOKUP('Données projet'!$B$13,Paramètres!$A$1:$I$89,5,0)</f>
        <v>92.282111999999998</v>
      </c>
      <c r="CV55" s="13">
        <f t="shared" si="41"/>
        <v>25.114810770997305</v>
      </c>
      <c r="CW55" s="20">
        <f t="shared" si="13"/>
        <v>204.46630715948697</v>
      </c>
      <c r="CX55" s="59">
        <f t="shared" si="14"/>
        <v>497.79964049282029</v>
      </c>
      <c r="CY55" s="59">
        <f ca="1">AVERAGE(OFFSET($CX$3,0,0,'Données projet'!$E$13+1,1))-AVERAGE(OFFSET($H$3,0,0,'Données projet'!$E$13+1,1))</f>
        <v>137.59122085719031</v>
      </c>
      <c r="CZ55" s="59">
        <f t="shared" si="42"/>
        <v>130.1134470448718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22.633383512588175</v>
      </c>
      <c r="DG55" s="21">
        <f>EXP(-LN(2)/25)*DG54+(1-EXP(-LN(2)/25))/(LN(2)/25)*Calculateur!DB55*Calculateur!DD55*VLOOKUP('Données projet'!$B$13,Paramètres!$A$1:$I$89,3,0)*0.475*44/12</f>
        <v>6.8300286369290992</v>
      </c>
      <c r="DH55" s="21">
        <f>EXP(-LN(2)/2)*DH54+(1-EXP(-LN(2)/2))/(LN(2)/2)*DB55*DE55*VLOOKUP('Données projet'!$B$13,Paramètres!$A$1:$I$89,3,0)*0.475*44/12</f>
        <v>1.628017400144774</v>
      </c>
      <c r="DI55" s="22">
        <f t="shared" si="15"/>
        <v>31.091429549662049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7.833333333333333</v>
      </c>
      <c r="DO55" s="12">
        <f>IF('Données projet'!$A$166&gt;35,DO54+DN55-DW54,IF(A55&lt;'Données projet'!$A$166,$DL$205^A55,IF(A55='Données projet'!$A$166,'Données projet'!$B$166,DO54+DN55-DW54)))</f>
        <v>147.33333333333334</v>
      </c>
      <c r="DP55" s="17">
        <f>DO55*VLOOKUP('Données projet'!$B$14,Paramètres!$A$1:$I$89,3,0)*VLOOKUP('Données projet'!$B$14,Paramètres!$A$1:$I$89,5,0)</f>
        <v>149.39600000000002</v>
      </c>
      <c r="DQ55" s="13">
        <f t="shared" si="43"/>
        <v>38.441292237748343</v>
      </c>
      <c r="DR55" s="20">
        <f t="shared" si="16"/>
        <v>327.14995064741169</v>
      </c>
      <c r="DS55" s="59">
        <f t="shared" si="17"/>
        <v>620.483283980745</v>
      </c>
      <c r="DT55" s="59">
        <f ca="1">AVERAGE(OFFSET($DS$3,0,0,'Données projet'!$E$14+1,1))-AVERAGE(OFFSET($H$3,0,0,'Données projet'!$E$14+1,1))</f>
        <v>313.90901812281373</v>
      </c>
      <c r="DU55" s="59">
        <f t="shared" si="44"/>
        <v>210.54265725995265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17.201875000000001</v>
      </c>
      <c r="EJ55" s="12">
        <f>IF('Données projet'!$A$192&gt;35,EJ54+EI55-ER54,IF(A55&lt;'Données projet'!$A$192,$EG$205^A55,IF(A55='Données projet'!$A$192,'Données projet'!$B$192,EJ54+EI55-ER54)))</f>
        <v>438.14372106481483</v>
      </c>
      <c r="EK55" s="17">
        <f>EJ55*VLOOKUP('Données projet'!$B$15,Paramètres!$A$1:$I$89,3,0)*VLOOKUP('Données projet'!$B$15,Paramètres!$A$1:$I$89,5,0)</f>
        <v>348.58714447916668</v>
      </c>
      <c r="EL55" s="13">
        <f t="shared" si="45"/>
        <v>81.27152116173697</v>
      </c>
      <c r="EM55" s="20">
        <f t="shared" si="19"/>
        <v>748.6705093245738</v>
      </c>
      <c r="EN55" s="59">
        <f t="shared" si="20"/>
        <v>1042.0038426579072</v>
      </c>
      <c r="EO55" s="59">
        <f ca="1">AVERAGE(OFFSET($EN$3,0,0,'Données projet'!$E$15+1,1))-AVERAGE(OFFSET($H$3,0,0,'Données projet'!$E$15+1,1))</f>
        <v>316.52407313312403</v>
      </c>
      <c r="EP55" s="59">
        <f t="shared" si="46"/>
        <v>340.55949748167382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34.694906261289042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34.694906261289042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13.93250000000001</v>
      </c>
      <c r="FE55" s="12">
        <f>IF('Données projet'!$A$218&gt;35,FE54+FD55-FM54,IF(A55&lt;'Données projet'!$A$218,$FB$205^A55,IF(A55='Données projet'!$A$218,'Données projet'!$B$218,FE54+FD55-FM54)))</f>
        <v>350.7220023148148</v>
      </c>
      <c r="FF55" s="17">
        <f>FE55*VLOOKUP('Données projet'!$B$16,Paramètres!$A$1:$I$89,3,0)*VLOOKUP('Données projet'!$B$16,Paramètres!$A$1:$I$89,5,0)</f>
        <v>229.79305591666665</v>
      </c>
      <c r="FG55" s="13">
        <f t="shared" si="47"/>
        <v>56.237933038015726</v>
      </c>
      <c r="FH55" s="20">
        <f t="shared" si="22"/>
        <v>498.17063909607168</v>
      </c>
      <c r="FI55" s="59">
        <f t="shared" si="23"/>
        <v>791.50397242940494</v>
      </c>
      <c r="FJ55" s="59">
        <f ca="1">AVERAGE(OFFSET($FI$3,0,0,'Données projet'!$E$16+1,1))-AVERAGE(OFFSET($H$3,0,0,'Données projet'!$E$16+1,1))</f>
        <v>199.99826357281154</v>
      </c>
      <c r="FK55" s="59">
        <f t="shared" si="48"/>
        <v>214.67424457475136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18.481675157099154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18.481675157099154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19.2</v>
      </c>
      <c r="N56" s="13">
        <f>IF('Données projet'!$A$36&gt;35,N55+M56-V55,IF(A56&lt;'Données projet'!$A$36,$K$205^A56,IF(A56='Données projet'!$A$36,'Données projet'!$B$36,N55+M56-V55)))</f>
        <v>424.59999999999991</v>
      </c>
      <c r="O56" s="13">
        <f>N56*VLOOKUP('Données projet'!$B$9,Paramètres!$A$1:$I$89,3,0)*VLOOKUP('Données projet'!$B$9,Paramètres!$A$1:$I$89,5,0)</f>
        <v>253.91079999999997</v>
      </c>
      <c r="P56" s="13">
        <f t="shared" si="33"/>
        <v>61.422621781167194</v>
      </c>
      <c r="Q56" s="20">
        <f t="shared" si="53"/>
        <v>549.20570960219936</v>
      </c>
      <c r="R56" s="59">
        <f t="shared" si="0"/>
        <v>842.53904293553273</v>
      </c>
      <c r="S56" s="59">
        <f ca="1">AVERAGE(OFFSET($R$3,0,0,'Données projet'!$E$9+1,1))-AVERAGE(OFFSET($H$3,0,0,'Données projet'!$E$9+1,1))</f>
        <v>284.60021367910457</v>
      </c>
      <c r="T56" s="59">
        <f t="shared" si="34"/>
        <v>301.41905904220812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57.791521532131519</v>
      </c>
      <c r="AA56" s="21">
        <f>EXP(-LN(2)/25)*AA55+(1-EXP(-LN(2)/25))/(LN(2)/25)*Calculateur!V56*Calculateur!X56*VLOOKUP('Données projet'!$B$9,Paramètres!$A$1:$I$89,3,0)*0.475*44/12</f>
        <v>13.459370146797916</v>
      </c>
      <c r="AB56" s="21">
        <f>EXP(-LN(2)/2)*AB55+(1-EXP(-LN(2)/2))/(LN(2)/2)*V56*Y56*VLOOKUP('Données projet'!$B$9,Paramètres!$A$1:$I$89,3,0)*0.475*44/12</f>
        <v>1.8624138084070996</v>
      </c>
      <c r="AC56" s="22">
        <f t="shared" si="3"/>
        <v>73.113305487336532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17.625</v>
      </c>
      <c r="AI56" s="13">
        <f>IF('Données projet'!$A$62&gt;35,AI55+AH56-AQ55,IF(A56&lt;'Données projet'!$A$62,$AF$205^A56,IF(A56='Données projet'!$A$62,'Données projet'!$B$62,AI55+AH56-AQ55)))</f>
        <v>351.87500000000006</v>
      </c>
      <c r="AJ56" s="13">
        <f>AI56*VLOOKUP('Données projet'!$B$10,Paramètres!$A$1:$I$89,3,0)*VLOOKUP('Données projet'!$B$10,Paramètres!$A$1:$I$89,5,0)</f>
        <v>210.42125000000007</v>
      </c>
      <c r="AK56" s="13">
        <f t="shared" si="35"/>
        <v>52.027628682866947</v>
      </c>
      <c r="AL56" s="20">
        <f t="shared" si="4"/>
        <v>457.09846370599331</v>
      </c>
      <c r="AM56" s="59">
        <f t="shared" si="5"/>
        <v>750.43179703932663</v>
      </c>
      <c r="AN56" s="59">
        <f ca="1">AVERAGE(OFFSET($AM$3,0,0,'Données projet'!$E$10+1,1))-AVERAGE(OFFSET($H$3,0,0,'Données projet'!$E$10+1,1))</f>
        <v>294.45857786714919</v>
      </c>
      <c r="AO56" s="59">
        <f t="shared" si="36"/>
        <v>221.9773436301067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44.144516734787679</v>
      </c>
      <c r="AV56" s="21">
        <f>EXP(-LN(2)/25)*AV55+(1-EXP(-LN(2)/25))/(LN(2)/25)*Calculateur!AQ56*Calculateur!AS56*VLOOKUP('Données projet'!$B$10,Paramètres!$A$1:$I$89,3,0)*0.475*44/12</f>
        <v>10.959680561645825</v>
      </c>
      <c r="AW56" s="21">
        <f>EXP(-LN(2)/2)*AW55+(1-EXP(-LN(2)/2))/(LN(2)/2)*AQ56*AT56*VLOOKUP('Données projet'!$B$10,Paramètres!$A$1:$I$89,3,0)*0.475*44/12</f>
        <v>1.9526251386858366</v>
      </c>
      <c r="AX56" s="21">
        <f t="shared" si="6"/>
        <v>57.056822435119344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12.6</v>
      </c>
      <c r="BD56" s="12">
        <f>IF('Données projet'!$A$88&gt;35,BD55+BC56-BL55,IF(A56&lt;'Données projet'!$A$88,$BA$205^A56,IF(A56='Données projet'!$A$88,'Données projet'!$B$88,BD55+BC56-BL55)))</f>
        <v>539.8000000000003</v>
      </c>
      <c r="BE56" s="13">
        <f>BD56*VLOOKUP('Données projet'!$B$11,Paramètres!$A$1:$I$89,3,0)*VLOOKUP('Données projet'!$B$11,Paramètres!$A$1:$I$89,5,0)</f>
        <v>301.74820000000017</v>
      </c>
      <c r="BF56" s="13">
        <f t="shared" si="37"/>
        <v>71.542829318170703</v>
      </c>
      <c r="BG56" s="20">
        <f t="shared" si="7"/>
        <v>650.14854272914761</v>
      </c>
      <c r="BH56" s="59">
        <f t="shared" si="8"/>
        <v>943.48187606248098</v>
      </c>
      <c r="BI56" s="59">
        <f ca="1">AVERAGE(OFFSET($BH$3,0,0,'Données projet'!$E$11+1,1))-AVERAGE(OFFSET($H$3,0,0,'Données projet'!$E$11+1,1))</f>
        <v>304.91676868833792</v>
      </c>
      <c r="BJ56" s="59">
        <f t="shared" si="38"/>
        <v>365.95065044620048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55.38664035590179</v>
      </c>
      <c r="BQ56" s="21">
        <f>EXP(-LN(2)/25)*BQ55+(1-EXP(-LN(2)/25))/(LN(2)/25)*Calculateur!BL56*Calculateur!BN56*VLOOKUP('Données projet'!$B$11,Paramètres!$A$1:$I$89,3,0)*0.475*44/12</f>
        <v>13.525161172572064</v>
      </c>
      <c r="BR56" s="21">
        <f>EXP(-LN(2)/2)*BR55+(1-EXP(-LN(2)/2))/(LN(2)/2)*BL56*BO56*VLOOKUP('Données projet'!$B$11,Paramètres!$A$1:$I$89,3,0)*0.475*44/12</f>
        <v>1.6011939397401687</v>
      </c>
      <c r="BS56" s="22">
        <f t="shared" si="9"/>
        <v>70.512995468214029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13.5</v>
      </c>
      <c r="BY56" s="12">
        <f>IF('Données projet'!$A$114&gt;35,BY55+BX56-CG55,IF(A56&lt;'Données projet'!$A$114,$BV$205^A56,IF(A56='Données projet'!$A$114,'Données projet'!$B$114,BY55+BX56-CG55)))</f>
        <v>308.49999999999989</v>
      </c>
      <c r="BZ56" s="13">
        <f>BY56*VLOOKUP('Données projet'!$B$12,Paramètres!$A$1:$I$89,3,0)*VLOOKUP('Données projet'!$B$12,Paramètres!$A$1:$I$89,5,0)</f>
        <v>144.37799999999996</v>
      </c>
      <c r="CA56" s="13">
        <f t="shared" si="39"/>
        <v>37.298139369272413</v>
      </c>
      <c r="CB56" s="20">
        <f t="shared" si="10"/>
        <v>316.41927606814937</v>
      </c>
      <c r="CC56" s="59">
        <f t="shared" si="11"/>
        <v>609.75260940148269</v>
      </c>
      <c r="CD56" s="59">
        <f ca="1">AVERAGE(OFFSET($CC$3,0,0,'Données projet'!$E$12+1,1))-AVERAGE(OFFSET($H$3,0,0,'Données projet'!$E$12+1,1))</f>
        <v>259.87681411271632</v>
      </c>
      <c r="CE56" s="59">
        <f t="shared" si="40"/>
        <v>191.8684235641158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31.921904134220995</v>
      </c>
      <c r="CL56" s="21">
        <f>EXP(-LN(2)/25)*CL55+(1-EXP(-LN(2)/25))/(LN(2)/25)*Calculateur!CG56*Calculateur!CI56*VLOOKUP('Données projet'!$B$12,Paramètres!$A$1:$I$89,3,0)*0.475*44/12</f>
        <v>9.5681329095105987</v>
      </c>
      <c r="CM56" s="21">
        <f>EXP(-LN(2)/2)*CM55+(1-EXP(-LN(2)/2))/(LN(2)/2)*CG56*CJ56*VLOOKUP('Données projet'!$B$12,Paramètres!$A$1:$I$89,3,0)*0.475*44/12</f>
        <v>1.6747398340653192</v>
      </c>
      <c r="CN56" s="22">
        <f t="shared" si="12"/>
        <v>43.164776877796911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7.9999999999999973</v>
      </c>
      <c r="CT56" s="12">
        <f>IF('Données projet'!$A$140&gt;35,CT55+CS56-DB55,IF(A56&lt;'Données projet'!$A$140,$CQ$205^A56,IF(A56='Données projet'!$A$140,'Données projet'!$B$140,CT55+CS56-DB55)))</f>
        <v>205.184</v>
      </c>
      <c r="CU56" s="17">
        <f>CT56*VLOOKUP('Données projet'!$B$13,Paramètres!$A$1:$I$89,3,0)*VLOOKUP('Données projet'!$B$13,Paramètres!$A$1:$I$89,5,0)</f>
        <v>96.026111999999998</v>
      </c>
      <c r="CV56" s="13">
        <f t="shared" si="41"/>
        <v>26.01305086684911</v>
      </c>
      <c r="CW56" s="20">
        <f t="shared" si="13"/>
        <v>212.55154199309553</v>
      </c>
      <c r="CX56" s="59">
        <f t="shared" si="14"/>
        <v>505.88487532642887</v>
      </c>
      <c r="CY56" s="59">
        <f ca="1">AVERAGE(OFFSET($CX$3,0,0,'Données projet'!$E$13+1,1))-AVERAGE(OFFSET($H$3,0,0,'Données projet'!$E$13+1,1))</f>
        <v>137.59122085719031</v>
      </c>
      <c r="CZ56" s="59">
        <f t="shared" si="42"/>
        <v>130.1134470448718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22.189556666907134</v>
      </c>
      <c r="DG56" s="21">
        <f>EXP(-LN(2)/25)*DG55+(1-EXP(-LN(2)/25))/(LN(2)/25)*Calculateur!DB56*Calculateur!DD56*VLOOKUP('Données projet'!$B$13,Paramètres!$A$1:$I$89,3,0)*0.475*44/12</f>
        <v>6.6432611446766776</v>
      </c>
      <c r="DH56" s="21">
        <f>EXP(-LN(2)/2)*DH55+(1-EXP(-LN(2)/2))/(LN(2)/2)*DB56*DE56*VLOOKUP('Données projet'!$B$13,Paramètres!$A$1:$I$89,3,0)*0.475*44/12</f>
        <v>1.1511821435320628</v>
      </c>
      <c r="DI56" s="22">
        <f t="shared" si="15"/>
        <v>29.983999955115873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7.833333333333333</v>
      </c>
      <c r="DO56" s="12">
        <f>IF('Données projet'!$A$166&gt;35,DO55+DN56-DW55,IF(A56&lt;'Données projet'!$A$166,$DL$205^A56,IF(A56='Données projet'!$A$166,'Données projet'!$B$166,DO55+DN56-DW55)))</f>
        <v>155.16666666666669</v>
      </c>
      <c r="DP56" s="17">
        <f>DO56*VLOOKUP('Données projet'!$B$14,Paramètres!$A$1:$I$89,3,0)*VLOOKUP('Données projet'!$B$14,Paramètres!$A$1:$I$89,5,0)</f>
        <v>157.33900000000003</v>
      </c>
      <c r="DQ56" s="13">
        <f t="shared" si="43"/>
        <v>40.241734848499483</v>
      </c>
      <c r="DR56" s="20">
        <f t="shared" si="16"/>
        <v>344.11977986113669</v>
      </c>
      <c r="DS56" s="59">
        <f t="shared" si="17"/>
        <v>637.45311319447001</v>
      </c>
      <c r="DT56" s="59">
        <f ca="1">AVERAGE(OFFSET($DS$3,0,0,'Données projet'!$E$14+1,1))-AVERAGE(OFFSET($H$3,0,0,'Données projet'!$E$14+1,1))</f>
        <v>313.90901812281373</v>
      </c>
      <c r="DU56" s="59">
        <f t="shared" si="44"/>
        <v>210.54265725995265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17.201875000000001</v>
      </c>
      <c r="EJ56" s="12">
        <f>IF('Données projet'!$A$192&gt;35,EJ55+EI56-ER55,IF(A56&lt;'Données projet'!$A$192,$EG$205^A56,IF(A56='Données projet'!$A$192,'Données projet'!$B$192,EJ55+EI56-ER55)))</f>
        <v>455.3455960648148</v>
      </c>
      <c r="EK56" s="17">
        <f>EJ56*VLOOKUP('Données projet'!$B$15,Paramètres!$A$1:$I$89,3,0)*VLOOKUP('Données projet'!$B$15,Paramètres!$A$1:$I$89,5,0)</f>
        <v>362.27295622916671</v>
      </c>
      <c r="EL56" s="13">
        <f t="shared" si="45"/>
        <v>84.084549055175557</v>
      </c>
      <c r="EM56" s="20">
        <f t="shared" si="19"/>
        <v>777.40598837022935</v>
      </c>
      <c r="EN56" s="59">
        <f t="shared" si="20"/>
        <v>1070.7393217035626</v>
      </c>
      <c r="EO56" s="59">
        <f ca="1">AVERAGE(OFFSET($EN$3,0,0,'Données projet'!$E$15+1,1))-AVERAGE(OFFSET($H$3,0,0,'Données projet'!$E$15+1,1))</f>
        <v>316.52407313312403</v>
      </c>
      <c r="EP56" s="59">
        <f t="shared" si="46"/>
        <v>340.55949748167382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34.014560311308429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34.014560311308429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13.93250000000001</v>
      </c>
      <c r="FE56" s="12">
        <f>IF('Données projet'!$A$218&gt;35,FE55+FD56-FM55,IF(A56&lt;'Données projet'!$A$218,$FB$205^A56,IF(A56='Données projet'!$A$218,'Données projet'!$B$218,FE55+FD56-FM55)))</f>
        <v>364.65450231481481</v>
      </c>
      <c r="FF56" s="17">
        <f>FE56*VLOOKUP('Données projet'!$B$16,Paramètres!$A$1:$I$89,3,0)*VLOOKUP('Données projet'!$B$16,Paramètres!$A$1:$I$89,5,0)</f>
        <v>238.92162991666666</v>
      </c>
      <c r="FG56" s="13">
        <f t="shared" si="47"/>
        <v>58.207453130493946</v>
      </c>
      <c r="FH56" s="20">
        <f t="shared" si="22"/>
        <v>517.4998196404714</v>
      </c>
      <c r="FI56" s="59">
        <f t="shared" si="23"/>
        <v>810.83315297380477</v>
      </c>
      <c r="FJ56" s="59">
        <f ca="1">AVERAGE(OFFSET($FI$3,0,0,'Données projet'!$E$16+1,1))-AVERAGE(OFFSET($H$3,0,0,'Données projet'!$E$16+1,1))</f>
        <v>199.99826357281154</v>
      </c>
      <c r="FK56" s="59">
        <f t="shared" si="48"/>
        <v>214.67424457475136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18.119260779977196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18.119260779977196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19.2</v>
      </c>
      <c r="N57" s="13">
        <f>IF('Données projet'!$A$36&gt;35,N56+M57-V56,IF(A57&lt;'Données projet'!$A$36,$K$205^A57,IF(A57='Données projet'!$A$36,'Données projet'!$B$36,N56+M57-V56)))</f>
        <v>443.7999999999999</v>
      </c>
      <c r="O57" s="13">
        <f>N57*VLOOKUP('Données projet'!$B$9,Paramètres!$A$1:$I$89,3,0)*VLOOKUP('Données projet'!$B$9,Paramètres!$A$1:$I$89,5,0)</f>
        <v>265.39239999999995</v>
      </c>
      <c r="P57" s="13">
        <f t="shared" si="33"/>
        <v>63.870442862391762</v>
      </c>
      <c r="Q57" s="20">
        <f t="shared" si="53"/>
        <v>573.46611798533218</v>
      </c>
      <c r="R57" s="59">
        <f t="shared" si="0"/>
        <v>866.79945131866543</v>
      </c>
      <c r="S57" s="59">
        <f ca="1">AVERAGE(OFFSET($R$3,0,0,'Données projet'!$E$9+1,1))-AVERAGE(OFFSET($H$3,0,0,'Données projet'!$E$9+1,1))</f>
        <v>284.60021367910457</v>
      </c>
      <c r="T57" s="59">
        <f t="shared" si="34"/>
        <v>301.41905904220812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56.658265044233971</v>
      </c>
      <c r="AA57" s="21">
        <f>EXP(-LN(2)/25)*AA56+(1-EXP(-LN(2)/25))/(LN(2)/25)*Calculateur!V57*Calculateur!X57*VLOOKUP('Données projet'!$B$9,Paramètres!$A$1:$I$89,3,0)*0.475*44/12</f>
        <v>13.091322962336212</v>
      </c>
      <c r="AB57" s="21">
        <f>EXP(-LN(2)/2)*AB56+(1-EXP(-LN(2)/2))/(LN(2)/2)*V57*Y57*VLOOKUP('Données projet'!$B$9,Paramètres!$A$1:$I$89,3,0)*0.475*44/12</f>
        <v>1.3169254333001237</v>
      </c>
      <c r="AC57" s="22">
        <f t="shared" si="3"/>
        <v>71.066513439870306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17.625</v>
      </c>
      <c r="AI57" s="13">
        <f>IF('Données projet'!$A$62&gt;35,AI56+AH57-AQ56,IF(A57&lt;'Données projet'!$A$62,$AF$205^A57,IF(A57='Données projet'!$A$62,'Données projet'!$B$62,AI56+AH57-AQ56)))</f>
        <v>369.50000000000006</v>
      </c>
      <c r="AJ57" s="13">
        <f>AI57*VLOOKUP('Données projet'!$B$10,Paramètres!$A$1:$I$89,3,0)*VLOOKUP('Données projet'!$B$10,Paramètres!$A$1:$I$89,5,0)</f>
        <v>220.96100000000004</v>
      </c>
      <c r="AK57" s="13">
        <f t="shared" si="35"/>
        <v>54.323701308314739</v>
      </c>
      <c r="AL57" s="20">
        <f t="shared" si="4"/>
        <v>479.45418811198152</v>
      </c>
      <c r="AM57" s="59">
        <f t="shared" si="5"/>
        <v>772.78752144531484</v>
      </c>
      <c r="AN57" s="59">
        <f ca="1">AVERAGE(OFFSET($AM$3,0,0,'Données projet'!$E$10+1,1))-AVERAGE(OFFSET($H$3,0,0,'Données projet'!$E$10+1,1))</f>
        <v>294.45857786714919</v>
      </c>
      <c r="AO57" s="59">
        <f t="shared" si="36"/>
        <v>221.9773436301067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43.278869687115026</v>
      </c>
      <c r="AV57" s="21">
        <f>EXP(-LN(2)/25)*AV56+(1-EXP(-LN(2)/25))/(LN(2)/25)*Calculateur!AQ57*Calculateur!AS57*VLOOKUP('Données projet'!$B$10,Paramètres!$A$1:$I$89,3,0)*0.475*44/12</f>
        <v>10.659987520343069</v>
      </c>
      <c r="AW57" s="21">
        <f>EXP(-LN(2)/2)*AW56+(1-EXP(-LN(2)/2))/(LN(2)/2)*AQ57*AT57*VLOOKUP('Données projet'!$B$10,Paramètres!$A$1:$I$89,3,0)*0.475*44/12</f>
        <v>1.3807144766800781</v>
      </c>
      <c r="AX57" s="21">
        <f t="shared" si="6"/>
        <v>55.319571684138175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12.6</v>
      </c>
      <c r="BD57" s="12">
        <f>IF('Données projet'!$A$88&gt;35,BD56+BC57-BL56,IF(A57&lt;'Données projet'!$A$88,$BA$205^A57,IF(A57='Données projet'!$A$88,'Données projet'!$B$88,BD56+BC57-BL56)))</f>
        <v>552.40000000000032</v>
      </c>
      <c r="BE57" s="13">
        <f>BD57*VLOOKUP('Données projet'!$B$11,Paramètres!$A$1:$I$89,3,0)*VLOOKUP('Données projet'!$B$11,Paramètres!$A$1:$I$89,5,0)</f>
        <v>308.79160000000019</v>
      </c>
      <c r="BF57" s="13">
        <f t="shared" si="37"/>
        <v>73.016410820210879</v>
      </c>
      <c r="BG57" s="20">
        <f t="shared" si="7"/>
        <v>664.98228551186753</v>
      </c>
      <c r="BH57" s="59">
        <f t="shared" si="8"/>
        <v>958.31561884520079</v>
      </c>
      <c r="BI57" s="59">
        <f ca="1">AVERAGE(OFFSET($BH$3,0,0,'Données projet'!$E$11+1,1))-AVERAGE(OFFSET($H$3,0,0,'Données projet'!$E$11+1,1))</f>
        <v>304.91676868833792</v>
      </c>
      <c r="BJ57" s="59">
        <f t="shared" si="38"/>
        <v>365.95065044620048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54.300542121037424</v>
      </c>
      <c r="BQ57" s="21">
        <f>EXP(-LN(2)/25)*BQ56+(1-EXP(-LN(2)/25))/(LN(2)/25)*Calculateur!BL57*Calculateur!BN57*VLOOKUP('Données projet'!$B$11,Paramètres!$A$1:$I$89,3,0)*0.475*44/12</f>
        <v>13.155314929050768</v>
      </c>
      <c r="BR57" s="21">
        <f>EXP(-LN(2)/2)*BR56+(1-EXP(-LN(2)/2))/(LN(2)/2)*BL57*BO57*VLOOKUP('Données projet'!$B$11,Paramètres!$A$1:$I$89,3,0)*0.475*44/12</f>
        <v>1.1322150927850774</v>
      </c>
      <c r="BS57" s="22">
        <f t="shared" si="9"/>
        <v>68.588072142873258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13.5</v>
      </c>
      <c r="BY57" s="12">
        <f>IF('Données projet'!$A$114&gt;35,BY56+BX57-CG56,IF(A57&lt;'Données projet'!$A$114,$BV$205^A57,IF(A57='Données projet'!$A$114,'Données projet'!$B$114,BY56+BX57-CG56)))</f>
        <v>321.99999999999989</v>
      </c>
      <c r="BZ57" s="13">
        <f>BY57*VLOOKUP('Données projet'!$B$12,Paramètres!$A$1:$I$89,3,0)*VLOOKUP('Données projet'!$B$12,Paramètres!$A$1:$I$89,5,0)</f>
        <v>150.69599999999994</v>
      </c>
      <c r="CA57" s="13">
        <f t="shared" si="39"/>
        <v>38.736711478840633</v>
      </c>
      <c r="CB57" s="20">
        <f t="shared" si="10"/>
        <v>329.92863915898073</v>
      </c>
      <c r="CC57" s="59">
        <f t="shared" si="11"/>
        <v>623.26197249231404</v>
      </c>
      <c r="CD57" s="59">
        <f ca="1">AVERAGE(OFFSET($CC$3,0,0,'Données projet'!$E$12+1,1))-AVERAGE(OFFSET($H$3,0,0,'Données projet'!$E$12+1,1))</f>
        <v>259.87681411271632</v>
      </c>
      <c r="CE57" s="59">
        <f t="shared" si="40"/>
        <v>191.8684235641158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31.295935064587898</v>
      </c>
      <c r="CL57" s="21">
        <f>EXP(-LN(2)/25)*CL56+(1-EXP(-LN(2)/25))/(LN(2)/25)*Calculateur!CG57*Calculateur!CI57*VLOOKUP('Données projet'!$B$12,Paramètres!$A$1:$I$89,3,0)*0.475*44/12</f>
        <v>9.3064918119337907</v>
      </c>
      <c r="CM57" s="21">
        <f>EXP(-LN(2)/2)*CM56+(1-EXP(-LN(2)/2))/(LN(2)/2)*CG57*CJ57*VLOOKUP('Données projet'!$B$12,Paramètres!$A$1:$I$89,3,0)*0.475*44/12</f>
        <v>1.1842198933908208</v>
      </c>
      <c r="CN57" s="22">
        <f t="shared" si="12"/>
        <v>41.786646769912508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7.9999999999999973</v>
      </c>
      <c r="CT57" s="12">
        <f>IF('Données projet'!$A$140&gt;35,CT56+CS57-DB56,IF(A57&lt;'Données projet'!$A$140,$CQ$205^A57,IF(A57='Données projet'!$A$140,'Données projet'!$B$140,CT56+CS57-DB56)))</f>
        <v>213.184</v>
      </c>
      <c r="CU57" s="17">
        <f>CT57*VLOOKUP('Données projet'!$B$13,Paramètres!$A$1:$I$89,3,0)*VLOOKUP('Données projet'!$B$13,Paramètres!$A$1:$I$89,5,0)</f>
        <v>99.770111999999997</v>
      </c>
      <c r="CV57" s="13">
        <f t="shared" si="41"/>
        <v>26.90722256852553</v>
      </c>
      <c r="CW57" s="20">
        <f t="shared" si="13"/>
        <v>220.62969104018194</v>
      </c>
      <c r="CX57" s="59">
        <f t="shared" si="14"/>
        <v>513.96302437351528</v>
      </c>
      <c r="CY57" s="59">
        <f ca="1">AVERAGE(OFFSET($CX$3,0,0,'Données projet'!$E$13+1,1))-AVERAGE(OFFSET($H$3,0,0,'Données projet'!$E$13+1,1))</f>
        <v>137.59122085719031</v>
      </c>
      <c r="CZ57" s="59">
        <f t="shared" si="42"/>
        <v>130.1134470448718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21.754432994962251</v>
      </c>
      <c r="DG57" s="21">
        <f>EXP(-LN(2)/25)*DG56+(1-EXP(-LN(2)/25))/(LN(2)/25)*Calculateur!DB57*Calculateur!DD57*VLOOKUP('Données projet'!$B$13,Paramètres!$A$1:$I$89,3,0)*0.475*44/12</f>
        <v>6.4616008193215739</v>
      </c>
      <c r="DH57" s="21">
        <f>EXP(-LN(2)/2)*DH56+(1-EXP(-LN(2)/2))/(LN(2)/2)*DB57*DE57*VLOOKUP('Données projet'!$B$13,Paramètres!$A$1:$I$89,3,0)*0.475*44/12</f>
        <v>0.81400870007238713</v>
      </c>
      <c r="DI57" s="22">
        <f t="shared" si="15"/>
        <v>29.030042514356214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>
        <f>VLOOKUP(A57,'Données projet'!$A$165:$I$185,2,0)</f>
        <v>163</v>
      </c>
      <c r="DM57" s="12">
        <f>VLOOKUP(A57,'Données projet'!$A$165:$I$185,9,0)</f>
        <v>7.833333333333333</v>
      </c>
      <c r="DN57" s="12">
        <f t="array" ref="DN57">INDEX(DM:DM,MIN(IF(ISNUMBER(DM57:DM253),ROW(DM57:DM253),"")))</f>
        <v>7.833333333333333</v>
      </c>
      <c r="DO57" s="12">
        <f>IF('Données projet'!$A$166&gt;35,DO56+DN57-DW56,IF(A57&lt;'Données projet'!$A$166,$DL$205^A57,IF(A57='Données projet'!$A$166,'Données projet'!$B$166,DO56+DN57-DW56)))</f>
        <v>163.00000000000003</v>
      </c>
      <c r="DP57" s="17">
        <f>DO57*VLOOKUP('Données projet'!$B$14,Paramètres!$A$1:$I$89,3,0)*VLOOKUP('Données projet'!$B$14,Paramètres!$A$1:$I$89,5,0)</f>
        <v>165.28200000000004</v>
      </c>
      <c r="DQ57" s="13">
        <f t="shared" si="43"/>
        <v>42.031623878204478</v>
      </c>
      <c r="DR57" s="20">
        <f t="shared" si="16"/>
        <v>361.07122825453945</v>
      </c>
      <c r="DS57" s="59">
        <f t="shared" si="17"/>
        <v>654.40456158787276</v>
      </c>
      <c r="DT57" s="59">
        <f ca="1">AVERAGE(OFFSET($DS$3,0,0,'Données projet'!$E$14+1,1))-AVERAGE(OFFSET($H$3,0,0,'Données projet'!$E$14+1,1))</f>
        <v>313.90901812281373</v>
      </c>
      <c r="DU57" s="59">
        <f t="shared" si="44"/>
        <v>210.54265725995265</v>
      </c>
      <c r="DV57" s="15">
        <f>IF(ISNA(VLOOKUP(A57,'Données projet'!$A$165:$I$185,3,0)),0,VLOOKUP(A57,'Données projet'!$A$165:$I$185,3,0))</f>
        <v>4</v>
      </c>
      <c r="DW57" s="15">
        <f>IF(ISNA(VLOOKUP(A57,'Données projet'!$A$165:$I$185,4,0)),0,VLOOKUP(A57,'Données projet'!$A$165:$I$185,4,0))</f>
        <v>31</v>
      </c>
      <c r="DX57" s="16">
        <f>IF(ISNA(VLOOKUP(A57,'Données projet'!$A$165:$I$185,5,0)),0%,VLOOKUP(A57,'Données projet'!$A$165:$I$185,5,0)*VLOOKUP('Données projet'!$B$14,Paramètres!$A$1:$I$89,7,0))</f>
        <v>0.30099999999999999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10.459556128981866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10.459556128981866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17.201875000000001</v>
      </c>
      <c r="EJ57" s="12">
        <f>IF('Données projet'!$A$192&gt;35,EJ56+EI57-ER56,IF(A57&lt;'Données projet'!$A$192,$EG$205^A57,IF(A57='Données projet'!$A$192,'Données projet'!$B$192,EJ56+EI57-ER56)))</f>
        <v>472.54747106481477</v>
      </c>
      <c r="EK57" s="17">
        <f>EJ57*VLOOKUP('Données projet'!$B$15,Paramètres!$A$1:$I$89,3,0)*VLOOKUP('Données projet'!$B$15,Paramètres!$A$1:$I$89,5,0)</f>
        <v>375.95876797916662</v>
      </c>
      <c r="EL57" s="13">
        <f t="shared" si="45"/>
        <v>86.885231232831785</v>
      </c>
      <c r="EM57" s="20">
        <f t="shared" si="19"/>
        <v>806.1199652942305</v>
      </c>
      <c r="EN57" s="59">
        <f t="shared" si="20"/>
        <v>1099.4532986275638</v>
      </c>
      <c r="EO57" s="59">
        <f ca="1">AVERAGE(OFFSET($EN$3,0,0,'Données projet'!$E$15+1,1))-AVERAGE(OFFSET($H$3,0,0,'Données projet'!$E$15+1,1))</f>
        <v>316.52407313312403</v>
      </c>
      <c r="EP57" s="59">
        <f t="shared" si="46"/>
        <v>340.55949748167382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33.347555530436878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33.347555530436878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13.93250000000001</v>
      </c>
      <c r="FE57" s="12">
        <f>IF('Données projet'!$A$218&gt;35,FE56+FD57-FM56,IF(A57&lt;'Données projet'!$A$218,$FB$205^A57,IF(A57='Données projet'!$A$218,'Données projet'!$B$218,FE56+FD57-FM56)))</f>
        <v>378.58700231481481</v>
      </c>
      <c r="FF57" s="17">
        <f>FE57*VLOOKUP('Données projet'!$B$16,Paramètres!$A$1:$I$89,3,0)*VLOOKUP('Données projet'!$B$16,Paramètres!$A$1:$I$89,5,0)</f>
        <v>248.05020391666665</v>
      </c>
      <c r="FG57" s="13">
        <f t="shared" si="47"/>
        <v>60.168231297151074</v>
      </c>
      <c r="FH57" s="20">
        <f t="shared" si="22"/>
        <v>536.81377466406582</v>
      </c>
      <c r="FI57" s="59">
        <f t="shared" si="23"/>
        <v>830.14710799739919</v>
      </c>
      <c r="FJ57" s="59">
        <f ca="1">AVERAGE(OFFSET($FI$3,0,0,'Données projet'!$E$16+1,1))-AVERAGE(OFFSET($H$3,0,0,'Données projet'!$E$16+1,1))</f>
        <v>199.99826357281154</v>
      </c>
      <c r="FK57" s="59">
        <f t="shared" si="48"/>
        <v>214.67424457475136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17.763953127739658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17.763953127739658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463</v>
      </c>
      <c r="L58" s="12">
        <f>VLOOKUP(A58,'Données projet'!$A$35:$I$55,9,0)</f>
        <v>19.2</v>
      </c>
      <c r="M58" s="12">
        <f t="array" ref="M58">INDEX(L:L,MIN(IF(ISNUMBER(L58:L254),ROW(L58:L254),"")))</f>
        <v>19.2</v>
      </c>
      <c r="N58" s="13">
        <f>IF('Données projet'!$A$36&gt;35,N57+M58-V57,IF(A58&lt;'Données projet'!$A$36,$K$205^A58,IF(A58='Données projet'!$A$36,'Données projet'!$B$36,N57+M58-V57)))</f>
        <v>462.99999999999989</v>
      </c>
      <c r="O58" s="13">
        <f>N58*VLOOKUP('Données projet'!$B$9,Paramètres!$A$1:$I$89,3,0)*VLOOKUP('Données projet'!$B$9,Paramètres!$A$1:$I$89,5,0)</f>
        <v>276.87399999999997</v>
      </c>
      <c r="P58" s="13">
        <f t="shared" si="33"/>
        <v>66.305964184031993</v>
      </c>
      <c r="Q58" s="20">
        <f t="shared" si="53"/>
        <v>597.70510428718899</v>
      </c>
      <c r="R58" s="59">
        <f t="shared" si="0"/>
        <v>891.03843762052225</v>
      </c>
      <c r="S58" s="59">
        <f ca="1">AVERAGE(OFFSET($R$3,0,0,'Données projet'!$E$9+1,1))-AVERAGE(OFFSET($H$3,0,0,'Données projet'!$E$9+1,1))</f>
        <v>284.60021367910457</v>
      </c>
      <c r="T58" s="59">
        <f t="shared" si="34"/>
        <v>301.41905904220812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48</v>
      </c>
      <c r="W58" s="16">
        <f>IF(ISNA(VLOOKUP(A58,'Données projet'!$A$35:$I$55,5,0)),0%,VLOOKUP(A58,'Données projet'!$A$35:$I$55,5,0)*VLOOKUP('Données projet'!$B$9,Paramètres!$A$1:$I$89,7,0))</f>
        <v>0.315</v>
      </c>
      <c r="X58" s="16">
        <f>IF(ISNA(VLOOKUP(A58,'Données projet'!$A$35:$I$55,6,0)),0%,VLOOKUP(A58,'Données projet'!$A$35:$I$55,6,0)*VLOOKUP('Données projet'!$B$9,Paramètres!$A$1:$I$89,7,0))</f>
        <v>7.5600000000000001E-2</v>
      </c>
      <c r="Y58" s="16">
        <f>IF(ISNA(VLOOKUP(A58,'Données projet'!$A$35:$I$55,7,0)),0%,VLOOKUP(A58,'Données projet'!$A$35:$I$55,7,0))</f>
        <v>0.13200000000000001</v>
      </c>
      <c r="Z58" s="21">
        <f>EXP(-LN(2)/35)*Z57+(1-EXP(-LN(2)/35))/(LN(2)/35)*V58*W58*VLOOKUP('Données projet'!$B$9,Paramètres!$A$1:$I$89,3,0)*0.475*44/12</f>
        <v>67.541708455460906</v>
      </c>
      <c r="AA58" s="21">
        <f>EXP(-LN(2)/25)*AA57+(1-EXP(-LN(2)/25))/(LN(2)/25)*Calculateur!V58*Calculateur!X58*VLOOKUP('Données projet'!$B$9,Paramètres!$A$1:$I$89,3,0)*0.475*44/12</f>
        <v>15.600680192140331</v>
      </c>
      <c r="AB58" s="21">
        <f>EXP(-LN(2)/2)*AB57+(1-EXP(-LN(2)/2))/(LN(2)/2)*V58*Y58*VLOOKUP('Données projet'!$B$9,Paramètres!$A$1:$I$89,3,0)*0.475*44/12</f>
        <v>5.2211535588059066</v>
      </c>
      <c r="AC58" s="22">
        <f t="shared" si="3"/>
        <v>88.363542206407146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17.625</v>
      </c>
      <c r="AI58" s="13">
        <f>IF('Données projet'!$A$62&gt;35,AI57+AH58-AQ57,IF(A58&lt;'Données projet'!$A$62,$AF$205^A58,IF(A58='Données projet'!$A$62,'Données projet'!$B$62,AI57+AH58-AQ57)))</f>
        <v>387.12500000000006</v>
      </c>
      <c r="AJ58" s="13">
        <f>AI58*VLOOKUP('Données projet'!$B$10,Paramètres!$A$1:$I$89,3,0)*VLOOKUP('Données projet'!$B$10,Paramètres!$A$1:$I$89,5,0)</f>
        <v>231.50075000000007</v>
      </c>
      <c r="AK58" s="13">
        <f t="shared" si="35"/>
        <v>56.607055837426749</v>
      </c>
      <c r="AL58" s="20">
        <f t="shared" si="4"/>
        <v>501.78776183351835</v>
      </c>
      <c r="AM58" s="59">
        <f t="shared" si="5"/>
        <v>795.12109516685166</v>
      </c>
      <c r="AN58" s="59">
        <f ca="1">AVERAGE(OFFSET($AM$3,0,0,'Données projet'!$E$10+1,1))-AVERAGE(OFFSET($H$3,0,0,'Données projet'!$E$10+1,1))</f>
        <v>294.45857786714919</v>
      </c>
      <c r="AO58" s="59">
        <f t="shared" si="36"/>
        <v>221.9773436301067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42.430197450054671</v>
      </c>
      <c r="AV58" s="21">
        <f>EXP(-LN(2)/25)*AV57+(1-EXP(-LN(2)/25))/(LN(2)/25)*Calculateur!AQ58*Calculateur!AS58*VLOOKUP('Données projet'!$B$10,Paramètres!$A$1:$I$89,3,0)*0.475*44/12</f>
        <v>10.368489601014907</v>
      </c>
      <c r="AW58" s="21">
        <f>EXP(-LN(2)/2)*AW57+(1-EXP(-LN(2)/2))/(LN(2)/2)*AQ58*AT58*VLOOKUP('Données projet'!$B$10,Paramètres!$A$1:$I$89,3,0)*0.475*44/12</f>
        <v>0.97631256934291855</v>
      </c>
      <c r="AX58" s="21">
        <f t="shared" si="6"/>
        <v>53.774999620412494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565</v>
      </c>
      <c r="BB58" s="12">
        <f>VLOOKUP(A58,'Données projet'!$A$87:$I$107,9,0)</f>
        <v>12.6</v>
      </c>
      <c r="BC58" s="12">
        <f t="array" ref="BC58">INDEX(BB:BB,MIN(IF(ISNUMBER(BB58:BB254),ROW(BB58:BB254),"")))</f>
        <v>12.6</v>
      </c>
      <c r="BD58" s="12">
        <f>IF('Données projet'!$A$88&gt;35,BD57+BC58-BL57,IF(A58&lt;'Données projet'!$A$88,$BA$205^A58,IF(A58='Données projet'!$A$88,'Données projet'!$B$88,BD57+BC58-BL57)))</f>
        <v>565.00000000000034</v>
      </c>
      <c r="BE58" s="13">
        <f>BD58*VLOOKUP('Données projet'!$B$11,Paramètres!$A$1:$I$89,3,0)*VLOOKUP('Données projet'!$B$11,Paramètres!$A$1:$I$89,5,0)</f>
        <v>315.83500000000021</v>
      </c>
      <c r="BF58" s="13">
        <f t="shared" si="37"/>
        <v>74.486084746410782</v>
      </c>
      <c r="BG58" s="20">
        <f t="shared" si="7"/>
        <v>679.80922259999909</v>
      </c>
      <c r="BH58" s="59">
        <f t="shared" si="8"/>
        <v>973.14255593333246</v>
      </c>
      <c r="BI58" s="59">
        <f ca="1">AVERAGE(OFFSET($BH$3,0,0,'Données projet'!$E$11+1,1))-AVERAGE(OFFSET($H$3,0,0,'Données projet'!$E$11+1,1))</f>
        <v>304.91676868833792</v>
      </c>
      <c r="BJ58" s="59">
        <f t="shared" si="38"/>
        <v>365.95065044620048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37</v>
      </c>
      <c r="BM58" s="16">
        <f>IF(ISNA(VLOOKUP(A58,'Données projet'!$A$87:$I$107,5,0)),0%,VLOOKUP(A58,'Données projet'!$A$87:$I$107,5,0)*VLOOKUP('Données projet'!$B$11,Paramètres!$A$1:$I$89,7,0))</f>
        <v>0.38500000000000001</v>
      </c>
      <c r="BN58" s="16">
        <f>IF(ISNA(VLOOKUP(A58,'Données projet'!$A$87:$I$107,6,0)),0%,VLOOKUP(A58,'Données projet'!$A$87:$I$107,6,0)*VLOOKUP('Données projet'!$B$11,Paramètres!$A$1:$I$89,7,0))</f>
        <v>9.240000000000001E-2</v>
      </c>
      <c r="BO58" s="16">
        <f>IF(ISNA(VLOOKUP(A58,'Données projet'!$A$87:$I$107,7,0)),0%,VLOOKUP(A58,'Données projet'!$A$87:$I$107,7,0))</f>
        <v>0.13200000000000001</v>
      </c>
      <c r="BP58" s="21">
        <f>EXP(-LN(2)/35)*BP57+(1-EXP(-LN(2)/35))/(LN(2)/35)*BL58*BM58*VLOOKUP('Données projet'!$B$11,Paramètres!$A$1:$I$89,3,0)*0.475*44/12</f>
        <v>63.799114673368805</v>
      </c>
      <c r="BQ58" s="21">
        <f>EXP(-LN(2)/25)*BQ57+(1-EXP(-LN(2)/25))/(LN(2)/25)*Calculateur!BL58*Calculateur!BN58*VLOOKUP('Données projet'!$B$11,Paramètres!$A$1:$I$89,3,0)*0.475*44/12</f>
        <v>15.320809599760842</v>
      </c>
      <c r="BR58" s="21">
        <f>EXP(-LN(2)/2)*BR57+(1-EXP(-LN(2)/2))/(LN(2)/2)*BL58*BO58*VLOOKUP('Données projet'!$B$11,Paramètres!$A$1:$I$89,3,0)*0.475*44/12</f>
        <v>3.8917677703557501</v>
      </c>
      <c r="BS58" s="22">
        <f t="shared" si="9"/>
        <v>83.011692043485397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13.5</v>
      </c>
      <c r="BY58" s="12">
        <f>IF('Données projet'!$A$114&gt;35,BY57+BX58-CG57,IF(A58&lt;'Données projet'!$A$114,$BV$205^A58,IF(A58='Données projet'!$A$114,'Données projet'!$B$114,BY57+BX58-CG57)))</f>
        <v>335.49999999999989</v>
      </c>
      <c r="BZ58" s="13">
        <f>BY58*VLOOKUP('Données projet'!$B$12,Paramètres!$A$1:$I$89,3,0)*VLOOKUP('Données projet'!$B$12,Paramètres!$A$1:$I$89,5,0)</f>
        <v>157.01399999999995</v>
      </c>
      <c r="CA58" s="13">
        <f t="shared" si="39"/>
        <v>40.168278112836184</v>
      </c>
      <c r="CB58" s="20">
        <f t="shared" si="10"/>
        <v>343.42580104652296</v>
      </c>
      <c r="CC58" s="59">
        <f t="shared" si="11"/>
        <v>636.75913437985628</v>
      </c>
      <c r="CD58" s="59">
        <f ca="1">AVERAGE(OFFSET($CC$3,0,0,'Données projet'!$E$12+1,1))-AVERAGE(OFFSET($H$3,0,0,'Données projet'!$E$12+1,1))</f>
        <v>259.87681411271632</v>
      </c>
      <c r="CE58" s="59">
        <f t="shared" si="40"/>
        <v>191.8684235641158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30.682240866606872</v>
      </c>
      <c r="CL58" s="21">
        <f>EXP(-LN(2)/25)*CL57+(1-EXP(-LN(2)/25))/(LN(2)/25)*Calculateur!CG58*Calculateur!CI58*VLOOKUP('Données projet'!$B$12,Paramètres!$A$1:$I$89,3,0)*0.475*44/12</f>
        <v>9.0520053039293273</v>
      </c>
      <c r="CM58" s="21">
        <f>EXP(-LN(2)/2)*CM57+(1-EXP(-LN(2)/2))/(LN(2)/2)*CG58*CJ58*VLOOKUP('Données projet'!$B$12,Paramètres!$A$1:$I$89,3,0)*0.475*44/12</f>
        <v>0.83736991703265984</v>
      </c>
      <c r="CN58" s="22">
        <f t="shared" si="12"/>
        <v>40.571616087568856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7.9999999999999973</v>
      </c>
      <c r="CT58" s="12">
        <f>IF('Données projet'!$A$140&gt;35,CT57+CS58-DB57,IF(A58&lt;'Données projet'!$A$140,$CQ$205^A58,IF(A58='Données projet'!$A$140,'Données projet'!$B$140,CT57+CS58-DB57)))</f>
        <v>221.184</v>
      </c>
      <c r="CU58" s="17">
        <f>CT58*VLOOKUP('Données projet'!$B$13,Paramètres!$A$1:$I$89,3,0)*VLOOKUP('Données projet'!$B$13,Paramètres!$A$1:$I$89,5,0)</f>
        <v>103.514112</v>
      </c>
      <c r="CV58" s="13">
        <f t="shared" si="41"/>
        <v>27.797496028230608</v>
      </c>
      <c r="CW58" s="20">
        <f t="shared" si="13"/>
        <v>228.70105064916831</v>
      </c>
      <c r="CX58" s="59">
        <f t="shared" si="14"/>
        <v>522.03438398250159</v>
      </c>
      <c r="CY58" s="59">
        <f ca="1">AVERAGE(OFFSET($CX$3,0,0,'Données projet'!$E$13+1,1))-AVERAGE(OFFSET($H$3,0,0,'Données projet'!$E$13+1,1))</f>
        <v>137.59122085719031</v>
      </c>
      <c r="CZ58" s="59">
        <f t="shared" si="42"/>
        <v>130.1134470448718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21.327841832824973</v>
      </c>
      <c r="DG58" s="21">
        <f>EXP(-LN(2)/25)*DG57+(1-EXP(-LN(2)/25))/(LN(2)/25)*Calculateur!DB58*Calculateur!DD58*VLOOKUP('Données projet'!$B$13,Paramètres!$A$1:$I$89,3,0)*0.475*44/12</f>
        <v>6.2849080051164066</v>
      </c>
      <c r="DH58" s="21">
        <f>EXP(-LN(2)/2)*DH57+(1-EXP(-LN(2)/2))/(LN(2)/2)*DB58*DE58*VLOOKUP('Données projet'!$B$13,Paramètres!$A$1:$I$89,3,0)*0.475*44/12</f>
        <v>0.57559107176603153</v>
      </c>
      <c r="DI58" s="22">
        <f t="shared" si="15"/>
        <v>28.18834090970741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7.625</v>
      </c>
      <c r="DO58" s="12">
        <f>IF('Données projet'!$A$166&gt;35,DO57+DN58-DW57,IF(A58&lt;'Données projet'!$A$166,$DL$205^A58,IF(A58='Données projet'!$A$166,'Données projet'!$B$166,DO57+DN58-DW57)))</f>
        <v>139.62500000000003</v>
      </c>
      <c r="DP58" s="17">
        <f>DO58*VLOOKUP('Données projet'!$B$14,Paramètres!$A$1:$I$89,3,0)*VLOOKUP('Données projet'!$B$14,Paramètres!$A$1:$I$89,5,0)</f>
        <v>141.57975000000005</v>
      </c>
      <c r="DQ58" s="13">
        <f t="shared" si="43"/>
        <v>36.658667360818889</v>
      </c>
      <c r="DR58" s="20">
        <f t="shared" si="16"/>
        <v>310.43191023675962</v>
      </c>
      <c r="DS58" s="59">
        <f t="shared" si="17"/>
        <v>603.76524357009293</v>
      </c>
      <c r="DT58" s="59">
        <f ca="1">AVERAGE(OFFSET($DS$3,0,0,'Données projet'!$E$14+1,1))-AVERAGE(OFFSET($H$3,0,0,'Données projet'!$E$14+1,1))</f>
        <v>313.90901812281373</v>
      </c>
      <c r="DU58" s="59">
        <f t="shared" si="44"/>
        <v>210.54265725995265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10.254450612991828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10.254450612991828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489.7493460648148</v>
      </c>
      <c r="EH58" s="12">
        <f>VLOOKUP(A58,'Données projet'!$A$191:$I$211,9,0)</f>
        <v>17.201875000000001</v>
      </c>
      <c r="EI58" s="12">
        <f t="array" ref="EI58">INDEX(EH:EH,MIN(IF(ISNUMBER(EH58:EH254),ROW(EH58:EH254),"")))</f>
        <v>17.201875000000001</v>
      </c>
      <c r="EJ58" s="12">
        <f>IF('Données projet'!$A$192&gt;35,EJ57+EI58-ER57,IF(A58&lt;'Données projet'!$A$192,$EG$205^A58,IF(A58='Données projet'!$A$192,'Données projet'!$B$192,EJ57+EI58-ER57)))</f>
        <v>489.74934606481474</v>
      </c>
      <c r="EK58" s="17">
        <f>EJ58*VLOOKUP('Données projet'!$B$15,Paramètres!$A$1:$I$89,3,0)*VLOOKUP('Données projet'!$B$15,Paramètres!$A$1:$I$89,5,0)</f>
        <v>389.64457972916665</v>
      </c>
      <c r="EL58" s="13">
        <f t="shared" si="45"/>
        <v>89.674068584087479</v>
      </c>
      <c r="EM58" s="20">
        <f t="shared" si="19"/>
        <v>834.81331247891751</v>
      </c>
      <c r="EN58" s="59">
        <f t="shared" si="20"/>
        <v>1128.1466458122509</v>
      </c>
      <c r="EO58" s="59">
        <f ca="1">AVERAGE(OFFSET($EN$3,0,0,'Données projet'!$E$15+1,1))-AVERAGE(OFFSET($H$3,0,0,'Données projet'!$E$15+1,1))</f>
        <v>316.52407313312403</v>
      </c>
      <c r="EP58" s="59">
        <f t="shared" si="46"/>
        <v>340.55949748167382</v>
      </c>
      <c r="EQ58" s="15" t="str">
        <f>IF(ISNA(VLOOKUP(A58,'Données projet'!$A$191:$I$211,3,0)),0,VLOOKUP(A58,'Données projet'!$A$191:$I$211,3,0))</f>
        <v>CR</v>
      </c>
      <c r="ER58" s="15">
        <f>IF(ISNA(VLOOKUP(A58,'Données projet'!$A$191:$I$211,4,0)),0,VLOOKUP(A58,'Données projet'!$A$191:$I$211,4,0))</f>
        <v>489.7493460648148</v>
      </c>
      <c r="ES58" s="16">
        <f>IF(ISNA(VLOOKUP(A58,'Données projet'!$A$191:$I$211,5,0)),0%,VLOOKUP(A58,'Données projet'!$A$191:$I$211,5,0)*VLOOKUP('Données projet'!$B$15,Paramètres!$A$1:$I$89,7,0))</f>
        <v>0.47700000000000004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238.15686857153321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238.15686857153321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392.51950231481487</v>
      </c>
      <c r="FC58" s="12">
        <f>VLOOKUP(A58,'Données projet'!$A$217:$I$237,9,0)</f>
        <v>13.93250000000001</v>
      </c>
      <c r="FD58" s="12">
        <f t="array" ref="FD58">INDEX(FC:FC,MIN(IF(ISNUMBER(FC58:FC254),ROW(FC58:FC254),"")))</f>
        <v>13.93250000000001</v>
      </c>
      <c r="FE58" s="12">
        <f>IF('Données projet'!$A$218&gt;35,FE57+FD58-FM57,IF(A58&lt;'Données projet'!$A$218,$FB$205^A58,IF(A58='Données projet'!$A$218,'Données projet'!$B$218,FE57+FD58-FM57)))</f>
        <v>392.51950231481482</v>
      </c>
      <c r="FF58" s="17">
        <f>FE58*VLOOKUP('Données projet'!$B$16,Paramètres!$A$1:$I$89,3,0)*VLOOKUP('Données projet'!$B$16,Paramètres!$A$1:$I$89,5,0)</f>
        <v>257.17877791666666</v>
      </c>
      <c r="FG58" s="13">
        <f t="shared" si="47"/>
        <v>62.120626096419947</v>
      </c>
      <c r="FH58" s="20">
        <f t="shared" si="22"/>
        <v>556.1131286561257</v>
      </c>
      <c r="FI58" s="59">
        <f t="shared" si="23"/>
        <v>849.44646198945907</v>
      </c>
      <c r="FJ58" s="59">
        <f ca="1">AVERAGE(OFFSET($FI$3,0,0,'Données projet'!$E$16+1,1))-AVERAGE(OFFSET($H$3,0,0,'Données projet'!$E$16+1,1))</f>
        <v>199.99826357281154</v>
      </c>
      <c r="FK58" s="59">
        <f t="shared" si="48"/>
        <v>214.67424457475136</v>
      </c>
      <c r="FL58" s="15" t="str">
        <f>IF(ISNA(VLOOKUP(A58,'Données projet'!$A$217:$I$237,3,0)),0,VLOOKUP(A58,'Données projet'!$A$217:$I$237,3,0))</f>
        <v>CR</v>
      </c>
      <c r="FM58" s="15">
        <f>IF(ISNA(VLOOKUP(A58,'Données projet'!$A$217:$I$237,4,0)),0,VLOOKUP(A58,'Données projet'!$A$217:$I$237,4,0))</f>
        <v>392.51950231481487</v>
      </c>
      <c r="FN58" s="16">
        <f>IF(ISNA(VLOOKUP(A58,'Données projet'!$A$217:$I$237,5,0)),0%,VLOOKUP(A58,'Données projet'!$A$217:$I$237,5,0)*VLOOKUP('Données projet'!$B$16,Paramètres!$A$1:$I$89,7,0))</f>
        <v>0.30099999999999999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102.99097273248493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102.99097273248493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</v>
      </c>
      <c r="N59" s="13">
        <f>IF('Données projet'!$A$36&gt;35,N58+M59-V58,IF(A59&lt;'Données projet'!$A$36,$K$205^A59,IF(A59='Données projet'!$A$36,'Données projet'!$B$36,N58+M59-V58)))</f>
        <v>431.99999999999989</v>
      </c>
      <c r="O59" s="13">
        <f>N59*VLOOKUP('Données projet'!$B$9,Paramètres!$A$1:$I$89,3,0)*VLOOKUP('Données projet'!$B$9,Paramètres!$A$1:$I$89,5,0)</f>
        <v>258.33599999999996</v>
      </c>
      <c r="P59" s="13">
        <f t="shared" si="33"/>
        <v>62.367547966451262</v>
      </c>
      <c r="Q59" s="20">
        <f t="shared" si="53"/>
        <v>558.55867937490245</v>
      </c>
      <c r="R59" s="59">
        <f t="shared" si="0"/>
        <v>851.89201270823582</v>
      </c>
      <c r="S59" s="59">
        <f ca="1">AVERAGE(OFFSET($R$3,0,0,'Données projet'!$E$9+1,1))-AVERAGE(OFFSET($H$3,0,0,'Données projet'!$E$9+1,1))</f>
        <v>284.60021367910457</v>
      </c>
      <c r="T59" s="59">
        <f t="shared" si="34"/>
        <v>301.41905904220812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66.217256749023676</v>
      </c>
      <c r="AA59" s="21">
        <f>EXP(-LN(2)/25)*AA58+(1-EXP(-LN(2)/25))/(LN(2)/25)*Calculateur!V59*Calculateur!X59*VLOOKUP('Données projet'!$B$9,Paramètres!$A$1:$I$89,3,0)*0.475*44/12</f>
        <v>15.174078771882138</v>
      </c>
      <c r="AB59" s="21">
        <f>EXP(-LN(2)/2)*AB58+(1-EXP(-LN(2)/2))/(LN(2)/2)*V59*Y59*VLOOKUP('Données projet'!$B$9,Paramètres!$A$1:$I$89,3,0)*0.475*44/12</f>
        <v>3.6919130870479324</v>
      </c>
      <c r="AC59" s="22">
        <f t="shared" si="3"/>
        <v>85.083248607953749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17.625</v>
      </c>
      <c r="AI59" s="13">
        <f>IF('Données projet'!$A$62&gt;35,AI58+AH59-AQ58,IF(A59&lt;'Données projet'!$A$62,$AF$205^A59,IF(A59='Données projet'!$A$62,'Données projet'!$B$62,AI58+AH59-AQ58)))</f>
        <v>404.75000000000006</v>
      </c>
      <c r="AJ59" s="13">
        <f>AI59*VLOOKUP('Données projet'!$B$10,Paramètres!$A$1:$I$89,3,0)*VLOOKUP('Données projet'!$B$10,Paramètres!$A$1:$I$89,5,0)</f>
        <v>242.04050000000004</v>
      </c>
      <c r="AK59" s="13">
        <f t="shared" si="35"/>
        <v>58.878337443371535</v>
      </c>
      <c r="AL59" s="20">
        <f t="shared" si="4"/>
        <v>524.10030854720537</v>
      </c>
      <c r="AM59" s="59">
        <f t="shared" si="5"/>
        <v>817.43364188053874</v>
      </c>
      <c r="AN59" s="59">
        <f ca="1">AVERAGE(OFFSET($AM$3,0,0,'Données projet'!$E$10+1,1))-AVERAGE(OFFSET($H$3,0,0,'Données projet'!$E$10+1,1))</f>
        <v>294.45857786714919</v>
      </c>
      <c r="AO59" s="59">
        <f t="shared" si="36"/>
        <v>221.9773436301067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41.598167157924117</v>
      </c>
      <c r="AV59" s="21">
        <f>EXP(-LN(2)/25)*AV58+(1-EXP(-LN(2)/25))/(LN(2)/25)*Calculateur!AQ59*Calculateur!AS59*VLOOKUP('Données projet'!$B$10,Paramètres!$A$1:$I$89,3,0)*0.475*44/12</f>
        <v>10.084962707619985</v>
      </c>
      <c r="AW59" s="21">
        <f>EXP(-LN(2)/2)*AW58+(1-EXP(-LN(2)/2))/(LN(2)/2)*AQ59*AT59*VLOOKUP('Données projet'!$B$10,Paramètres!$A$1:$I$89,3,0)*0.475*44/12</f>
        <v>0.69035723834003915</v>
      </c>
      <c r="AX59" s="21">
        <f t="shared" si="6"/>
        <v>52.373487103884145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535.8000000000003</v>
      </c>
      <c r="BE59" s="13">
        <f>BD59*VLOOKUP('Données projet'!$B$11,Paramètres!$A$1:$I$89,3,0)*VLOOKUP('Données projet'!$B$11,Paramètres!$A$1:$I$89,5,0)</f>
        <v>299.51220000000018</v>
      </c>
      <c r="BF59" s="13">
        <f t="shared" si="37"/>
        <v>71.074192175878977</v>
      </c>
      <c r="BG59" s="20">
        <f t="shared" si="7"/>
        <v>645.43796637298954</v>
      </c>
      <c r="BH59" s="59">
        <f t="shared" si="8"/>
        <v>938.77129970632291</v>
      </c>
      <c r="BI59" s="59">
        <f ca="1">AVERAGE(OFFSET($BH$3,0,0,'Données projet'!$E$11+1,1))-AVERAGE(OFFSET($H$3,0,0,'Données projet'!$E$11+1,1))</f>
        <v>304.91676868833792</v>
      </c>
      <c r="BJ59" s="59">
        <f t="shared" si="38"/>
        <v>365.95065044620048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62.54805294824159</v>
      </c>
      <c r="BQ59" s="21">
        <f>EXP(-LN(2)/25)*BQ58+(1-EXP(-LN(2)/25))/(LN(2)/25)*Calculateur!BL59*Calculateur!BN59*VLOOKUP('Données projet'!$B$11,Paramètres!$A$1:$I$89,3,0)*0.475*44/12</f>
        <v>14.901861255569022</v>
      </c>
      <c r="BR59" s="21">
        <f>EXP(-LN(2)/2)*BR58+(1-EXP(-LN(2)/2))/(LN(2)/2)*BL59*BO59*VLOOKUP('Données projet'!$B$11,Paramètres!$A$1:$I$89,3,0)*0.475*44/12</f>
        <v>2.7518953812218014</v>
      </c>
      <c r="BS59" s="22">
        <f t="shared" si="9"/>
        <v>80.201809585032407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13.5</v>
      </c>
      <c r="BY59" s="12">
        <f>IF('Données projet'!$A$114&gt;35,BY58+BX59-CG58,IF(A59&lt;'Données projet'!$A$114,$BV$205^A59,IF(A59='Données projet'!$A$114,'Données projet'!$B$114,BY58+BX59-CG58)))</f>
        <v>348.99999999999989</v>
      </c>
      <c r="BZ59" s="13">
        <f>BY59*VLOOKUP('Données projet'!$B$12,Paramètres!$A$1:$I$89,3,0)*VLOOKUP('Données projet'!$B$12,Paramètres!$A$1:$I$89,5,0)</f>
        <v>163.33199999999994</v>
      </c>
      <c r="CA59" s="13">
        <f t="shared" si="39"/>
        <v>41.593153409603509</v>
      </c>
      <c r="CB59" s="20">
        <f t="shared" si="10"/>
        <v>356.9113088550593</v>
      </c>
      <c r="CC59" s="59">
        <f t="shared" si="11"/>
        <v>650.24464218839262</v>
      </c>
      <c r="CD59" s="59">
        <f ca="1">AVERAGE(OFFSET($CC$3,0,0,'Données projet'!$E$12+1,1))-AVERAGE(OFFSET($H$3,0,0,'Données projet'!$E$12+1,1))</f>
        <v>259.87681411271632</v>
      </c>
      <c r="CE59" s="59">
        <f t="shared" si="40"/>
        <v>191.8684235641158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30.080580837531755</v>
      </c>
      <c r="CL59" s="21">
        <f>EXP(-LN(2)/25)*CL58+(1-EXP(-LN(2)/25))/(LN(2)/25)*Calculateur!CG59*Calculateur!CI59*VLOOKUP('Données projet'!$B$12,Paramètres!$A$1:$I$89,3,0)*0.475*44/12</f>
        <v>8.8044777428691088</v>
      </c>
      <c r="CM59" s="21">
        <f>EXP(-LN(2)/2)*CM58+(1-EXP(-LN(2)/2))/(LN(2)/2)*CG59*CJ59*VLOOKUP('Données projet'!$B$12,Paramètres!$A$1:$I$89,3,0)*0.475*44/12</f>
        <v>0.59210994669541051</v>
      </c>
      <c r="CN59" s="22">
        <f t="shared" si="12"/>
        <v>39.477168527096275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7.9999999999999973</v>
      </c>
      <c r="CT59" s="12">
        <f>IF('Données projet'!$A$140&gt;35,CT58+CS59-DB58,IF(A59&lt;'Données projet'!$A$140,$CQ$205^A59,IF(A59='Données projet'!$A$140,'Données projet'!$B$140,CT58+CS59-DB58)))</f>
        <v>229.184</v>
      </c>
      <c r="CU59" s="17">
        <f>CT59*VLOOKUP('Données projet'!$B$13,Paramètres!$A$1:$I$89,3,0)*VLOOKUP('Données projet'!$B$13,Paramètres!$A$1:$I$89,5,0)</f>
        <v>107.258112</v>
      </c>
      <c r="CV59" s="13">
        <f t="shared" si="41"/>
        <v>28.684028392082443</v>
      </c>
      <c r="CW59" s="20">
        <f t="shared" si="13"/>
        <v>236.76589451621024</v>
      </c>
      <c r="CX59" s="59">
        <f t="shared" si="14"/>
        <v>530.09922784954358</v>
      </c>
      <c r="CY59" s="59">
        <f ca="1">AVERAGE(OFFSET($CX$3,0,0,'Données projet'!$E$13+1,1))-AVERAGE(OFFSET($H$3,0,0,'Données projet'!$E$13+1,1))</f>
        <v>137.59122085719031</v>
      </c>
      <c r="CZ59" s="59">
        <f t="shared" si="42"/>
        <v>130.1134470448718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20.909615863182292</v>
      </c>
      <c r="DG59" s="21">
        <f>EXP(-LN(2)/25)*DG58+(1-EXP(-LN(2)/25))/(LN(2)/25)*Calculateur!DB59*Calculateur!DD59*VLOOKUP('Données projet'!$B$13,Paramètres!$A$1:$I$89,3,0)*0.475*44/12</f>
        <v>6.1130468652075507</v>
      </c>
      <c r="DH59" s="21">
        <f>EXP(-LN(2)/2)*DH58+(1-EXP(-LN(2)/2))/(LN(2)/2)*DB59*DE59*VLOOKUP('Données projet'!$B$13,Paramètres!$A$1:$I$89,3,0)*0.475*44/12</f>
        <v>0.40700435003619367</v>
      </c>
      <c r="DI59" s="22">
        <f t="shared" si="15"/>
        <v>27.429667078426036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7.625</v>
      </c>
      <c r="DO59" s="12">
        <f>IF('Données projet'!$A$166&gt;35,DO58+DN59-DW58,IF(A59&lt;'Données projet'!$A$166,$DL$205^A59,IF(A59='Données projet'!$A$166,'Données projet'!$B$166,DO58+DN59-DW58)))</f>
        <v>147.25000000000003</v>
      </c>
      <c r="DP59" s="17">
        <f>DO59*VLOOKUP('Données projet'!$B$14,Paramètres!$A$1:$I$89,3,0)*VLOOKUP('Données projet'!$B$14,Paramètres!$A$1:$I$89,5,0)</f>
        <v>149.31150000000002</v>
      </c>
      <c r="DQ59" s="13">
        <f t="shared" si="43"/>
        <v>38.422079656191713</v>
      </c>
      <c r="DR59" s="20">
        <f t="shared" si="16"/>
        <v>326.96931790120061</v>
      </c>
      <c r="DS59" s="59">
        <f t="shared" si="17"/>
        <v>620.30265123453387</v>
      </c>
      <c r="DT59" s="59">
        <f ca="1">AVERAGE(OFFSET($DS$3,0,0,'Données projet'!$E$14+1,1))-AVERAGE(OFFSET($H$3,0,0,'Données projet'!$E$14+1,1))</f>
        <v>313.90901812281373</v>
      </c>
      <c r="DU59" s="59">
        <f t="shared" si="44"/>
        <v>210.54265725995265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10.053367091068342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10.053367091068342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-5.6843418860808015E-14</v>
      </c>
      <c r="EK59" s="17">
        <f>EJ59*VLOOKUP('Données projet'!$B$15,Paramètres!$A$1:$I$89,3,0)*VLOOKUP('Données projet'!$B$15,Paramètres!$A$1:$I$89,5,0)</f>
        <v>-4.5224624045658861E-14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316.52407313312403</v>
      </c>
      <c r="EP59" s="59">
        <f t="shared" si="46"/>
        <v>340.55949748167382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233.48675764019191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233.48675764019191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-5.6843418860808015E-14</v>
      </c>
      <c r="FF59" s="17">
        <f>FE59*VLOOKUP('Données projet'!$B$16,Paramètres!$A$1:$I$89,3,0)*VLOOKUP('Données projet'!$B$16,Paramètres!$A$1:$I$89,5,0)</f>
        <v>-3.7243808037601412E-14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199.99826357281154</v>
      </c>
      <c r="FK59" s="59">
        <f t="shared" si="48"/>
        <v>214.67424457475136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100.97138257549148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100.97138257549148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</v>
      </c>
      <c r="N60" s="13">
        <f>IF('Données projet'!$A$36&gt;35,N59+M60-V59,IF(A60&lt;'Données projet'!$A$36,$K$205^A60,IF(A60='Données projet'!$A$36,'Données projet'!$B$36,N59+M60-V59)))</f>
        <v>448.99999999999989</v>
      </c>
      <c r="O60" s="13">
        <f>N60*VLOOKUP('Données projet'!$B$9,Paramètres!$A$1:$I$89,3,0)*VLOOKUP('Données projet'!$B$9,Paramètres!$A$1:$I$89,5,0)</f>
        <v>268.50199999999995</v>
      </c>
      <c r="P60" s="13">
        <f t="shared" si="33"/>
        <v>64.531253013339168</v>
      </c>
      <c r="Q60" s="20">
        <f t="shared" si="53"/>
        <v>580.03291566489895</v>
      </c>
      <c r="R60" s="59">
        <f t="shared" si="0"/>
        <v>873.36624899823232</v>
      </c>
      <c r="S60" s="59">
        <f ca="1">AVERAGE(OFFSET($R$3,0,0,'Données projet'!$E$9+1,1))-AVERAGE(OFFSET($H$3,0,0,'Données projet'!$E$9+1,1))</f>
        <v>284.60021367910457</v>
      </c>
      <c r="T60" s="59">
        <f t="shared" si="34"/>
        <v>301.41905904220812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64.918776732713908</v>
      </c>
      <c r="AA60" s="21">
        <f>EXP(-LN(2)/25)*AA59+(1-EXP(-LN(2)/25))/(LN(2)/25)*Calculateur!V60*Calculateur!X60*VLOOKUP('Données projet'!$B$9,Paramètres!$A$1:$I$89,3,0)*0.475*44/12</f>
        <v>14.7591427898949</v>
      </c>
      <c r="AB60" s="21">
        <f>EXP(-LN(2)/2)*AB59+(1-EXP(-LN(2)/2))/(LN(2)/2)*V60*Y60*VLOOKUP('Données projet'!$B$9,Paramètres!$A$1:$I$89,3,0)*0.475*44/12</f>
        <v>2.6105767794029537</v>
      </c>
      <c r="AC60" s="22">
        <f t="shared" si="3"/>
        <v>82.288496302011751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17.625</v>
      </c>
      <c r="AI60" s="13">
        <f>IF('Données projet'!$A$62&gt;35,AI59+AH60-AQ59,IF(A60&lt;'Données projet'!$A$62,$AF$205^A60,IF(A60='Données projet'!$A$62,'Données projet'!$B$62,AI59+AH60-AQ59)))</f>
        <v>422.37500000000006</v>
      </c>
      <c r="AJ60" s="13">
        <f>AI60*VLOOKUP('Données projet'!$B$10,Paramètres!$A$1:$I$89,3,0)*VLOOKUP('Données projet'!$B$10,Paramètres!$A$1:$I$89,5,0)</f>
        <v>252.58025000000006</v>
      </c>
      <c r="AK60" s="13">
        <f t="shared" si="35"/>
        <v>61.138131933251593</v>
      </c>
      <c r="AL60" s="20">
        <f t="shared" si="4"/>
        <v>546.39284853374659</v>
      </c>
      <c r="AM60" s="59">
        <f t="shared" si="5"/>
        <v>839.72618186707996</v>
      </c>
      <c r="AN60" s="59">
        <f ca="1">AVERAGE(OFFSET($AM$3,0,0,'Données projet'!$E$10+1,1))-AVERAGE(OFFSET($H$3,0,0,'Données projet'!$E$10+1,1))</f>
        <v>294.45857786714919</v>
      </c>
      <c r="AO60" s="59">
        <f t="shared" si="36"/>
        <v>221.9773436301067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40.78245247233388</v>
      </c>
      <c r="AV60" s="21">
        <f>EXP(-LN(2)/25)*AV59+(1-EXP(-LN(2)/25))/(LN(2)/25)*Calculateur!AQ60*Calculateur!AS60*VLOOKUP('Données projet'!$B$10,Paramètres!$A$1:$I$89,3,0)*0.475*44/12</f>
        <v>9.8091888720349765</v>
      </c>
      <c r="AW60" s="21">
        <f>EXP(-LN(2)/2)*AW59+(1-EXP(-LN(2)/2))/(LN(2)/2)*AQ60*AT60*VLOOKUP('Données projet'!$B$10,Paramètres!$A$1:$I$89,3,0)*0.475*44/12</f>
        <v>0.48815628467145933</v>
      </c>
      <c r="AX60" s="21">
        <f t="shared" si="6"/>
        <v>51.079797629040314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543.60000000000025</v>
      </c>
      <c r="BE60" s="13">
        <f>BD60*VLOOKUP('Données projet'!$B$11,Paramètres!$A$1:$I$89,3,0)*VLOOKUP('Données projet'!$B$11,Paramètres!$A$1:$I$89,5,0)</f>
        <v>303.87240000000014</v>
      </c>
      <c r="BF60" s="13">
        <f t="shared" si="37"/>
        <v>71.987660301827333</v>
      </c>
      <c r="BG60" s="20">
        <f t="shared" si="7"/>
        <v>654.62293835901619</v>
      </c>
      <c r="BH60" s="59">
        <f t="shared" si="8"/>
        <v>947.95627169234945</v>
      </c>
      <c r="BI60" s="59">
        <f ca="1">AVERAGE(OFFSET($BH$3,0,0,'Données projet'!$E$11+1,1))-AVERAGE(OFFSET($H$3,0,0,'Données projet'!$E$11+1,1))</f>
        <v>304.91676868833792</v>
      </c>
      <c r="BJ60" s="59">
        <f t="shared" si="38"/>
        <v>365.95065044620048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61.321523780471814</v>
      </c>
      <c r="BQ60" s="21">
        <f>EXP(-LN(2)/25)*BQ59+(1-EXP(-LN(2)/25))/(LN(2)/25)*Calculateur!BL60*Calculateur!BN60*VLOOKUP('Données projet'!$B$11,Paramètres!$A$1:$I$89,3,0)*0.475*44/12</f>
        <v>14.494369075880662</v>
      </c>
      <c r="BR60" s="21">
        <f>EXP(-LN(2)/2)*BR59+(1-EXP(-LN(2)/2))/(LN(2)/2)*BL60*BO60*VLOOKUP('Données projet'!$B$11,Paramètres!$A$1:$I$89,3,0)*0.475*44/12</f>
        <v>1.9458838851778752</v>
      </c>
      <c r="BS60" s="22">
        <f t="shared" si="9"/>
        <v>77.761776741530355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13.5</v>
      </c>
      <c r="BY60" s="12">
        <f>IF('Données projet'!$A$114&gt;35,BY59+BX60-CG59,IF(A60&lt;'Données projet'!$A$114,$BV$205^A60,IF(A60='Données projet'!$A$114,'Données projet'!$B$114,BY59+BX60-CG59)))</f>
        <v>362.49999999999989</v>
      </c>
      <c r="BZ60" s="13">
        <f>BY60*VLOOKUP('Données projet'!$B$12,Paramètres!$A$1:$I$89,3,0)*VLOOKUP('Données projet'!$B$12,Paramètres!$A$1:$I$89,5,0)</f>
        <v>169.64999999999992</v>
      </c>
      <c r="CA60" s="13">
        <f t="shared" si="39"/>
        <v>43.011625828314827</v>
      </c>
      <c r="CB60" s="20">
        <f t="shared" si="10"/>
        <v>370.38566498431487</v>
      </c>
      <c r="CC60" s="59">
        <f t="shared" si="11"/>
        <v>663.71899831764813</v>
      </c>
      <c r="CD60" s="59">
        <f ca="1">AVERAGE(OFFSET($CC$3,0,0,'Données projet'!$E$12+1,1))-AVERAGE(OFFSET($H$3,0,0,'Données projet'!$E$12+1,1))</f>
        <v>259.87681411271632</v>
      </c>
      <c r="CE60" s="59">
        <f t="shared" si="40"/>
        <v>191.8684235641158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29.490718994650418</v>
      </c>
      <c r="CL60" s="21">
        <f>EXP(-LN(2)/25)*CL59+(1-EXP(-LN(2)/25))/(LN(2)/25)*Calculateur!CG60*Calculateur!CI60*VLOOKUP('Données projet'!$B$12,Paramètres!$A$1:$I$89,3,0)*0.475*44/12</f>
        <v>8.563718835982991</v>
      </c>
      <c r="CM60" s="21">
        <f>EXP(-LN(2)/2)*CM59+(1-EXP(-LN(2)/2))/(LN(2)/2)*CG60*CJ60*VLOOKUP('Données projet'!$B$12,Paramètres!$A$1:$I$89,3,0)*0.475*44/12</f>
        <v>0.41868495851632997</v>
      </c>
      <c r="CN60" s="22">
        <f t="shared" si="12"/>
        <v>38.473122789149741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7.9999999999999973</v>
      </c>
      <c r="CT60" s="12">
        <f>IF('Données projet'!$A$140&gt;35,CT59+CS60-DB59,IF(A60&lt;'Données projet'!$A$140,$CQ$205^A60,IF(A60='Données projet'!$A$140,'Données projet'!$B$140,CT59+CS60-DB59)))</f>
        <v>237.184</v>
      </c>
      <c r="CU60" s="17">
        <f>CT60*VLOOKUP('Données projet'!$B$13,Paramètres!$A$1:$I$89,3,0)*VLOOKUP('Données projet'!$B$13,Paramètres!$A$1:$I$89,5,0)</f>
        <v>111.00211200000001</v>
      </c>
      <c r="CV60" s="13">
        <f t="shared" si="41"/>
        <v>29.566965213252988</v>
      </c>
      <c r="CW60" s="20">
        <f t="shared" si="13"/>
        <v>244.82447614641561</v>
      </c>
      <c r="CX60" s="59">
        <f t="shared" si="14"/>
        <v>538.15780947974895</v>
      </c>
      <c r="CY60" s="59">
        <f ca="1">AVERAGE(OFFSET($CX$3,0,0,'Données projet'!$E$13+1,1))-AVERAGE(OFFSET($H$3,0,0,'Données projet'!$E$13+1,1))</f>
        <v>137.59122085719031</v>
      </c>
      <c r="CZ60" s="59">
        <f t="shared" si="42"/>
        <v>130.1134470448718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20.49959104971165</v>
      </c>
      <c r="DG60" s="21">
        <f>EXP(-LN(2)/25)*DG59+(1-EXP(-LN(2)/25))/(LN(2)/25)*Calculateur!DB60*Calculateur!DD60*VLOOKUP('Données projet'!$B$13,Paramètres!$A$1:$I$89,3,0)*0.475*44/12</f>
        <v>5.945885277207287</v>
      </c>
      <c r="DH60" s="21">
        <f>EXP(-LN(2)/2)*DH59+(1-EXP(-LN(2)/2))/(LN(2)/2)*DB60*DE60*VLOOKUP('Données projet'!$B$13,Paramètres!$A$1:$I$89,3,0)*0.475*44/12</f>
        <v>0.28779553588301582</v>
      </c>
      <c r="DI60" s="22">
        <f t="shared" si="15"/>
        <v>26.733271862801953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7.625</v>
      </c>
      <c r="DO60" s="12">
        <f>IF('Données projet'!$A$166&gt;35,DO59+DN60-DW59,IF(A60&lt;'Données projet'!$A$166,$DL$205^A60,IF(A60='Données projet'!$A$166,'Données projet'!$B$166,DO59+DN60-DW59)))</f>
        <v>154.87500000000003</v>
      </c>
      <c r="DP60" s="17">
        <f>DO60*VLOOKUP('Données projet'!$B$14,Paramètres!$A$1:$I$89,3,0)*VLOOKUP('Données projet'!$B$14,Paramètres!$A$1:$I$89,5,0)</f>
        <v>157.04325000000003</v>
      </c>
      <c r="DQ60" s="13">
        <f t="shared" si="43"/>
        <v>40.17488994326736</v>
      </c>
      <c r="DR60" s="20">
        <f t="shared" si="16"/>
        <v>343.4882604011907</v>
      </c>
      <c r="DS60" s="59">
        <f t="shared" si="17"/>
        <v>636.82159373452396</v>
      </c>
      <c r="DT60" s="59">
        <f ca="1">AVERAGE(OFFSET($DS$3,0,0,'Données projet'!$E$14+1,1))-AVERAGE(OFFSET($H$3,0,0,'Données projet'!$E$14+1,1))</f>
        <v>313.90901812281373</v>
      </c>
      <c r="DU60" s="59">
        <f t="shared" si="44"/>
        <v>210.54265725995265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9.856226694360938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9.856226694360938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-5.6843418860808015E-14</v>
      </c>
      <c r="EK60" s="17">
        <f>EJ60*VLOOKUP('Données projet'!$B$15,Paramètres!$A$1:$I$89,3,0)*VLOOKUP('Données projet'!$B$15,Paramètres!$A$1:$I$89,5,0)</f>
        <v>-4.5224624045658861E-14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316.52407313312403</v>
      </c>
      <c r="EP60" s="59">
        <f t="shared" si="46"/>
        <v>340.55949748167382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228.9082247357278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228.9082247357278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-5.6843418860808015E-14</v>
      </c>
      <c r="FF60" s="17">
        <f>FE60*VLOOKUP('Données projet'!$B$16,Paramètres!$A$1:$I$89,3,0)*VLOOKUP('Données projet'!$B$16,Paramètres!$A$1:$I$89,5,0)</f>
        <v>-3.7243808037601412E-14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199.99826357281154</v>
      </c>
      <c r="FK60" s="59">
        <f t="shared" si="48"/>
        <v>214.67424457475136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98.9913953496483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98.9913953496483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</v>
      </c>
      <c r="N61" s="13">
        <f>IF('Données projet'!$A$36&gt;35,N60+M61-V60,IF(A61&lt;'Données projet'!$A$36,$K$205^A61,IF(A61='Données projet'!$A$36,'Données projet'!$B$36,N60+M61-V60)))</f>
        <v>465.99999999999989</v>
      </c>
      <c r="O61" s="13">
        <f>N61*VLOOKUP('Données projet'!$B$9,Paramètres!$A$1:$I$89,3,0)*VLOOKUP('Données projet'!$B$9,Paramètres!$A$1:$I$89,5,0)</f>
        <v>278.66799999999995</v>
      </c>
      <c r="P61" s="13">
        <f t="shared" si="33"/>
        <v>66.685440917424486</v>
      </c>
      <c r="Q61" s="20">
        <f t="shared" si="53"/>
        <v>601.49057626451429</v>
      </c>
      <c r="R61" s="59">
        <f t="shared" si="0"/>
        <v>894.82390959784766</v>
      </c>
      <c r="S61" s="59">
        <f ca="1">AVERAGE(OFFSET($R$3,0,0,'Données projet'!$E$9+1,1))-AVERAGE(OFFSET($H$3,0,0,'Données projet'!$E$9+1,1))</f>
        <v>284.60021367910457</v>
      </c>
      <c r="T61" s="59">
        <f t="shared" si="34"/>
        <v>301.41905904220812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63.645759117529359</v>
      </c>
      <c r="AA61" s="21">
        <f>EXP(-LN(2)/25)*AA60+(1-EXP(-LN(2)/25))/(LN(2)/25)*Calculateur!V61*Calculateur!X61*VLOOKUP('Données projet'!$B$9,Paramètres!$A$1:$I$89,3,0)*0.475*44/12</f>
        <v>14.355553254155637</v>
      </c>
      <c r="AB61" s="21">
        <f>EXP(-LN(2)/2)*AB60+(1-EXP(-LN(2)/2))/(LN(2)/2)*V61*Y61*VLOOKUP('Données projet'!$B$9,Paramètres!$A$1:$I$89,3,0)*0.475*44/12</f>
        <v>1.8459565435239664</v>
      </c>
      <c r="AC61" s="22">
        <f t="shared" si="3"/>
        <v>79.847268915208971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440</v>
      </c>
      <c r="AG61" s="12">
        <f>VLOOKUP(A61,'Données projet'!$A$61:$I$81,9,0)</f>
        <v>17.625</v>
      </c>
      <c r="AH61" s="12">
        <f t="array" ref="AH61">INDEX(AG:AG,MIN(IF(ISNUMBER(AG61:AG257),ROW(AG61:AG257),"")))</f>
        <v>17.625</v>
      </c>
      <c r="AI61" s="13">
        <f>IF('Données projet'!$A$62&gt;35,AI60+AH61-AQ60,IF(A61&lt;'Données projet'!$A$62,$AF$205^A61,IF(A61='Données projet'!$A$62,'Données projet'!$B$62,AI60+AH61-AQ60)))</f>
        <v>440.00000000000006</v>
      </c>
      <c r="AJ61" s="13">
        <f>AI61*VLOOKUP('Données projet'!$B$10,Paramètres!$A$1:$I$89,3,0)*VLOOKUP('Données projet'!$B$10,Paramètres!$A$1:$I$89,5,0)</f>
        <v>263.12000000000006</v>
      </c>
      <c r="AK61" s="13">
        <f t="shared" si="35"/>
        <v>63.386973458752003</v>
      </c>
      <c r="AL61" s="20">
        <f t="shared" si="4"/>
        <v>568.66631210732646</v>
      </c>
      <c r="AM61" s="59">
        <f t="shared" si="5"/>
        <v>861.99964544065983</v>
      </c>
      <c r="AN61" s="59">
        <f ca="1">AVERAGE(OFFSET($AM$3,0,0,'Données projet'!$E$10+1,1))-AVERAGE(OFFSET($H$3,0,0,'Données projet'!$E$10+1,1))</f>
        <v>294.45857786714919</v>
      </c>
      <c r="AO61" s="59">
        <f t="shared" si="36"/>
        <v>221.9773436301067</v>
      </c>
      <c r="AP61" s="15">
        <f>IF(ISNA(VLOOKUP(A61,'Données projet'!$A$61:$I$81,3,0)),0,VLOOKUP(A61,'Données projet'!$A$61:$I$81,3,0))</f>
        <v>8</v>
      </c>
      <c r="AQ61" s="15">
        <f>IF(ISNA(VLOOKUP(A61,'Données projet'!$A$61:$I$81,4,0)),0,VLOOKUP(A61,'Données projet'!$A$61:$I$81,4,0))</f>
        <v>78</v>
      </c>
      <c r="AR61" s="16">
        <f>IF(ISNA(VLOOKUP(A61,'Données projet'!$A$61:$I$81,5,0)),0%,VLOOKUP(A61,'Données projet'!$A$61:$I$81,5,0)*VLOOKUP('Données projet'!$B$10,Paramètres!$A$1:$I$89,7,0))</f>
        <v>0.315</v>
      </c>
      <c r="AS61" s="16">
        <f>IF(ISNA(VLOOKUP(A61,'Données projet'!$A$61:$I$81,6,0)),0%,VLOOKUP(A61,'Données projet'!$A$61:$I$81,6,0)*VLOOKUP('Données projet'!$B$10,Paramètres!$A$1:$I$89,7,0))</f>
        <v>7.5600000000000001E-2</v>
      </c>
      <c r="AT61" s="16">
        <f>IF(ISNA(VLOOKUP(A61,'Données projet'!$A$61:$I$81,7,0)),0%,VLOOKUP(A61,'Données projet'!$A$61:$I$81,7,0))</f>
        <v>0.13200000000000001</v>
      </c>
      <c r="AU61" s="21">
        <f>EXP(-LN(2)/35)*AU60+(1-EXP(-LN(2)/35))/(LN(2)/35)*AQ61*AR61*VLOOKUP('Données projet'!$B$10,Paramètres!$A$1:$I$89,3,0)*0.475*44/12</f>
        <v>59.473759278940634</v>
      </c>
      <c r="AV61" s="21">
        <f>EXP(-LN(2)/25)*AV60+(1-EXP(-LN(2)/25))/(LN(2)/25)*Calculateur!AQ61*Calculateur!AS61*VLOOKUP('Données projet'!$B$10,Paramètres!$A$1:$I$89,3,0)*0.475*44/12</f>
        <v>14.200383821545785</v>
      </c>
      <c r="AW61" s="21">
        <f>EXP(-LN(2)/2)*AW60+(1-EXP(-LN(2)/2))/(LN(2)/2)*AQ61*AT61*VLOOKUP('Données projet'!$B$10,Paramètres!$A$1:$I$89,3,0)*0.475*44/12</f>
        <v>7.3163419328988502</v>
      </c>
      <c r="AX61" s="21">
        <f t="shared" si="6"/>
        <v>80.990485033385269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551.4000000000002</v>
      </c>
      <c r="BE61" s="13">
        <f>BD61*VLOOKUP('Données projet'!$B$11,Paramètres!$A$1:$I$89,3,0)*VLOOKUP('Données projet'!$B$11,Paramètres!$A$1:$I$89,5,0)</f>
        <v>308.2326000000001</v>
      </c>
      <c r="BF61" s="13">
        <f t="shared" si="37"/>
        <v>72.899603972589205</v>
      </c>
      <c r="BG61" s="20">
        <f t="shared" si="7"/>
        <v>663.80525525225971</v>
      </c>
      <c r="BH61" s="59">
        <f t="shared" si="8"/>
        <v>957.13858858559297</v>
      </c>
      <c r="BI61" s="59">
        <f ca="1">AVERAGE(OFFSET($BH$3,0,0,'Données projet'!$E$11+1,1))-AVERAGE(OFFSET($H$3,0,0,'Données projet'!$E$11+1,1))</f>
        <v>304.91676868833792</v>
      </c>
      <c r="BJ61" s="59">
        <f t="shared" si="38"/>
        <v>365.95065044620048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60.119046101573083</v>
      </c>
      <c r="BQ61" s="21">
        <f>EXP(-LN(2)/25)*BQ60+(1-EXP(-LN(2)/25))/(LN(2)/25)*Calculateur!BL61*Calculateur!BN61*VLOOKUP('Données projet'!$B$11,Paramètres!$A$1:$I$89,3,0)*0.475*44/12</f>
        <v>14.098019791274963</v>
      </c>
      <c r="BR61" s="21">
        <f>EXP(-LN(2)/2)*BR60+(1-EXP(-LN(2)/2))/(LN(2)/2)*BL61*BO61*VLOOKUP('Données projet'!$B$11,Paramètres!$A$1:$I$89,3,0)*0.475*44/12</f>
        <v>1.3759476906109009</v>
      </c>
      <c r="BS61" s="22">
        <f t="shared" si="9"/>
        <v>75.593013583458941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13.5</v>
      </c>
      <c r="BY61" s="12">
        <f>IF('Données projet'!$A$114&gt;35,BY60+BX61-CG60,IF(A61&lt;'Données projet'!$A$114,$BV$205^A61,IF(A61='Données projet'!$A$114,'Données projet'!$B$114,BY60+BX61-CG60)))</f>
        <v>375.99999999999989</v>
      </c>
      <c r="BZ61" s="13">
        <f>BY61*VLOOKUP('Données projet'!$B$12,Paramètres!$A$1:$I$89,3,0)*VLOOKUP('Données projet'!$B$12,Paramètres!$A$1:$I$89,5,0)</f>
        <v>175.96799999999996</v>
      </c>
      <c r="CA61" s="13">
        <f t="shared" si="39"/>
        <v>44.423961125650585</v>
      </c>
      <c r="CB61" s="20">
        <f t="shared" si="10"/>
        <v>383.84933229384131</v>
      </c>
      <c r="CC61" s="59">
        <f t="shared" si="11"/>
        <v>677.18266562717463</v>
      </c>
      <c r="CD61" s="59">
        <f ca="1">AVERAGE(OFFSET($CC$3,0,0,'Données projet'!$E$12+1,1))-AVERAGE(OFFSET($H$3,0,0,'Données projet'!$E$12+1,1))</f>
        <v>259.87681411271632</v>
      </c>
      <c r="CE61" s="59">
        <f t="shared" si="40"/>
        <v>191.8684235641158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28.912423982727788</v>
      </c>
      <c r="CL61" s="21">
        <f>EXP(-LN(2)/25)*CL60+(1-EXP(-LN(2)/25))/(LN(2)/25)*Calculateur!CG61*Calculateur!CI61*VLOOKUP('Données projet'!$B$12,Paramètres!$A$1:$I$89,3,0)*0.475*44/12</f>
        <v>8.3295434940666357</v>
      </c>
      <c r="CM61" s="21">
        <f>EXP(-LN(2)/2)*CM60+(1-EXP(-LN(2)/2))/(LN(2)/2)*CG61*CJ61*VLOOKUP('Données projet'!$B$12,Paramètres!$A$1:$I$89,3,0)*0.475*44/12</f>
        <v>0.29605497334770531</v>
      </c>
      <c r="CN61" s="22">
        <f t="shared" si="12"/>
        <v>37.53802245014213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7.9999999999999973</v>
      </c>
      <c r="CT61" s="12">
        <f>IF('Données projet'!$A$140&gt;35,CT60+CS61-DB60,IF(A61&lt;'Données projet'!$A$140,$CQ$205^A61,IF(A61='Données projet'!$A$140,'Données projet'!$B$140,CT60+CS61-DB60)))</f>
        <v>245.184</v>
      </c>
      <c r="CU61" s="17">
        <f>CT61*VLOOKUP('Données projet'!$B$13,Paramètres!$A$1:$I$89,3,0)*VLOOKUP('Données projet'!$B$13,Paramètres!$A$1:$I$89,5,0)</f>
        <v>114.746112</v>
      </c>
      <c r="CV61" s="13">
        <f t="shared" si="41"/>
        <v>30.446441669096206</v>
      </c>
      <c r="CW61" s="20">
        <f t="shared" si="13"/>
        <v>252.87703097367589</v>
      </c>
      <c r="CX61" s="59">
        <f t="shared" si="14"/>
        <v>546.21036430700917</v>
      </c>
      <c r="CY61" s="59">
        <f ca="1">AVERAGE(OFFSET($CX$3,0,0,'Données projet'!$E$13+1,1))-AVERAGE(OFFSET($H$3,0,0,'Données projet'!$E$13+1,1))</f>
        <v>137.59122085719031</v>
      </c>
      <c r="CZ61" s="59">
        <f t="shared" si="42"/>
        <v>130.1134470448718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20.097606572742727</v>
      </c>
      <c r="DG61" s="21">
        <f>EXP(-LN(2)/25)*DG60+(1-EXP(-LN(2)/25))/(LN(2)/25)*Calculateur!DB61*Calculateur!DD61*VLOOKUP('Données projet'!$B$13,Paramètres!$A$1:$I$89,3,0)*0.475*44/12</f>
        <v>5.7832947316215364</v>
      </c>
      <c r="DH61" s="21">
        <f>EXP(-LN(2)/2)*DH60+(1-EXP(-LN(2)/2))/(LN(2)/2)*DB61*DE61*VLOOKUP('Données projet'!$B$13,Paramètres!$A$1:$I$89,3,0)*0.475*44/12</f>
        <v>0.20350217501809686</v>
      </c>
      <c r="DI61" s="22">
        <f t="shared" si="15"/>
        <v>26.084403479382363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7.625</v>
      </c>
      <c r="DO61" s="12">
        <f>IF('Données projet'!$A$166&gt;35,DO60+DN61-DW60,IF(A61&lt;'Données projet'!$A$166,$DL$205^A61,IF(A61='Données projet'!$A$166,'Données projet'!$B$166,DO60+DN61-DW60)))</f>
        <v>162.50000000000003</v>
      </c>
      <c r="DP61" s="17">
        <f>DO61*VLOOKUP('Données projet'!$B$14,Paramètres!$A$1:$I$89,3,0)*VLOOKUP('Données projet'!$B$14,Paramètres!$A$1:$I$89,5,0)</f>
        <v>164.77500000000006</v>
      </c>
      <c r="DQ61" s="13">
        <f t="shared" si="43"/>
        <v>41.917679765314709</v>
      </c>
      <c r="DR61" s="20">
        <f t="shared" si="16"/>
        <v>359.98975059125655</v>
      </c>
      <c r="DS61" s="59">
        <f t="shared" si="17"/>
        <v>653.32308392458981</v>
      </c>
      <c r="DT61" s="59">
        <f ca="1">AVERAGE(OFFSET($DS$3,0,0,'Données projet'!$E$14+1,1))-AVERAGE(OFFSET($H$3,0,0,'Données projet'!$E$14+1,1))</f>
        <v>313.90901812281373</v>
      </c>
      <c r="DU61" s="59">
        <f t="shared" si="44"/>
        <v>210.54265725995265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9.6629521005891963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9.6629521005891963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-5.6843418860808015E-14</v>
      </c>
      <c r="EK61" s="17">
        <f>EJ61*VLOOKUP('Données projet'!$B$15,Paramètres!$A$1:$I$89,3,0)*VLOOKUP('Données projet'!$B$15,Paramètres!$A$1:$I$89,5,0)</f>
        <v>-4.5224624045658861E-14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316.52407313312403</v>
      </c>
      <c r="EP61" s="59">
        <f t="shared" si="46"/>
        <v>340.55949748167382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224.41947406889091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224.41947406889091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-5.6843418860808015E-14</v>
      </c>
      <c r="FF61" s="17">
        <f>FE61*VLOOKUP('Données projet'!$B$16,Paramètres!$A$1:$I$89,3,0)*VLOOKUP('Données projet'!$B$16,Paramètres!$A$1:$I$89,5,0)</f>
        <v>-3.7243808037601412E-14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199.99826357281154</v>
      </c>
      <c r="FK61" s="59">
        <f t="shared" si="48"/>
        <v>214.67424457475136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97.05023446563095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97.05023446563095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</v>
      </c>
      <c r="N62" s="13">
        <f>IF('Données projet'!$A$36&gt;35,N61+M62-V61,IF(A62&lt;'Données projet'!$A$36,$K$205^A62,IF(A62='Données projet'!$A$36,'Données projet'!$B$36,N61+M62-V61)))</f>
        <v>482.99999999999989</v>
      </c>
      <c r="O62" s="13">
        <f>N62*VLOOKUP('Données projet'!$B$9,Paramètres!$A$1:$I$89,3,0)*VLOOKUP('Données projet'!$B$9,Paramètres!$A$1:$I$89,5,0)</f>
        <v>288.83399999999995</v>
      </c>
      <c r="P62" s="13">
        <f t="shared" si="33"/>
        <v>68.83049863656332</v>
      </c>
      <c r="Q62" s="20">
        <f t="shared" si="53"/>
        <v>622.93233512534766</v>
      </c>
      <c r="R62" s="59">
        <f t="shared" si="0"/>
        <v>916.26566845868092</v>
      </c>
      <c r="S62" s="59">
        <f ca="1">AVERAGE(OFFSET($R$3,0,0,'Données projet'!$E$9+1,1))-AVERAGE(OFFSET($H$3,0,0,'Données projet'!$E$9+1,1))</f>
        <v>284.60021367910457</v>
      </c>
      <c r="T62" s="59">
        <f t="shared" si="34"/>
        <v>301.41905904220812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62.397704601314508</v>
      </c>
      <c r="AA62" s="21">
        <f>EXP(-LN(2)/25)*AA61+(1-EXP(-LN(2)/25))/(LN(2)/25)*Calculateur!V62*Calculateur!X62*VLOOKUP('Données projet'!$B$9,Paramètres!$A$1:$I$89,3,0)*0.475*44/12</f>
        <v>13.962999895495017</v>
      </c>
      <c r="AB62" s="21">
        <f>EXP(-LN(2)/2)*AB61+(1-EXP(-LN(2)/2))/(LN(2)/2)*V62*Y62*VLOOKUP('Données projet'!$B$9,Paramètres!$A$1:$I$89,3,0)*0.475*44/12</f>
        <v>1.3052883897014771</v>
      </c>
      <c r="AC62" s="22">
        <f t="shared" si="3"/>
        <v>77.665992886510992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16.625</v>
      </c>
      <c r="AI62" s="13">
        <f>IF('Données projet'!$A$62&gt;35,AI61+AH62-AQ61,IF(A62&lt;'Données projet'!$A$62,$AF$205^A62,IF(A62='Données projet'!$A$62,'Données projet'!$B$62,AI61+AH62-AQ61)))</f>
        <v>378.62500000000006</v>
      </c>
      <c r="AJ62" s="13">
        <f>AI62*VLOOKUP('Données projet'!$B$10,Paramètres!$A$1:$I$89,3,0)*VLOOKUP('Données projet'!$B$10,Paramètres!$A$1:$I$89,5,0)</f>
        <v>226.41775000000007</v>
      </c>
      <c r="AK62" s="13">
        <f t="shared" si="35"/>
        <v>55.507409107649544</v>
      </c>
      <c r="AL62" s="20">
        <f t="shared" si="4"/>
        <v>491.01965211248972</v>
      </c>
      <c r="AM62" s="59">
        <f t="shared" si="5"/>
        <v>784.35298544582304</v>
      </c>
      <c r="AN62" s="59">
        <f ca="1">AVERAGE(OFFSET($AM$3,0,0,'Données projet'!$E$10+1,1))-AVERAGE(OFFSET($H$3,0,0,'Données projet'!$E$10+1,1))</f>
        <v>294.45857786714919</v>
      </c>
      <c r="AO62" s="59">
        <f t="shared" si="36"/>
        <v>221.9773436301067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58.307515134891865</v>
      </c>
      <c r="AV62" s="21">
        <f>EXP(-LN(2)/25)*AV61+(1-EXP(-LN(2)/25))/(LN(2)/25)*Calculateur!AQ62*Calculateur!AS62*VLOOKUP('Données projet'!$B$10,Paramètres!$A$1:$I$89,3,0)*0.475*44/12</f>
        <v>13.812073579179886</v>
      </c>
      <c r="AW62" s="21">
        <f>EXP(-LN(2)/2)*AW61+(1-EXP(-LN(2)/2))/(LN(2)/2)*AQ62*AT62*VLOOKUP('Données projet'!$B$10,Paramètres!$A$1:$I$89,3,0)*0.475*44/12</f>
        <v>5.1734349942322702</v>
      </c>
      <c r="AX62" s="21">
        <f t="shared" si="6"/>
        <v>77.29302370830402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559.20000000000016</v>
      </c>
      <c r="BE62" s="13">
        <f>BD62*VLOOKUP('Données projet'!$B$11,Paramètres!$A$1:$I$89,3,0)*VLOOKUP('Données projet'!$B$11,Paramètres!$A$1:$I$89,5,0)</f>
        <v>312.59280000000012</v>
      </c>
      <c r="BF62" s="13">
        <f t="shared" si="37"/>
        <v>73.810047244750066</v>
      </c>
      <c r="BG62" s="20">
        <f t="shared" si="7"/>
        <v>672.98495895127326</v>
      </c>
      <c r="BH62" s="59">
        <f t="shared" si="8"/>
        <v>966.31829228460651</v>
      </c>
      <c r="BI62" s="59">
        <f ca="1">AVERAGE(OFFSET($BH$3,0,0,'Données projet'!$E$11+1,1))-AVERAGE(OFFSET($H$3,0,0,'Données projet'!$E$11+1,1))</f>
        <v>304.91676868833792</v>
      </c>
      <c r="BJ62" s="59">
        <f t="shared" si="38"/>
        <v>365.95065044620048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58.940148276518592</v>
      </c>
      <c r="BQ62" s="21">
        <f>EXP(-LN(2)/25)*BQ61+(1-EXP(-LN(2)/25))/(LN(2)/25)*Calculateur!BL62*Calculateur!BN62*VLOOKUP('Données projet'!$B$11,Paramètres!$A$1:$I$89,3,0)*0.475*44/12</f>
        <v>13.71250869869991</v>
      </c>
      <c r="BR62" s="21">
        <f>EXP(-LN(2)/2)*BR61+(1-EXP(-LN(2)/2))/(LN(2)/2)*BL62*BO62*VLOOKUP('Données projet'!$B$11,Paramètres!$A$1:$I$89,3,0)*0.475*44/12</f>
        <v>0.97294194258893774</v>
      </c>
      <c r="BS62" s="22">
        <f t="shared" si="9"/>
        <v>73.625598917807437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13.5</v>
      </c>
      <c r="BY62" s="12">
        <f>IF('Données projet'!$A$114&gt;35,BY61+BX62-CG61,IF(A62&lt;'Données projet'!$A$114,$BV$205^A62,IF(A62='Données projet'!$A$114,'Données projet'!$B$114,BY61+BX62-CG61)))</f>
        <v>389.49999999999989</v>
      </c>
      <c r="BZ62" s="13">
        <f>BY62*VLOOKUP('Données projet'!$B$12,Paramètres!$A$1:$I$89,3,0)*VLOOKUP('Données projet'!$B$12,Paramètres!$A$1:$I$89,5,0)</f>
        <v>182.28599999999994</v>
      </c>
      <c r="CA62" s="13">
        <f t="shared" si="39"/>
        <v>45.830404892964332</v>
      </c>
      <c r="CB62" s="20">
        <f t="shared" si="10"/>
        <v>397.30273852191277</v>
      </c>
      <c r="CC62" s="59">
        <f t="shared" si="11"/>
        <v>690.63607185524609</v>
      </c>
      <c r="CD62" s="59">
        <f ca="1">AVERAGE(OFFSET($CC$3,0,0,'Données projet'!$E$12+1,1))-AVERAGE(OFFSET($H$3,0,0,'Données projet'!$E$12+1,1))</f>
        <v>259.87681411271632</v>
      </c>
      <c r="CE62" s="59">
        <f t="shared" si="40"/>
        <v>191.8684235641158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28.345468983263828</v>
      </c>
      <c r="CL62" s="21">
        <f>EXP(-LN(2)/25)*CL61+(1-EXP(-LN(2)/25))/(LN(2)/25)*Calculateur!CG62*Calculateur!CI62*VLOOKUP('Données projet'!$B$12,Paramètres!$A$1:$I$89,3,0)*0.475*44/12</f>
        <v>8.1017716891897287</v>
      </c>
      <c r="CM62" s="21">
        <f>EXP(-LN(2)/2)*CM61+(1-EXP(-LN(2)/2))/(LN(2)/2)*CG62*CJ62*VLOOKUP('Données projet'!$B$12,Paramètres!$A$1:$I$89,3,0)*0.475*44/12</f>
        <v>0.20934247925816504</v>
      </c>
      <c r="CN62" s="22">
        <f t="shared" si="12"/>
        <v>36.656583151711722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7.9999999999999973</v>
      </c>
      <c r="CT62" s="12">
        <f>IF('Données projet'!$A$140&gt;35,CT61+CS62-DB61,IF(A62&lt;'Données projet'!$A$140,$CQ$205^A62,IF(A62='Données projet'!$A$140,'Données projet'!$B$140,CT61+CS62-DB61)))</f>
        <v>253.184</v>
      </c>
      <c r="CU62" s="17">
        <f>CT62*VLOOKUP('Données projet'!$B$13,Paramètres!$A$1:$I$89,3,0)*VLOOKUP('Données projet'!$B$13,Paramètres!$A$1:$I$89,5,0)</f>
        <v>118.490112</v>
      </c>
      <c r="CV62" s="13">
        <f t="shared" si="41"/>
        <v>31.322583614961523</v>
      </c>
      <c r="CW62" s="20">
        <f t="shared" si="13"/>
        <v>260.92377819605798</v>
      </c>
      <c r="CX62" s="59">
        <f t="shared" si="14"/>
        <v>554.2571115293913</v>
      </c>
      <c r="CY62" s="59">
        <f ca="1">AVERAGE(OFFSET($CX$3,0,0,'Données projet'!$E$13+1,1))-AVERAGE(OFFSET($H$3,0,0,'Données projet'!$E$13+1,1))</f>
        <v>137.59122085719031</v>
      </c>
      <c r="CZ62" s="59">
        <f t="shared" si="42"/>
        <v>130.1134470448718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19.703504766180842</v>
      </c>
      <c r="DG62" s="21">
        <f>EXP(-LN(2)/25)*DG61+(1-EXP(-LN(2)/25))/(LN(2)/25)*Calculateur!DB62*Calculateur!DD62*VLOOKUP('Données projet'!$B$13,Paramètres!$A$1:$I$89,3,0)*0.475*44/12</f>
        <v>5.6251502330550931</v>
      </c>
      <c r="DH62" s="21">
        <f>EXP(-LN(2)/2)*DH61+(1-EXP(-LN(2)/2))/(LN(2)/2)*DB62*DE62*VLOOKUP('Données projet'!$B$13,Paramètres!$A$1:$I$89,3,0)*0.475*44/12</f>
        <v>0.14389776794150794</v>
      </c>
      <c r="DI62" s="22">
        <f t="shared" si="15"/>
        <v>25.472552767177444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7.625</v>
      </c>
      <c r="DO62" s="12">
        <f>IF('Données projet'!$A$166&gt;35,DO61+DN62-DW61,IF(A62&lt;'Données projet'!$A$166,$DL$205^A62,IF(A62='Données projet'!$A$166,'Données projet'!$B$166,DO61+DN62-DW61)))</f>
        <v>170.12500000000003</v>
      </c>
      <c r="DP62" s="17">
        <f>DO62*VLOOKUP('Données projet'!$B$14,Paramètres!$A$1:$I$89,3,0)*VLOOKUP('Données projet'!$B$14,Paramètres!$A$1:$I$89,5,0)</f>
        <v>172.50675000000004</v>
      </c>
      <c r="DQ62" s="13">
        <f t="shared" si="43"/>
        <v>43.650973005846481</v>
      </c>
      <c r="DR62" s="20">
        <f t="shared" si="16"/>
        <v>376.4747009018493</v>
      </c>
      <c r="DS62" s="59">
        <f t="shared" si="17"/>
        <v>669.80803423518262</v>
      </c>
      <c r="DT62" s="59">
        <f ca="1">AVERAGE(OFFSET($DS$3,0,0,'Données projet'!$E$14+1,1))-AVERAGE(OFFSET($H$3,0,0,'Données projet'!$E$14+1,1))</f>
        <v>313.90901812281373</v>
      </c>
      <c r="DU62" s="59">
        <f t="shared" si="44"/>
        <v>210.54265725995265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9.4734675037154581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9.4734675037154581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-5.6843418860808015E-14</v>
      </c>
      <c r="EK62" s="17">
        <f>EJ62*VLOOKUP('Données projet'!$B$15,Paramètres!$A$1:$I$89,3,0)*VLOOKUP('Données projet'!$B$15,Paramètres!$A$1:$I$89,5,0)</f>
        <v>-4.5224624045658861E-14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316.52407313312403</v>
      </c>
      <c r="EP62" s="59">
        <f t="shared" si="46"/>
        <v>340.55949748167382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220.01874506476312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220.01874506476312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-5.6843418860808015E-14</v>
      </c>
      <c r="FF62" s="17">
        <f>FE62*VLOOKUP('Données projet'!$B$16,Paramètres!$A$1:$I$89,3,0)*VLOOKUP('Données projet'!$B$16,Paramètres!$A$1:$I$89,5,0)</f>
        <v>-3.7243808037601412E-14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199.99826357281154</v>
      </c>
      <c r="FK62" s="59">
        <f t="shared" si="48"/>
        <v>214.67424457475136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95.147138562557956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95.147138562557956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500</v>
      </c>
      <c r="L63" s="12">
        <f>VLOOKUP(A63,'Données projet'!$A$35:$I$55,9,0)</f>
        <v>17</v>
      </c>
      <c r="M63" s="12">
        <f t="array" ref="M63">INDEX(L:L,MIN(IF(ISNUMBER(L63:L259),ROW(L63:L259),"")))</f>
        <v>17</v>
      </c>
      <c r="N63" s="13">
        <f>IF('Données projet'!$A$36&gt;35,N62+M63-V62,IF(A63&lt;'Données projet'!$A$36,$K$205^A63,IF(A63='Données projet'!$A$36,'Données projet'!$B$36,N62+M63-V62)))</f>
        <v>499.99999999999989</v>
      </c>
      <c r="O63" s="13">
        <f>N63*VLOOKUP('Données projet'!$B$9,Paramètres!$A$1:$I$89,3,0)*VLOOKUP('Données projet'!$B$9,Paramètres!$A$1:$I$89,5,0)</f>
        <v>299</v>
      </c>
      <c r="P63" s="13">
        <f t="shared" si="33"/>
        <v>70.966784344875109</v>
      </c>
      <c r="Q63" s="20">
        <f t="shared" si="53"/>
        <v>644.35881606732414</v>
      </c>
      <c r="R63" s="59">
        <f t="shared" si="0"/>
        <v>937.6921494006574</v>
      </c>
      <c r="S63" s="59">
        <f ca="1">AVERAGE(OFFSET($R$3,0,0,'Données projet'!$E$9+1,1))-AVERAGE(OFFSET($H$3,0,0,'Données projet'!$E$9+1,1))</f>
        <v>284.60021367910457</v>
      </c>
      <c r="T63" s="59">
        <f t="shared" si="34"/>
        <v>301.41905904220812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32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7.5600000000000001E-2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69.170441960001213</v>
      </c>
      <c r="AA63" s="21">
        <f>EXP(-LN(2)/25)*AA62+(1-EXP(-LN(2)/25))/(LN(2)/25)*Calculateur!V63*Calculateur!X63*VLOOKUP('Données projet'!$B$9,Paramètres!$A$1:$I$89,3,0)*0.475*44/12</f>
        <v>15.492741025505092</v>
      </c>
      <c r="AB63" s="21">
        <f>EXP(-LN(2)/2)*AB62+(1-EXP(-LN(2)/2))/(LN(2)/2)*V63*Y63*VLOOKUP('Données projet'!$B$9,Paramètres!$A$1:$I$89,3,0)*0.475*44/12</f>
        <v>3.7829427081635547</v>
      </c>
      <c r="AC63" s="22">
        <f t="shared" si="3"/>
        <v>88.44612569366987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16.625</v>
      </c>
      <c r="AI63" s="13">
        <f>IF('Données projet'!$A$62&gt;35,AI62+AH63-AQ62,IF(A63&lt;'Données projet'!$A$62,$AF$205^A63,IF(A63='Données projet'!$A$62,'Données projet'!$B$62,AI62+AH63-AQ62)))</f>
        <v>395.25000000000006</v>
      </c>
      <c r="AJ63" s="13">
        <f>AI63*VLOOKUP('Données projet'!$B$10,Paramètres!$A$1:$I$89,3,0)*VLOOKUP('Données projet'!$B$10,Paramètres!$A$1:$I$89,5,0)</f>
        <v>236.35950000000005</v>
      </c>
      <c r="AK63" s="13">
        <f t="shared" si="35"/>
        <v>57.655563749416167</v>
      </c>
      <c r="AL63" s="20">
        <f t="shared" si="4"/>
        <v>512.0762360302333</v>
      </c>
      <c r="AM63" s="59">
        <f t="shared" si="5"/>
        <v>805.40956936356656</v>
      </c>
      <c r="AN63" s="59">
        <f ca="1">AVERAGE(OFFSET($AM$3,0,0,'Données projet'!$E$10+1,1))-AVERAGE(OFFSET($H$3,0,0,'Données projet'!$E$10+1,1))</f>
        <v>294.45857786714919</v>
      </c>
      <c r="AO63" s="59">
        <f t="shared" si="36"/>
        <v>221.9773436301067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57.164140327169207</v>
      </c>
      <c r="AV63" s="21">
        <f>EXP(-LN(2)/25)*AV62+(1-EXP(-LN(2)/25))/(LN(2)/25)*Calculateur!AQ63*Calculateur!AS63*VLOOKUP('Données projet'!$B$10,Paramètres!$A$1:$I$89,3,0)*0.475*44/12</f>
        <v>13.43438170081183</v>
      </c>
      <c r="AW63" s="21">
        <f>EXP(-LN(2)/2)*AW62+(1-EXP(-LN(2)/2))/(LN(2)/2)*AQ63*AT63*VLOOKUP('Données projet'!$B$10,Paramètres!$A$1:$I$89,3,0)*0.475*44/12</f>
        <v>3.658170966449426</v>
      </c>
      <c r="AX63" s="21">
        <f t="shared" si="6"/>
        <v>74.256692994430466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567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567.00000000000011</v>
      </c>
      <c r="BE63" s="13">
        <f>BD63*VLOOKUP('Données projet'!$B$11,Paramètres!$A$1:$I$89,3,0)*VLOOKUP('Données projet'!$B$11,Paramètres!$A$1:$I$89,5,0)</f>
        <v>316.95300000000009</v>
      </c>
      <c r="BF63" s="13">
        <f t="shared" si="37"/>
        <v>74.719013465238191</v>
      </c>
      <c r="BG63" s="20">
        <f t="shared" si="7"/>
        <v>682.16209011862327</v>
      </c>
      <c r="BH63" s="59">
        <f t="shared" si="8"/>
        <v>975.49542345195664</v>
      </c>
      <c r="BI63" s="59">
        <f ca="1">AVERAGE(OFFSET($BH$3,0,0,'Données projet'!$E$11+1,1))-AVERAGE(OFFSET($H$3,0,0,'Données projet'!$E$11+1,1))</f>
        <v>304.91676868833792</v>
      </c>
      <c r="BJ63" s="59">
        <f t="shared" si="38"/>
        <v>365.95065044620048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567</v>
      </c>
      <c r="BM63" s="16">
        <f>IF(ISNA(VLOOKUP(A63,'Données projet'!$A$87:$I$107,5,0)),0%,VLOOKUP(A63,'Données projet'!$A$87:$I$107,5,0)*VLOOKUP('Données projet'!$B$11,Paramètres!$A$1:$I$89,7,0))</f>
        <v>0.38500000000000001</v>
      </c>
      <c r="BN63" s="16">
        <f>IF(ISNA(VLOOKUP(A63,'Données projet'!$A$87:$I$107,6,0)),0%,VLOOKUP(A63,'Données projet'!$A$87:$I$107,6,0)*VLOOKUP('Données projet'!$B$11,Paramètres!$A$1:$I$89,7,0))</f>
        <v>9.240000000000001E-2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219.66092269905423</v>
      </c>
      <c r="BQ63" s="21">
        <f>EXP(-LN(2)/25)*BQ62+(1-EXP(-LN(2)/25))/(LN(2)/25)*Calculateur!BL63*Calculateur!BN63*VLOOKUP('Données projet'!$B$11,Paramètres!$A$1:$I$89,3,0)*0.475*44/12</f>
        <v>52.034943852262352</v>
      </c>
      <c r="BR63" s="21">
        <f>EXP(-LN(2)/2)*BR62+(1-EXP(-LN(2)/2))/(LN(2)/2)*BL63*BO63*VLOOKUP('Données projet'!$B$11,Paramètres!$A$1:$I$89,3,0)*0.475*44/12</f>
        <v>48.05807773382903</v>
      </c>
      <c r="BS63" s="22">
        <f t="shared" si="9"/>
        <v>319.75394428514556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403</v>
      </c>
      <c r="BW63" s="12">
        <f>VLOOKUP(A63,'Données projet'!$A$113:$I$133,9,0)</f>
        <v>13.5</v>
      </c>
      <c r="BX63" s="12">
        <f t="array" ref="BX63">INDEX(BW:BW,MIN(IF(ISNUMBER(BW63:BW259),ROW(BW63:BW259),"")))</f>
        <v>13.5</v>
      </c>
      <c r="BY63" s="12">
        <f>IF('Données projet'!$A$114&gt;35,BY62+BX63-CG62,IF(A63&lt;'Données projet'!$A$114,$BV$205^A63,IF(A63='Données projet'!$A$114,'Données projet'!$B$114,BY62+BX63-CG62)))</f>
        <v>402.99999999999989</v>
      </c>
      <c r="BZ63" s="13">
        <f>BY63*VLOOKUP('Données projet'!$B$12,Paramètres!$A$1:$I$89,3,0)*VLOOKUP('Données projet'!$B$12,Paramètres!$A$1:$I$89,5,0)</f>
        <v>188.60399999999996</v>
      </c>
      <c r="CA63" s="13">
        <f t="shared" si="39"/>
        <v>47.231184731814224</v>
      </c>
      <c r="CB63" s="20">
        <f t="shared" si="10"/>
        <v>410.74628007457636</v>
      </c>
      <c r="CC63" s="59">
        <f t="shared" si="11"/>
        <v>704.07961340790962</v>
      </c>
      <c r="CD63" s="59">
        <f ca="1">AVERAGE(OFFSET($CC$3,0,0,'Données projet'!$E$12+1,1))-AVERAGE(OFFSET($H$3,0,0,'Données projet'!$E$12+1,1))</f>
        <v>259.87681411271632</v>
      </c>
      <c r="CE63" s="59">
        <f t="shared" si="40"/>
        <v>191.8684235641158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81</v>
      </c>
      <c r="CH63" s="16">
        <f>IF(ISNA(VLOOKUP(A63,'Données projet'!$A$113:$I$133,5,0)),0%,VLOOKUP(A63,'Données projet'!$A$113:$I$133,5,0)*VLOOKUP('Données projet'!$B$12,Paramètres!$A$1:$I$89,7,0))</f>
        <v>0.38500000000000001</v>
      </c>
      <c r="CI63" s="16">
        <f>IF(ISNA(VLOOKUP(A63,'Données projet'!$A$113:$I$133,6,0)),0%,VLOOKUP(A63,'Données projet'!$A$113:$I$133,6,0)*VLOOKUP('Données projet'!$B$12,Paramètres!$A$1:$I$89,7,0))</f>
        <v>9.3500000000000014E-2</v>
      </c>
      <c r="CJ63" s="16">
        <f>IF(ISNA(VLOOKUP(A63,'Données projet'!$A$113:$I$133,7,0)),0%,VLOOKUP(A63,'Données projet'!$A$113:$I$133,7,0))</f>
        <v>0.13</v>
      </c>
      <c r="CK63" s="21">
        <f>EXP(-LN(2)/35)*CK62+(1-EXP(-LN(2)/35))/(LN(2)/35)*CG63*CH63*VLOOKUP('Données projet'!$B$12,Paramètres!$A$1:$I$89,3,0)*0.475*44/12</f>
        <v>47.150282695599756</v>
      </c>
      <c r="CL63" s="21">
        <f>EXP(-LN(2)/25)*CL62+(1-EXP(-LN(2)/25))/(LN(2)/25)*Calculateur!CG63*Calculateur!CI63*VLOOKUP('Données projet'!$B$12,Paramètres!$A$1:$I$89,3,0)*0.475*44/12</f>
        <v>12.563587655822783</v>
      </c>
      <c r="CM63" s="21">
        <f>EXP(-LN(2)/2)*CM62+(1-EXP(-LN(2)/2))/(LN(2)/2)*CG63*CJ63*VLOOKUP('Données projet'!$B$12,Paramètres!$A$1:$I$89,3,0)*0.475*44/12</f>
        <v>5.727713538176177</v>
      </c>
      <c r="CN63" s="22">
        <f t="shared" si="12"/>
        <v>65.441583889598718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261.18399999999997</v>
      </c>
      <c r="CR63" s="12">
        <f>VLOOKUP(A63,'Données projet'!$A$139:$I$159,9,0)</f>
        <v>7.9999999999999973</v>
      </c>
      <c r="CS63" s="12">
        <f t="array" ref="CS63">INDEX(CR:CR,MIN(IF(ISNUMBER(CR63:CR259),ROW(CR63:CR259),"")))</f>
        <v>7.9999999999999973</v>
      </c>
      <c r="CT63" s="12">
        <f>IF('Données projet'!$A$140&gt;35,CT62+CS63-DB62,IF(A63&lt;'Données projet'!$A$140,$CQ$205^A63,IF(A63='Données projet'!$A$140,'Données projet'!$B$140,CT62+CS63-DB62)))</f>
        <v>261.18399999999997</v>
      </c>
      <c r="CU63" s="17">
        <f>CT63*VLOOKUP('Données projet'!$B$13,Paramètres!$A$1:$I$89,3,0)*VLOOKUP('Données projet'!$B$13,Paramètres!$A$1:$I$89,5,0)</f>
        <v>122.23411199999998</v>
      </c>
      <c r="CV63" s="13">
        <f t="shared" si="41"/>
        <v>32.195508501073718</v>
      </c>
      <c r="CW63" s="20">
        <f t="shared" si="13"/>
        <v>268.96492237270337</v>
      </c>
      <c r="CX63" s="59">
        <f t="shared" si="14"/>
        <v>562.29825570603668</v>
      </c>
      <c r="CY63" s="59">
        <f ca="1">AVERAGE(OFFSET($CX$3,0,0,'Données projet'!$E$13+1,1))-AVERAGE(OFFSET($H$3,0,0,'Données projet'!$E$13+1,1))</f>
        <v>137.59122085719031</v>
      </c>
      <c r="CZ63" s="59">
        <f t="shared" si="42"/>
        <v>130.1134470448718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52.236799999999995</v>
      </c>
      <c r="DC63" s="16">
        <f>IF(ISNA(VLOOKUP(A63,'Données projet'!$A$139:$I$159,5,0)),0%,VLOOKUP(A63,'Données projet'!$A$139:$I$159,5,0)*VLOOKUP('Données projet'!$B$13,Paramètres!$A$1:$I$89,7,0))</f>
        <v>0.38500000000000001</v>
      </c>
      <c r="DD63" s="16">
        <f>IF(ISNA(VLOOKUP(A63,'Données projet'!$A$139:$I$159,6,0)),0%,VLOOKUP(A63,'Données projet'!$A$139:$I$159,6,0)*VLOOKUP('Données projet'!$B$13,Paramètres!$A$1:$I$89,7,0))</f>
        <v>9.240000000000001E-2</v>
      </c>
      <c r="DE63" s="16">
        <f>IF(ISNA(VLOOKUP(A63,'Données projet'!$A$139:$I$159,7,0)),0%,VLOOKUP(A63,'Données projet'!$A$139:$I$159,7,0))</f>
        <v>0.13200000000000001</v>
      </c>
      <c r="DF63" s="21">
        <f>EXP(-LN(2)/35)*DF62+(1-EXP(-LN(2)/35))/(LN(2)/35)*DB63*DC63*VLOOKUP('Données projet'!$B$13,Paramètres!$A$1:$I$89,3,0)*0.475*44/12</f>
        <v>31.802791028716278</v>
      </c>
      <c r="DG63" s="21">
        <f>EXP(-LN(2)/25)*DG62+(1-EXP(-LN(2)/25))/(LN(2)/25)*Calculateur!DB63*Calculateur!DD63*VLOOKUP('Données projet'!$B$13,Paramètres!$A$1:$I$89,3,0)*0.475*44/12</f>
        <v>8.4560900054765753</v>
      </c>
      <c r="DH63" s="21">
        <f>EXP(-LN(2)/2)*DH62+(1-EXP(-LN(2)/2))/(LN(2)/2)*DB63*DE63*VLOOKUP('Données projet'!$B$13,Paramètres!$A$1:$I$89,3,0)*0.475*44/12</f>
        <v>3.755442697407946</v>
      </c>
      <c r="DI63" s="22">
        <f t="shared" si="15"/>
        <v>44.014323731600797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7.625</v>
      </c>
      <c r="DO63" s="12">
        <f>IF('Données projet'!$A$166&gt;35,DO62+DN63-DW62,IF(A63&lt;'Données projet'!$A$166,$DL$205^A63,IF(A63='Données projet'!$A$166,'Données projet'!$B$166,DO62+DN63-DW62)))</f>
        <v>177.75000000000003</v>
      </c>
      <c r="DP63" s="17">
        <f>DO63*VLOOKUP('Données projet'!$B$14,Paramètres!$A$1:$I$89,3,0)*VLOOKUP('Données projet'!$B$14,Paramètres!$A$1:$I$89,5,0)</f>
        <v>180.23850000000004</v>
      </c>
      <c r="DQ63" s="13">
        <f t="shared" si="43"/>
        <v>45.375243932613444</v>
      </c>
      <c r="DR63" s="20">
        <f t="shared" si="16"/>
        <v>392.94393734930185</v>
      </c>
      <c r="DS63" s="59">
        <f t="shared" si="17"/>
        <v>686.27727068263516</v>
      </c>
      <c r="DT63" s="59">
        <f ca="1">AVERAGE(OFFSET($DS$3,0,0,'Données projet'!$E$14+1,1))-AVERAGE(OFFSET($H$3,0,0,'Données projet'!$E$14+1,1))</f>
        <v>313.90901812281373</v>
      </c>
      <c r="DU63" s="59">
        <f t="shared" si="44"/>
        <v>210.54265725995265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9.2876985842122206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9.2876985842122206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-5.6843418860808015E-14</v>
      </c>
      <c r="EK63" s="17">
        <f>EJ63*VLOOKUP('Données projet'!$B$15,Paramètres!$A$1:$I$89,3,0)*VLOOKUP('Données projet'!$B$15,Paramètres!$A$1:$I$89,5,0)</f>
        <v>-4.5224624045658861E-14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316.52407313312403</v>
      </c>
      <c r="EP63" s="59">
        <f t="shared" si="46"/>
        <v>340.55949748167382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215.70431167222665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215.70431167222665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-5.6843418860808015E-14</v>
      </c>
      <c r="FF63" s="17">
        <f>FE63*VLOOKUP('Données projet'!$B$16,Paramètres!$A$1:$I$89,3,0)*VLOOKUP('Données projet'!$B$16,Paramètres!$A$1:$I$89,5,0)</f>
        <v>-3.7243808037601412E-14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199.99826357281154</v>
      </c>
      <c r="FK63" s="59">
        <f t="shared" si="48"/>
        <v>214.67424457475136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93.281361209370331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93.281361209370331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17.399999999999999</v>
      </c>
      <c r="N64" s="13">
        <f>IF('Données projet'!$A$36&gt;35,N63+M64-V63,IF(A64&lt;'Données projet'!$A$36,$K$205^A64,IF(A64='Données projet'!$A$36,'Données projet'!$B$36,N63+M64-V63)))</f>
        <v>485.39999999999986</v>
      </c>
      <c r="O64" s="13">
        <f>N64*VLOOKUP('Données projet'!$B$9,Paramètres!$A$1:$I$89,3,0)*VLOOKUP('Données projet'!$B$9,Paramètres!$A$1:$I$89,5,0)</f>
        <v>290.2691999999999</v>
      </c>
      <c r="P64" s="13">
        <f t="shared" si="33"/>
        <v>69.13261576818384</v>
      </c>
      <c r="Q64" s="20">
        <f t="shared" si="53"/>
        <v>625.95816246291997</v>
      </c>
      <c r="R64" s="59">
        <f t="shared" si="0"/>
        <v>919.29149579625323</v>
      </c>
      <c r="S64" s="59">
        <f ca="1">AVERAGE(OFFSET($R$3,0,0,'Données projet'!$E$9+1,1))-AVERAGE(OFFSET($H$3,0,0,'Données projet'!$E$9+1,1))</f>
        <v>284.60021367910457</v>
      </c>
      <c r="T64" s="59">
        <f t="shared" si="34"/>
        <v>301.41905904220812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67.814051782969287</v>
      </c>
      <c r="AA64" s="21">
        <f>EXP(-LN(2)/25)*AA63+(1-EXP(-LN(2)/25))/(LN(2)/25)*Calculateur!V64*Calculateur!X64*VLOOKUP('Données projet'!$B$9,Paramètres!$A$1:$I$89,3,0)*0.475*44/12</f>
        <v>15.069091207434814</v>
      </c>
      <c r="AB64" s="21">
        <f>EXP(-LN(2)/2)*AB63+(1-EXP(-LN(2)/2))/(LN(2)/2)*V64*Y64*VLOOKUP('Données projet'!$B$9,Paramètres!$A$1:$I$89,3,0)*0.475*44/12</f>
        <v>2.6749444417826522</v>
      </c>
      <c r="AC64" s="22">
        <f t="shared" si="3"/>
        <v>85.558087432186753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16.625</v>
      </c>
      <c r="AI64" s="13">
        <f>IF('Données projet'!$A$62&gt;35,AI63+AH64-AQ63,IF(A64&lt;'Données projet'!$A$62,$AF$205^A64,IF(A64='Données projet'!$A$62,'Données projet'!$B$62,AI63+AH64-AQ63)))</f>
        <v>411.87500000000006</v>
      </c>
      <c r="AJ64" s="13">
        <f>AI64*VLOOKUP('Données projet'!$B$10,Paramètres!$A$1:$I$89,3,0)*VLOOKUP('Données projet'!$B$10,Paramètres!$A$1:$I$89,5,0)</f>
        <v>246.30125000000004</v>
      </c>
      <c r="AK64" s="13">
        <f t="shared" si="35"/>
        <v>59.793223430016909</v>
      </c>
      <c r="AL64" s="20">
        <f t="shared" si="4"/>
        <v>533.11454122394605</v>
      </c>
      <c r="AM64" s="59">
        <f t="shared" si="5"/>
        <v>826.44787455727942</v>
      </c>
      <c r="AN64" s="59">
        <f ca="1">AVERAGE(OFFSET($AM$3,0,0,'Données projet'!$E$10+1,1))-AVERAGE(OFFSET($H$3,0,0,'Données projet'!$E$10+1,1))</f>
        <v>294.45857786714919</v>
      </c>
      <c r="AO64" s="59">
        <f t="shared" si="36"/>
        <v>221.9773436301067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56.04318640203622</v>
      </c>
      <c r="AV64" s="21">
        <f>EXP(-LN(2)/25)*AV63+(1-EXP(-LN(2)/25))/(LN(2)/25)*Calculateur!AQ64*Calculateur!AS64*VLOOKUP('Données projet'!$B$10,Paramètres!$A$1:$I$89,3,0)*0.475*44/12</f>
        <v>13.067017826719702</v>
      </c>
      <c r="AW64" s="21">
        <f>EXP(-LN(2)/2)*AW63+(1-EXP(-LN(2)/2))/(LN(2)/2)*AQ64*AT64*VLOOKUP('Données projet'!$B$10,Paramètres!$A$1:$I$89,3,0)*0.475*44/12</f>
        <v>2.5867174971161355</v>
      </c>
      <c r="AX64" s="21">
        <f t="shared" si="6"/>
        <v>71.696921725872059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1.1368683772161603E-13</v>
      </c>
      <c r="BE64" s="13">
        <f>BD64*VLOOKUP('Données projet'!$B$11,Paramètres!$A$1:$I$89,3,0)*VLOOKUP('Données projet'!$B$11,Paramètres!$A$1:$I$89,5,0)</f>
        <v>6.3550942286383367E-14</v>
      </c>
      <c r="BF64" s="13">
        <f t="shared" si="37"/>
        <v>1.0064464192543978E-12</v>
      </c>
      <c r="BG64" s="20">
        <f t="shared" si="7"/>
        <v>1.8635787380168604E-12</v>
      </c>
      <c r="BH64" s="59">
        <f t="shared" si="8"/>
        <v>293.33333333333519</v>
      </c>
      <c r="BI64" s="59">
        <f ca="1">AVERAGE(OFFSET($BH$3,0,0,'Données projet'!$E$11+1,1))-AVERAGE(OFFSET($H$3,0,0,'Données projet'!$E$11+1,1))</f>
        <v>304.91676868833792</v>
      </c>
      <c r="BJ64" s="59">
        <f t="shared" si="38"/>
        <v>365.95065044620048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215.3535059848592</v>
      </c>
      <c r="BQ64" s="21">
        <f>EXP(-LN(2)/25)*BQ63+(1-EXP(-LN(2)/25))/(LN(2)/25)*Calculateur!BL64*Calculateur!BN64*VLOOKUP('Données projet'!$B$11,Paramètres!$A$1:$I$89,3,0)*0.475*44/12</f>
        <v>50.612045576223466</v>
      </c>
      <c r="BR64" s="21">
        <f>EXP(-LN(2)/2)*BR63+(1-EXP(-LN(2)/2))/(LN(2)/2)*BL64*BO64*VLOOKUP('Données projet'!$B$11,Paramètres!$A$1:$I$89,3,0)*0.475*44/12</f>
        <v>33.982192656380739</v>
      </c>
      <c r="BS64" s="22">
        <f t="shared" si="9"/>
        <v>299.94774421746337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337.49999999999989</v>
      </c>
      <c r="BZ64" s="13">
        <f>BY64*VLOOKUP('Données projet'!$B$12,Paramètres!$A$1:$I$89,3,0)*VLOOKUP('Données projet'!$B$12,Paramètres!$A$1:$I$89,5,0)</f>
        <v>157.94999999999996</v>
      </c>
      <c r="CA64" s="13">
        <f t="shared" si="39"/>
        <v>40.379785735878301</v>
      </c>
      <c r="CB64" s="20">
        <f t="shared" si="10"/>
        <v>345.42437682332121</v>
      </c>
      <c r="CC64" s="59">
        <f t="shared" si="11"/>
        <v>638.75771015665453</v>
      </c>
      <c r="CD64" s="59">
        <f ca="1">AVERAGE(OFFSET($CC$3,0,0,'Données projet'!$E$12+1,1))-AVERAGE(OFFSET($H$3,0,0,'Données projet'!$E$12+1,1))</f>
        <v>259.87681411271632</v>
      </c>
      <c r="CE64" s="59">
        <f t="shared" si="40"/>
        <v>191.8684235641158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46.225694410771787</v>
      </c>
      <c r="CL64" s="21">
        <f>EXP(-LN(2)/25)*CL63+(1-EXP(-LN(2)/25))/(LN(2)/25)*Calculateur!CG64*Calculateur!CI64*VLOOKUP('Données projet'!$B$12,Paramètres!$A$1:$I$89,3,0)*0.475*44/12</f>
        <v>12.220035690683948</v>
      </c>
      <c r="CM64" s="21">
        <f>EXP(-LN(2)/2)*CM63+(1-EXP(-LN(2)/2))/(LN(2)/2)*CG64*CJ64*VLOOKUP('Données projet'!$B$12,Paramètres!$A$1:$I$89,3,0)*0.475*44/12</f>
        <v>4.0501050835383685</v>
      </c>
      <c r="CN64" s="22">
        <f t="shared" si="12"/>
        <v>62.495835184994107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7.4999999999999973</v>
      </c>
      <c r="CT64" s="12">
        <f>IF('Données projet'!$A$140&gt;35,CT63+CS64-DB63,IF(A64&lt;'Données projet'!$A$140,$CQ$205^A64,IF(A64='Données projet'!$A$140,'Données projet'!$B$140,CT63+CS64-DB63)))</f>
        <v>216.44719999999998</v>
      </c>
      <c r="CU64" s="17">
        <f>CT64*VLOOKUP('Données projet'!$B$13,Paramètres!$A$1:$I$89,3,0)*VLOOKUP('Données projet'!$B$13,Paramètres!$A$1:$I$89,5,0)</f>
        <v>101.29728959999998</v>
      </c>
      <c r="CV64" s="13">
        <f t="shared" si="41"/>
        <v>27.270826676923864</v>
      </c>
      <c r="CW64" s="20">
        <f t="shared" si="13"/>
        <v>223.92280251564239</v>
      </c>
      <c r="CX64" s="59">
        <f t="shared" si="14"/>
        <v>517.25613584897565</v>
      </c>
      <c r="CY64" s="59">
        <f ca="1">AVERAGE(OFFSET($CX$3,0,0,'Données projet'!$E$13+1,1))-AVERAGE(OFFSET($H$3,0,0,'Données projet'!$E$13+1,1))</f>
        <v>137.59122085719031</v>
      </c>
      <c r="CZ64" s="59">
        <f t="shared" si="42"/>
        <v>130.1134470448718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31.179157694430309</v>
      </c>
      <c r="DG64" s="21">
        <f>EXP(-LN(2)/25)*DG63+(1-EXP(-LN(2)/25))/(LN(2)/25)*Calculateur!DB64*Calculateur!DD64*VLOOKUP('Données projet'!$B$13,Paramètres!$A$1:$I$89,3,0)*0.475*44/12</f>
        <v>8.224857779590371</v>
      </c>
      <c r="DH64" s="21">
        <f>EXP(-LN(2)/2)*DH63+(1-EXP(-LN(2)/2))/(LN(2)/2)*DB64*DE64*VLOOKUP('Données projet'!$B$13,Paramètres!$A$1:$I$89,3,0)*0.475*44/12</f>
        <v>2.6554989976946586</v>
      </c>
      <c r="DI64" s="22">
        <f t="shared" si="15"/>
        <v>42.059514471715339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7.625</v>
      </c>
      <c r="DO64" s="12">
        <f>IF('Données projet'!$A$166&gt;35,DO63+DN64-DW63,IF(A64&lt;'Données projet'!$A$166,$DL$205^A64,IF(A64='Données projet'!$A$166,'Données projet'!$B$166,DO63+DN64-DW63)))</f>
        <v>185.37500000000003</v>
      </c>
      <c r="DP64" s="17">
        <f>DO64*VLOOKUP('Données projet'!$B$14,Paramètres!$A$1:$I$89,3,0)*VLOOKUP('Données projet'!$B$14,Paramètres!$A$1:$I$89,5,0)</f>
        <v>187.97025000000005</v>
      </c>
      <c r="DQ64" s="13">
        <f t="shared" si="43"/>
        <v>47.090923822406729</v>
      </c>
      <c r="DR64" s="20">
        <f t="shared" si="16"/>
        <v>409.39821107402508</v>
      </c>
      <c r="DS64" s="59">
        <f t="shared" si="17"/>
        <v>702.73154440735834</v>
      </c>
      <c r="DT64" s="59">
        <f ca="1">AVERAGE(OFFSET($DS$3,0,0,'Données projet'!$E$14+1,1))-AVERAGE(OFFSET($H$3,0,0,'Données projet'!$E$14+1,1))</f>
        <v>313.90901812281373</v>
      </c>
      <c r="DU64" s="59">
        <f t="shared" si="44"/>
        <v>210.54265725995265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9.1055724799125901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9.1055724799125901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-5.6843418860808015E-14</v>
      </c>
      <c r="EK64" s="17">
        <f>EJ64*VLOOKUP('Données projet'!$B$15,Paramètres!$A$1:$I$89,3,0)*VLOOKUP('Données projet'!$B$15,Paramètres!$A$1:$I$89,5,0)</f>
        <v>-4.5224624045658861E-14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316.52407313312403</v>
      </c>
      <c r="EP64" s="59">
        <f t="shared" si="46"/>
        <v>340.55949748167382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211.47448168697329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211.47448168697329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-5.6843418860808015E-14</v>
      </c>
      <c r="FF64" s="17">
        <f>FE64*VLOOKUP('Données projet'!$B$16,Paramètres!$A$1:$I$89,3,0)*VLOOKUP('Données projet'!$B$16,Paramètres!$A$1:$I$89,5,0)</f>
        <v>-3.7243808037601412E-14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199.99826357281154</v>
      </c>
      <c r="FK64" s="59">
        <f t="shared" si="48"/>
        <v>214.67424457475136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91.452170612066908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91.452170612066908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17.399999999999999</v>
      </c>
      <c r="N65" s="13">
        <f>IF('Données projet'!$A$36&gt;35,N64+M65-V64,IF(A65&lt;'Données projet'!$A$36,$K$205^A65,IF(A65='Données projet'!$A$36,'Données projet'!$B$36,N64+M65-V64)))</f>
        <v>502.79999999999984</v>
      </c>
      <c r="O65" s="13">
        <f>N65*VLOOKUP('Données projet'!$B$9,Paramètres!$A$1:$I$89,3,0)*VLOOKUP('Données projet'!$B$9,Paramètres!$A$1:$I$89,5,0)</f>
        <v>300.67439999999993</v>
      </c>
      <c r="P65" s="13">
        <f t="shared" si="33"/>
        <v>71.317825137860439</v>
      </c>
      <c r="Q65" s="20">
        <f t="shared" si="53"/>
        <v>647.88645878177351</v>
      </c>
      <c r="R65" s="59">
        <f t="shared" si="0"/>
        <v>941.21979211510688</v>
      </c>
      <c r="S65" s="59">
        <f ca="1">AVERAGE(OFFSET($R$3,0,0,'Données projet'!$E$9+1,1))-AVERAGE(OFFSET($H$3,0,0,'Données projet'!$E$9+1,1))</f>
        <v>284.60021367910457</v>
      </c>
      <c r="T65" s="59">
        <f t="shared" si="34"/>
        <v>301.41905904220812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66.484259589992647</v>
      </c>
      <c r="AA65" s="21">
        <f>EXP(-LN(2)/25)*AA64+(1-EXP(-LN(2)/25))/(LN(2)/25)*Calculateur!V65*Calculateur!X65*VLOOKUP('Données projet'!$B$9,Paramètres!$A$1:$I$89,3,0)*0.475*44/12</f>
        <v>14.657026115918443</v>
      </c>
      <c r="AB65" s="21">
        <f>EXP(-LN(2)/2)*AB64+(1-EXP(-LN(2)/2))/(LN(2)/2)*V65*Y65*VLOOKUP('Données projet'!$B$9,Paramètres!$A$1:$I$89,3,0)*0.475*44/12</f>
        <v>1.8914713540817776</v>
      </c>
      <c r="AC65" s="22">
        <f t="shared" si="3"/>
        <v>83.032757059992861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16.625</v>
      </c>
      <c r="AI65" s="13">
        <f>IF('Données projet'!$A$62&gt;35,AI64+AH65-AQ64,IF(A65&lt;'Données projet'!$A$62,$AF$205^A65,IF(A65='Données projet'!$A$62,'Données projet'!$B$62,AI64+AH65-AQ64)))</f>
        <v>428.50000000000006</v>
      </c>
      <c r="AJ65" s="13">
        <f>AI65*VLOOKUP('Données projet'!$B$10,Paramètres!$A$1:$I$89,3,0)*VLOOKUP('Données projet'!$B$10,Paramètres!$A$1:$I$89,5,0)</f>
        <v>256.24300000000005</v>
      </c>
      <c r="AK65" s="13">
        <f t="shared" si="35"/>
        <v>61.920860231490025</v>
      </c>
      <c r="AL65" s="20">
        <f t="shared" si="4"/>
        <v>554.13538990317852</v>
      </c>
      <c r="AM65" s="59">
        <f t="shared" si="5"/>
        <v>847.46872323651178</v>
      </c>
      <c r="AN65" s="59">
        <f ca="1">AVERAGE(OFFSET($AM$3,0,0,'Données projet'!$E$10+1,1))-AVERAGE(OFFSET($H$3,0,0,'Données projet'!$E$10+1,1))</f>
        <v>294.45857786714919</v>
      </c>
      <c r="AO65" s="59">
        <f t="shared" si="36"/>
        <v>221.9773436301067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54.944213699660708</v>
      </c>
      <c r="AV65" s="21">
        <f>EXP(-LN(2)/25)*AV64+(1-EXP(-LN(2)/25))/(LN(2)/25)*Calculateur!AQ65*Calculateur!AS65*VLOOKUP('Données projet'!$B$10,Paramètres!$A$1:$I$89,3,0)*0.475*44/12</f>
        <v>12.70969953708345</v>
      </c>
      <c r="AW65" s="21">
        <f>EXP(-LN(2)/2)*AW64+(1-EXP(-LN(2)/2))/(LN(2)/2)*AQ65*AT65*VLOOKUP('Données projet'!$B$10,Paramètres!$A$1:$I$89,3,0)*0.475*44/12</f>
        <v>1.8290854832247132</v>
      </c>
      <c r="AX65" s="21">
        <f t="shared" si="6"/>
        <v>69.482998719968876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1.1368683772161603E-13</v>
      </c>
      <c r="BE65" s="13">
        <f>BD65*VLOOKUP('Données projet'!$B$11,Paramètres!$A$1:$I$89,3,0)*VLOOKUP('Données projet'!$B$11,Paramètres!$A$1:$I$89,5,0)</f>
        <v>6.3550942286383367E-14</v>
      </c>
      <c r="BF65" s="13">
        <f t="shared" si="37"/>
        <v>1.0064464192543978E-12</v>
      </c>
      <c r="BG65" s="20">
        <f t="shared" si="7"/>
        <v>1.8635787380168604E-12</v>
      </c>
      <c r="BH65" s="59">
        <f t="shared" si="8"/>
        <v>293.33333333333519</v>
      </c>
      <c r="BI65" s="59">
        <f ca="1">AVERAGE(OFFSET($BH$3,0,0,'Données projet'!$E$11+1,1))-AVERAGE(OFFSET($H$3,0,0,'Données projet'!$E$11+1,1))</f>
        <v>304.91676868833792</v>
      </c>
      <c r="BJ65" s="59">
        <f t="shared" si="38"/>
        <v>365.95065044620048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211.13055508516476</v>
      </c>
      <c r="BQ65" s="21">
        <f>EXP(-LN(2)/25)*BQ64+(1-EXP(-LN(2)/25))/(LN(2)/25)*Calculateur!BL65*Calculateur!BN65*VLOOKUP('Données projet'!$B$11,Paramètres!$A$1:$I$89,3,0)*0.475*44/12</f>
        <v>49.228056528369834</v>
      </c>
      <c r="BR65" s="21">
        <f>EXP(-LN(2)/2)*BR64+(1-EXP(-LN(2)/2))/(LN(2)/2)*BL65*BO65*VLOOKUP('Données projet'!$B$11,Paramètres!$A$1:$I$89,3,0)*0.475*44/12</f>
        <v>24.029038866914519</v>
      </c>
      <c r="BS65" s="22">
        <f t="shared" si="9"/>
        <v>284.38765048044911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352.99999999999989</v>
      </c>
      <c r="BZ65" s="13">
        <f>BY65*VLOOKUP('Données projet'!$B$12,Paramètres!$A$1:$I$89,3,0)*VLOOKUP('Données projet'!$B$12,Paramètres!$A$1:$I$89,5,0)</f>
        <v>165.20399999999995</v>
      </c>
      <c r="CA65" s="13">
        <f t="shared" si="39"/>
        <v>42.014096665795854</v>
      </c>
      <c r="CB65" s="20">
        <f t="shared" si="10"/>
        <v>360.90485169292765</v>
      </c>
      <c r="CC65" s="59">
        <f t="shared" si="11"/>
        <v>654.23818502626091</v>
      </c>
      <c r="CD65" s="59">
        <f ca="1">AVERAGE(OFFSET($CC$3,0,0,'Données projet'!$E$12+1,1))-AVERAGE(OFFSET($H$3,0,0,'Données projet'!$E$12+1,1))</f>
        <v>259.87681411271632</v>
      </c>
      <c r="CE65" s="59">
        <f t="shared" si="40"/>
        <v>191.8684235641158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45.319236738266127</v>
      </c>
      <c r="CL65" s="21">
        <f>EXP(-LN(2)/25)*CL64+(1-EXP(-LN(2)/25))/(LN(2)/25)*Calculateur!CG65*Calculateur!CI65*VLOOKUP('Données projet'!$B$12,Paramètres!$A$1:$I$89,3,0)*0.475*44/12</f>
        <v>11.885878172098447</v>
      </c>
      <c r="CM65" s="21">
        <f>EXP(-LN(2)/2)*CM64+(1-EXP(-LN(2)/2))/(LN(2)/2)*CG65*CJ65*VLOOKUP('Données projet'!$B$12,Paramètres!$A$1:$I$89,3,0)*0.475*44/12</f>
        <v>2.8638567690880889</v>
      </c>
      <c r="CN65" s="22">
        <f t="shared" si="12"/>
        <v>60.068971679452659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7.4999999999999973</v>
      </c>
      <c r="CT65" s="12">
        <f>IF('Données projet'!$A$140&gt;35,CT64+CS65-DB64,IF(A65&lt;'Données projet'!$A$140,$CQ$205^A65,IF(A65='Données projet'!$A$140,'Données projet'!$B$140,CT64+CS65-DB64)))</f>
        <v>223.94719999999998</v>
      </c>
      <c r="CU65" s="17">
        <f>CT65*VLOOKUP('Données projet'!$B$13,Paramètres!$A$1:$I$89,3,0)*VLOOKUP('Données projet'!$B$13,Paramètres!$A$1:$I$89,5,0)</f>
        <v>104.80728959999999</v>
      </c>
      <c r="CV65" s="13">
        <f t="shared" si="41"/>
        <v>28.104119625665213</v>
      </c>
      <c r="CW65" s="20">
        <f t="shared" si="13"/>
        <v>231.48737106803355</v>
      </c>
      <c r="CX65" s="59">
        <f t="shared" si="14"/>
        <v>524.82070440136681</v>
      </c>
      <c r="CY65" s="59">
        <f ca="1">AVERAGE(OFFSET($CX$3,0,0,'Données projet'!$E$13+1,1))-AVERAGE(OFFSET($H$3,0,0,'Données projet'!$E$13+1,1))</f>
        <v>137.59122085719031</v>
      </c>
      <c r="CZ65" s="59">
        <f t="shared" si="42"/>
        <v>130.1134470448718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30.56775342945091</v>
      </c>
      <c r="DG65" s="21">
        <f>EXP(-LN(2)/25)*DG64+(1-EXP(-LN(2)/25))/(LN(2)/25)*Calculateur!DB65*Calculateur!DD65*VLOOKUP('Données projet'!$B$13,Paramètres!$A$1:$I$89,3,0)*0.475*44/12</f>
        <v>7.9999486110809999</v>
      </c>
      <c r="DH65" s="21">
        <f>EXP(-LN(2)/2)*DH64+(1-EXP(-LN(2)/2))/(LN(2)/2)*DB65*DE65*VLOOKUP('Données projet'!$B$13,Paramètres!$A$1:$I$89,3,0)*0.475*44/12</f>
        <v>1.8777213487039734</v>
      </c>
      <c r="DI65" s="22">
        <f t="shared" si="15"/>
        <v>40.445423389235884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>
        <f>VLOOKUP(A65,'Données projet'!$A$165:$I$185,2,0)</f>
        <v>193</v>
      </c>
      <c r="DM65" s="12">
        <f>VLOOKUP(A65,'Données projet'!$A$165:$I$185,9,0)</f>
        <v>7.625</v>
      </c>
      <c r="DN65" s="12">
        <f t="array" ref="DN65">INDEX(DM:DM,MIN(IF(ISNUMBER(DM65:DM261),ROW(DM65:DM261),"")))</f>
        <v>7.625</v>
      </c>
      <c r="DO65" s="12">
        <f>IF('Données projet'!$A$166&gt;35,DO64+DN65-DW64,IF(A65&lt;'Données projet'!$A$166,$DL$205^A65,IF(A65='Données projet'!$A$166,'Données projet'!$B$166,DO64+DN65-DW64)))</f>
        <v>193.00000000000003</v>
      </c>
      <c r="DP65" s="17">
        <f>DO65*VLOOKUP('Données projet'!$B$14,Paramètres!$A$1:$I$89,3,0)*VLOOKUP('Données projet'!$B$14,Paramètres!$A$1:$I$89,5,0)</f>
        <v>195.70200000000003</v>
      </c>
      <c r="DQ65" s="13">
        <f t="shared" si="43"/>
        <v>48.79840646516984</v>
      </c>
      <c r="DR65" s="20">
        <f t="shared" si="16"/>
        <v>425.83820792683758</v>
      </c>
      <c r="DS65" s="59">
        <f t="shared" si="17"/>
        <v>719.1715412601709</v>
      </c>
      <c r="DT65" s="59">
        <f ca="1">AVERAGE(OFFSET($DS$3,0,0,'Données projet'!$E$14+1,1))-AVERAGE(OFFSET($H$3,0,0,'Données projet'!$E$14+1,1))</f>
        <v>313.90901812281373</v>
      </c>
      <c r="DU65" s="59">
        <f t="shared" si="44"/>
        <v>210.54265725995265</v>
      </c>
      <c r="DV65" s="15">
        <f>IF(ISNA(VLOOKUP(A65,'Données projet'!$A$165:$I$185,3,0)),0,VLOOKUP(A65,'Données projet'!$A$165:$I$185,3,0))</f>
        <v>5</v>
      </c>
      <c r="DW65" s="15">
        <f>IF(ISNA(VLOOKUP(A65,'Données projet'!$A$165:$I$185,4,0)),0,VLOOKUP(A65,'Données projet'!$A$165:$I$185,4,0))</f>
        <v>39</v>
      </c>
      <c r="DX65" s="16">
        <f>IF(ISNA(VLOOKUP(A65,'Données projet'!$A$165:$I$185,5,0)),0%,VLOOKUP(A65,'Données projet'!$A$165:$I$185,5,0)*VLOOKUP('Données projet'!$B$14,Paramètres!$A$1:$I$89,7,0))</f>
        <v>0.30099999999999999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22.085814177764345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22.085814177764345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-5.6843418860808015E-14</v>
      </c>
      <c r="EK65" s="17">
        <f>EJ65*VLOOKUP('Données projet'!$B$15,Paramètres!$A$1:$I$89,3,0)*VLOOKUP('Données projet'!$B$15,Paramètres!$A$1:$I$89,5,0)</f>
        <v>-4.5224624045658861E-14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316.52407313312403</v>
      </c>
      <c r="EP65" s="59">
        <f t="shared" si="46"/>
        <v>340.55949748167382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207.3275960877892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207.3275960877892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-5.6843418860808015E-14</v>
      </c>
      <c r="FF65" s="17">
        <f>FE65*VLOOKUP('Données projet'!$B$16,Paramètres!$A$1:$I$89,3,0)*VLOOKUP('Données projet'!$B$16,Paramètres!$A$1:$I$89,5,0)</f>
        <v>-3.7243808037601412E-14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199.99826357281154</v>
      </c>
      <c r="FK65" s="59">
        <f t="shared" si="48"/>
        <v>214.67424457475136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89.658849326680496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89.658849326680496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17.399999999999999</v>
      </c>
      <c r="N66" s="13">
        <f>IF('Données projet'!$A$36&gt;35,N65+M66-V65,IF(A66&lt;'Données projet'!$A$36,$K$205^A66,IF(A66='Données projet'!$A$36,'Données projet'!$B$36,N65+M66-V65)))</f>
        <v>520.19999999999982</v>
      </c>
      <c r="O66" s="13">
        <f>N66*VLOOKUP('Données projet'!$B$9,Paramètres!$A$1:$I$89,3,0)*VLOOKUP('Données projet'!$B$9,Paramètres!$A$1:$I$89,5,0)</f>
        <v>311.07959999999991</v>
      </c>
      <c r="P66" s="13">
        <f t="shared" si="33"/>
        <v>73.49424798183118</v>
      </c>
      <c r="Q66" s="20">
        <f t="shared" si="53"/>
        <v>669.79945190168905</v>
      </c>
      <c r="R66" s="59">
        <f t="shared" si="0"/>
        <v>963.13278523502231</v>
      </c>
      <c r="S66" s="59">
        <f ca="1">AVERAGE(OFFSET($R$3,0,0,'Données projet'!$E$9+1,1))-AVERAGE(OFFSET($H$3,0,0,'Données projet'!$E$9+1,1))</f>
        <v>284.60021367910457</v>
      </c>
      <c r="T66" s="59">
        <f t="shared" si="34"/>
        <v>301.41905904220812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65.180543810827118</v>
      </c>
      <c r="AA66" s="21">
        <f>EXP(-LN(2)/25)*AA65+(1-EXP(-LN(2)/25))/(LN(2)/25)*Calculateur!V66*Calculateur!X66*VLOOKUP('Données projet'!$B$9,Paramètres!$A$1:$I$89,3,0)*0.475*44/12</f>
        <v>14.256228965999149</v>
      </c>
      <c r="AB66" s="21">
        <f>EXP(-LN(2)/2)*AB65+(1-EXP(-LN(2)/2))/(LN(2)/2)*V66*Y66*VLOOKUP('Données projet'!$B$9,Paramètres!$A$1:$I$89,3,0)*0.475*44/12</f>
        <v>1.3374722208913263</v>
      </c>
      <c r="AC66" s="22">
        <f t="shared" si="3"/>
        <v>80.774244997717602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16.625</v>
      </c>
      <c r="AI66" s="13">
        <f>IF('Données projet'!$A$62&gt;35,AI65+AH66-AQ65,IF(A66&lt;'Données projet'!$A$62,$AF$205^A66,IF(A66='Données projet'!$A$62,'Données projet'!$B$62,AI65+AH66-AQ65)))</f>
        <v>445.12500000000006</v>
      </c>
      <c r="AJ66" s="13">
        <f>AI66*VLOOKUP('Données projet'!$B$10,Paramètres!$A$1:$I$89,3,0)*VLOOKUP('Données projet'!$B$10,Paramètres!$A$1:$I$89,5,0)</f>
        <v>266.18475000000007</v>
      </c>
      <c r="AK66" s="13">
        <f t="shared" si="35"/>
        <v>64.038907529798962</v>
      </c>
      <c r="AL66" s="20">
        <f t="shared" si="4"/>
        <v>575.13953686439993</v>
      </c>
      <c r="AM66" s="59">
        <f t="shared" si="5"/>
        <v>868.4728701977333</v>
      </c>
      <c r="AN66" s="59">
        <f ca="1">AVERAGE(OFFSET($AM$3,0,0,'Données projet'!$E$10+1,1))-AVERAGE(OFFSET($H$3,0,0,'Données projet'!$E$10+1,1))</f>
        <v>294.45857786714919</v>
      </c>
      <c r="AO66" s="59">
        <f t="shared" si="36"/>
        <v>221.9773436301067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53.866791181671616</v>
      </c>
      <c r="AV66" s="21">
        <f>EXP(-LN(2)/25)*AV65+(1-EXP(-LN(2)/25))/(LN(2)/25)*Calculateur!AQ66*Calculateur!AS66*VLOOKUP('Données projet'!$B$10,Paramètres!$A$1:$I$89,3,0)*0.475*44/12</f>
        <v>12.362152134867854</v>
      </c>
      <c r="AW66" s="21">
        <f>EXP(-LN(2)/2)*AW65+(1-EXP(-LN(2)/2))/(LN(2)/2)*AQ66*AT66*VLOOKUP('Données projet'!$B$10,Paramètres!$A$1:$I$89,3,0)*0.475*44/12</f>
        <v>1.293358748558068</v>
      </c>
      <c r="AX66" s="21">
        <f t="shared" si="6"/>
        <v>67.522302065097534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1.1368683772161603E-13</v>
      </c>
      <c r="BE66" s="13">
        <f>BD66*VLOOKUP('Données projet'!$B$11,Paramètres!$A$1:$I$89,3,0)*VLOOKUP('Données projet'!$B$11,Paramètres!$A$1:$I$89,5,0)</f>
        <v>6.3550942286383367E-14</v>
      </c>
      <c r="BF66" s="13">
        <f t="shared" si="37"/>
        <v>1.0064464192543978E-12</v>
      </c>
      <c r="BG66" s="20">
        <f t="shared" si="7"/>
        <v>1.8635787380168604E-12</v>
      </c>
      <c r="BH66" s="59">
        <f t="shared" si="8"/>
        <v>293.33333333333519</v>
      </c>
      <c r="BI66" s="59">
        <f ca="1">AVERAGE(OFFSET($BH$3,0,0,'Données projet'!$E$11+1,1))-AVERAGE(OFFSET($H$3,0,0,'Données projet'!$E$11+1,1))</f>
        <v>304.91676868833792</v>
      </c>
      <c r="BJ66" s="59">
        <f t="shared" si="38"/>
        <v>365.95065044620048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206.9904136768676</v>
      </c>
      <c r="BQ66" s="21">
        <f>EXP(-LN(2)/25)*BQ65+(1-EXP(-LN(2)/25))/(LN(2)/25)*Calculateur!BL66*Calculateur!BN66*VLOOKUP('Données projet'!$B$11,Paramètres!$A$1:$I$89,3,0)*0.475*44/12</f>
        <v>47.88191273381058</v>
      </c>
      <c r="BR66" s="21">
        <f>EXP(-LN(2)/2)*BR65+(1-EXP(-LN(2)/2))/(LN(2)/2)*BL66*BO66*VLOOKUP('Données projet'!$B$11,Paramètres!$A$1:$I$89,3,0)*0.475*44/12</f>
        <v>16.991096328190373</v>
      </c>
      <c r="BS66" s="22">
        <f t="shared" si="9"/>
        <v>271.86342273886856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368.49999999999989</v>
      </c>
      <c r="BZ66" s="13">
        <f>BY66*VLOOKUP('Données projet'!$B$12,Paramètres!$A$1:$I$89,3,0)*VLOOKUP('Données projet'!$B$12,Paramètres!$A$1:$I$89,5,0)</f>
        <v>172.45799999999997</v>
      </c>
      <c r="CA66" s="13">
        <f t="shared" si="39"/>
        <v>43.640073035750248</v>
      </c>
      <c r="CB66" s="20">
        <f t="shared" si="10"/>
        <v>376.37081053726496</v>
      </c>
      <c r="CC66" s="59">
        <f t="shared" si="11"/>
        <v>669.70414387059827</v>
      </c>
      <c r="CD66" s="59">
        <f ca="1">AVERAGE(OFFSET($CC$3,0,0,'Données projet'!$E$12+1,1))-AVERAGE(OFFSET($H$3,0,0,'Données projet'!$E$12+1,1))</f>
        <v>259.87681411271632</v>
      </c>
      <c r="CE66" s="59">
        <f t="shared" si="40"/>
        <v>191.8684235641158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44.430554147833718</v>
      </c>
      <c r="CL66" s="21">
        <f>EXP(-LN(2)/25)*CL65+(1-EXP(-LN(2)/25))/(LN(2)/25)*Calculateur!CG66*Calculateur!CI66*VLOOKUP('Données projet'!$B$12,Paramètres!$A$1:$I$89,3,0)*0.475*44/12</f>
        <v>11.560858208431247</v>
      </c>
      <c r="CM66" s="21">
        <f>EXP(-LN(2)/2)*CM65+(1-EXP(-LN(2)/2))/(LN(2)/2)*CG66*CJ66*VLOOKUP('Données projet'!$B$12,Paramètres!$A$1:$I$89,3,0)*0.475*44/12</f>
        <v>2.0250525417691843</v>
      </c>
      <c r="CN66" s="22">
        <f t="shared" si="12"/>
        <v>58.016464898034151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7.4999999999999973</v>
      </c>
      <c r="CT66" s="12">
        <f>IF('Données projet'!$A$140&gt;35,CT65+CS66-DB65,IF(A66&lt;'Données projet'!$A$140,$CQ$205^A66,IF(A66='Données projet'!$A$140,'Données projet'!$B$140,CT65+CS66-DB65)))</f>
        <v>231.44719999999998</v>
      </c>
      <c r="CU66" s="17">
        <f>CT66*VLOOKUP('Données projet'!$B$13,Paramètres!$A$1:$I$89,3,0)*VLOOKUP('Données projet'!$B$13,Paramètres!$A$1:$I$89,5,0)</f>
        <v>108.3172896</v>
      </c>
      <c r="CV66" s="13">
        <f t="shared" si="41"/>
        <v>28.934169881147564</v>
      </c>
      <c r="CW66" s="20">
        <f t="shared" si="13"/>
        <v>239.04629192966533</v>
      </c>
      <c r="CX66" s="59">
        <f t="shared" si="14"/>
        <v>532.37962526299862</v>
      </c>
      <c r="CY66" s="59">
        <f ca="1">AVERAGE(OFFSET($CX$3,0,0,'Données projet'!$E$13+1,1))-AVERAGE(OFFSET($H$3,0,0,'Données projet'!$E$13+1,1))</f>
        <v>137.59122085719031</v>
      </c>
      <c r="CZ66" s="59">
        <f t="shared" si="42"/>
        <v>130.1134470448718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29.96833842918798</v>
      </c>
      <c r="DG66" s="21">
        <f>EXP(-LN(2)/25)*DG65+(1-EXP(-LN(2)/25))/(LN(2)/25)*Calculateur!DB66*Calculateur!DD66*VLOOKUP('Données projet'!$B$13,Paramètres!$A$1:$I$89,3,0)*0.475*44/12</f>
        <v>7.781189595611977</v>
      </c>
      <c r="DH66" s="21">
        <f>EXP(-LN(2)/2)*DH65+(1-EXP(-LN(2)/2))/(LN(2)/2)*DB66*DE66*VLOOKUP('Données projet'!$B$13,Paramètres!$A$1:$I$89,3,0)*0.475*44/12</f>
        <v>1.3277494988473295</v>
      </c>
      <c r="DI66" s="22">
        <f t="shared" si="15"/>
        <v>39.07727752364729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8.25</v>
      </c>
      <c r="DO66" s="12">
        <f>IF('Données projet'!$A$166&gt;35,DO65+DN66-DW65,IF(A66&lt;'Données projet'!$A$166,$DL$205^A66,IF(A66='Données projet'!$A$166,'Données projet'!$B$166,DO65+DN66-DW65)))</f>
        <v>162.25000000000003</v>
      </c>
      <c r="DP66" s="17">
        <f>DO66*VLOOKUP('Données projet'!$B$14,Paramètres!$A$1:$I$89,3,0)*VLOOKUP('Données projet'!$B$14,Paramètres!$A$1:$I$89,5,0)</f>
        <v>164.52150000000003</v>
      </c>
      <c r="DQ66" s="13">
        <f t="shared" si="43"/>
        <v>41.860692411302814</v>
      </c>
      <c r="DR66" s="20">
        <f t="shared" si="16"/>
        <v>359.44898511635239</v>
      </c>
      <c r="DS66" s="59">
        <f t="shared" si="17"/>
        <v>652.7823184496857</v>
      </c>
      <c r="DT66" s="59">
        <f ca="1">AVERAGE(OFFSET($DS$3,0,0,'Données projet'!$E$14+1,1))-AVERAGE(OFFSET($H$3,0,0,'Données projet'!$E$14+1,1))</f>
        <v>313.90901812281373</v>
      </c>
      <c r="DU66" s="59">
        <f t="shared" si="44"/>
        <v>210.54265725995265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21.652724832754881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21.652724832754881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-5.6843418860808015E-14</v>
      </c>
      <c r="EK66" s="17">
        <f>EJ66*VLOOKUP('Données projet'!$B$15,Paramètres!$A$1:$I$89,3,0)*VLOOKUP('Données projet'!$B$15,Paramètres!$A$1:$I$89,5,0)</f>
        <v>-4.5224624045658861E-14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316.52407313312403</v>
      </c>
      <c r="EP66" s="59">
        <f t="shared" si="46"/>
        <v>340.55949748167382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203.26202838585465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203.26202838585465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-5.6843418860808015E-14</v>
      </c>
      <c r="FF66" s="17">
        <f>FE66*VLOOKUP('Données projet'!$B$16,Paramètres!$A$1:$I$89,3,0)*VLOOKUP('Données projet'!$B$16,Paramètres!$A$1:$I$89,5,0)</f>
        <v>-3.7243808037601412E-14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199.99826357281154</v>
      </c>
      <c r="FK66" s="59">
        <f t="shared" si="48"/>
        <v>214.67424457475136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87.90069397788254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87.90069397788254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17.399999999999999</v>
      </c>
      <c r="N67" s="13">
        <f>IF('Données projet'!$A$36&gt;35,N66+M67-V66,IF(A67&lt;'Données projet'!$A$36,$K$205^A67,IF(A67='Données projet'!$A$36,'Données projet'!$B$36,N66+M67-V66)))</f>
        <v>537.5999999999998</v>
      </c>
      <c r="O67" s="13">
        <f>N67*VLOOKUP('Données projet'!$B$9,Paramètres!$A$1:$I$89,3,0)*VLOOKUP('Données projet'!$B$9,Paramètres!$A$1:$I$89,5,0)</f>
        <v>321.48479999999989</v>
      </c>
      <c r="P67" s="13">
        <f t="shared" si="33"/>
        <v>75.662211893590367</v>
      </c>
      <c r="Q67" s="20">
        <f t="shared" ref="Q67:Q98" si="54">(O67+P67)*0.475*44/12</f>
        <v>691.69771238133637</v>
      </c>
      <c r="R67" s="59">
        <f t="shared" ref="R67:R130" si="55">Q67+(I67+J67)*44/12</f>
        <v>985.03104571466974</v>
      </c>
      <c r="S67" s="59">
        <f ca="1">AVERAGE(OFFSET($R$3,0,0,'Données projet'!$E$9+1,1))-AVERAGE(OFFSET($H$3,0,0,'Données projet'!$E$9+1,1))</f>
        <v>284.60021367910457</v>
      </c>
      <c r="T67" s="59">
        <f t="shared" si="34"/>
        <v>301.41905904220812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63.90239310290292</v>
      </c>
      <c r="AA67" s="21">
        <f>EXP(-LN(2)/25)*AA66+(1-EXP(-LN(2)/25))/(LN(2)/25)*Calculateur!V67*Calculateur!X67*VLOOKUP('Données projet'!$B$9,Paramètres!$A$1:$I$89,3,0)*0.475*44/12</f>
        <v>13.866391635221404</v>
      </c>
      <c r="AB67" s="21">
        <f>EXP(-LN(2)/2)*AB66+(1-EXP(-LN(2)/2))/(LN(2)/2)*V67*Y67*VLOOKUP('Données projet'!$B$9,Paramètres!$A$1:$I$89,3,0)*0.475*44/12</f>
        <v>0.9457356770408889</v>
      </c>
      <c r="AC67" s="22">
        <f t="shared" si="3"/>
        <v>78.714520415165211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16.625</v>
      </c>
      <c r="AI67" s="13">
        <f>IF('Données projet'!$A$62&gt;35,AI66+AH67-AQ66,IF(A67&lt;'Données projet'!$A$62,$AF$205^A67,IF(A67='Données projet'!$A$62,'Données projet'!$B$62,AI66+AH67-AQ66)))</f>
        <v>461.75000000000006</v>
      </c>
      <c r="AJ67" s="13">
        <f>AI67*VLOOKUP('Données projet'!$B$10,Paramètres!$A$1:$I$89,3,0)*VLOOKUP('Données projet'!$B$10,Paramètres!$A$1:$I$89,5,0)</f>
        <v>276.12650000000002</v>
      </c>
      <c r="AK67" s="13">
        <f t="shared" si="35"/>
        <v>66.147764494536631</v>
      </c>
      <c r="AL67" s="20">
        <f t="shared" si="4"/>
        <v>596.12767732798454</v>
      </c>
      <c r="AM67" s="59">
        <f t="shared" si="5"/>
        <v>889.46101066131791</v>
      </c>
      <c r="AN67" s="59">
        <f ca="1">AVERAGE(OFFSET($AM$3,0,0,'Données projet'!$E$10+1,1))-AVERAGE(OFFSET($H$3,0,0,'Données projet'!$E$10+1,1))</f>
        <v>294.45857786714919</v>
      </c>
      <c r="AO67" s="59">
        <f t="shared" si="36"/>
        <v>221.9773436301067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52.810496262097445</v>
      </c>
      <c r="AV67" s="21">
        <f>EXP(-LN(2)/25)*AV66+(1-EXP(-LN(2)/25))/(LN(2)/25)*Calculateur!AQ67*Calculateur!AS67*VLOOKUP('Données projet'!$B$10,Paramètres!$A$1:$I$89,3,0)*0.475*44/12</f>
        <v>12.024108434642566</v>
      </c>
      <c r="AW67" s="21">
        <f>EXP(-LN(2)/2)*AW66+(1-EXP(-LN(2)/2))/(LN(2)/2)*AQ67*AT67*VLOOKUP('Données projet'!$B$10,Paramètres!$A$1:$I$89,3,0)*0.475*44/12</f>
        <v>0.91454274161235682</v>
      </c>
      <c r="AX67" s="21">
        <f t="shared" si="6"/>
        <v>65.749147438352367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1.1368683772161603E-13</v>
      </c>
      <c r="BE67" s="13">
        <f>BD67*VLOOKUP('Données projet'!$B$11,Paramètres!$A$1:$I$89,3,0)*VLOOKUP('Données projet'!$B$11,Paramètres!$A$1:$I$89,5,0)</f>
        <v>6.3550942286383367E-14</v>
      </c>
      <c r="BF67" s="13">
        <f t="shared" si="37"/>
        <v>1.0064464192543978E-12</v>
      </c>
      <c r="BG67" s="20">
        <f t="shared" si="7"/>
        <v>1.8635787380168604E-12</v>
      </c>
      <c r="BH67" s="59">
        <f t="shared" si="8"/>
        <v>293.33333333333519</v>
      </c>
      <c r="BI67" s="59">
        <f ca="1">AVERAGE(OFFSET($BH$3,0,0,'Données projet'!$E$11+1,1))-AVERAGE(OFFSET($H$3,0,0,'Données projet'!$E$11+1,1))</f>
        <v>304.91676868833792</v>
      </c>
      <c r="BJ67" s="59">
        <f t="shared" si="38"/>
        <v>365.95065044620048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202.93145791635027</v>
      </c>
      <c r="BQ67" s="21">
        <f>EXP(-LN(2)/25)*BQ66+(1-EXP(-LN(2)/25))/(LN(2)/25)*Calculateur!BL67*Calculateur!BN67*VLOOKUP('Données projet'!$B$11,Paramètres!$A$1:$I$89,3,0)*0.475*44/12</f>
        <v>46.572579312104175</v>
      </c>
      <c r="BR67" s="21">
        <f>EXP(-LN(2)/2)*BR66+(1-EXP(-LN(2)/2))/(LN(2)/2)*BL67*BO67*VLOOKUP('Données projet'!$B$11,Paramètres!$A$1:$I$89,3,0)*0.475*44/12</f>
        <v>12.014519433457263</v>
      </c>
      <c r="BS67" s="22">
        <f t="shared" si="9"/>
        <v>261.5185566619117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383.99999999999989</v>
      </c>
      <c r="BZ67" s="13">
        <f>BY67*VLOOKUP('Données projet'!$B$12,Paramètres!$A$1:$I$89,3,0)*VLOOKUP('Données projet'!$B$12,Paramètres!$A$1:$I$89,5,0)</f>
        <v>179.71199999999993</v>
      </c>
      <c r="CA67" s="13">
        <f t="shared" si="39"/>
        <v>45.258105502458051</v>
      </c>
      <c r="CB67" s="20">
        <f t="shared" si="10"/>
        <v>391.82293375011432</v>
      </c>
      <c r="CC67" s="59">
        <f t="shared" si="11"/>
        <v>685.15626708344757</v>
      </c>
      <c r="CD67" s="59">
        <f ca="1">AVERAGE(OFFSET($CC$3,0,0,'Données projet'!$E$12+1,1))-AVERAGE(OFFSET($H$3,0,0,'Données projet'!$E$12+1,1))</f>
        <v>259.87681411271632</v>
      </c>
      <c r="CE67" s="59">
        <f t="shared" si="40"/>
        <v>191.8684235641158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43.559298080956829</v>
      </c>
      <c r="CL67" s="21">
        <f>EXP(-LN(2)/25)*CL66+(1-EXP(-LN(2)/25))/(LN(2)/25)*Calculateur!CG67*Calculateur!CI67*VLOOKUP('Données projet'!$B$12,Paramètres!$A$1:$I$89,3,0)*0.475*44/12</f>
        <v>11.244725932762584</v>
      </c>
      <c r="CM67" s="21">
        <f>EXP(-LN(2)/2)*CM66+(1-EXP(-LN(2)/2))/(LN(2)/2)*CG67*CJ67*VLOOKUP('Données projet'!$B$12,Paramètres!$A$1:$I$89,3,0)*0.475*44/12</f>
        <v>1.4319283845440445</v>
      </c>
      <c r="CN67" s="22">
        <f t="shared" si="12"/>
        <v>56.235952398263457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7.4999999999999973</v>
      </c>
      <c r="CT67" s="12">
        <f>IF('Données projet'!$A$140&gt;35,CT66+CS67-DB66,IF(A67&lt;'Données projet'!$A$140,$CQ$205^A67,IF(A67='Données projet'!$A$140,'Données projet'!$B$140,CT66+CS67-DB66)))</f>
        <v>238.94719999999998</v>
      </c>
      <c r="CU67" s="17">
        <f>CT67*VLOOKUP('Données projet'!$B$13,Paramètres!$A$1:$I$89,3,0)*VLOOKUP('Données projet'!$B$13,Paramètres!$A$1:$I$89,5,0)</f>
        <v>111.8272896</v>
      </c>
      <c r="CV67" s="13">
        <f t="shared" si="41"/>
        <v>29.761094574023723</v>
      </c>
      <c r="CW67" s="20">
        <f t="shared" si="13"/>
        <v>246.59976910309135</v>
      </c>
      <c r="CX67" s="59">
        <f t="shared" si="14"/>
        <v>539.93310243642463</v>
      </c>
      <c r="CY67" s="59">
        <f ca="1">AVERAGE(OFFSET($CX$3,0,0,'Données projet'!$E$13+1,1))-AVERAGE(OFFSET($H$3,0,0,'Données projet'!$E$13+1,1))</f>
        <v>137.59122085719031</v>
      </c>
      <c r="CZ67" s="59">
        <f t="shared" si="42"/>
        <v>130.1134470448718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29.380677591473155</v>
      </c>
      <c r="DG67" s="21">
        <f>EXP(-LN(2)/25)*DG66+(1-EXP(-LN(2)/25))/(LN(2)/25)*Calculateur!DB67*Calculateur!DD67*VLOOKUP('Données projet'!$B$13,Paramètres!$A$1:$I$89,3,0)*0.475*44/12</f>
        <v>7.5684125569249909</v>
      </c>
      <c r="DH67" s="21">
        <f>EXP(-LN(2)/2)*DH66+(1-EXP(-LN(2)/2))/(LN(2)/2)*DB67*DE67*VLOOKUP('Données projet'!$B$13,Paramètres!$A$1:$I$89,3,0)*0.475*44/12</f>
        <v>0.93886067435198683</v>
      </c>
      <c r="DI67" s="22">
        <f t="shared" si="15"/>
        <v>37.887950822750135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8.25</v>
      </c>
      <c r="DO67" s="12">
        <f>IF('Données projet'!$A$166&gt;35,DO66+DN67-DW66,IF(A67&lt;'Données projet'!$A$166,$DL$205^A67,IF(A67='Données projet'!$A$166,'Données projet'!$B$166,DO66+DN67-DW66)))</f>
        <v>170.50000000000003</v>
      </c>
      <c r="DP67" s="17">
        <f>DO67*VLOOKUP('Données projet'!$B$14,Paramètres!$A$1:$I$89,3,0)*VLOOKUP('Données projet'!$B$14,Paramètres!$A$1:$I$89,5,0)</f>
        <v>172.88700000000003</v>
      </c>
      <c r="DQ67" s="13">
        <f t="shared" si="43"/>
        <v>43.73598047623517</v>
      </c>
      <c r="DR67" s="20">
        <f t="shared" si="16"/>
        <v>377.28502432944293</v>
      </c>
      <c r="DS67" s="59">
        <f t="shared" si="17"/>
        <v>670.61835766277625</v>
      </c>
      <c r="DT67" s="59">
        <f ca="1">AVERAGE(OFFSET($DS$3,0,0,'Données projet'!$E$14+1,1))-AVERAGE(OFFSET($H$3,0,0,'Données projet'!$E$14+1,1))</f>
        <v>313.90901812281373</v>
      </c>
      <c r="DU67" s="59">
        <f t="shared" si="44"/>
        <v>210.54265725995265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21.228128105642636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21.228128105642636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-5.6843418860808015E-14</v>
      </c>
      <c r="EK67" s="17">
        <f>EJ67*VLOOKUP('Données projet'!$B$15,Paramètres!$A$1:$I$89,3,0)*VLOOKUP('Données projet'!$B$15,Paramètres!$A$1:$I$89,5,0)</f>
        <v>-4.5224624045658861E-14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316.52407313312403</v>
      </c>
      <c r="EP67" s="59">
        <f t="shared" si="46"/>
        <v>340.55949748167382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199.27618398680357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199.27618398680357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-5.6843418860808015E-14</v>
      </c>
      <c r="FF67" s="17">
        <f>FE67*VLOOKUP('Données projet'!$B$16,Paramètres!$A$1:$I$89,3,0)*VLOOKUP('Données projet'!$B$16,Paramètres!$A$1:$I$89,5,0)</f>
        <v>-3.7243808037601412E-14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199.99826357281154</v>
      </c>
      <c r="FK67" s="59">
        <f t="shared" si="48"/>
        <v>214.67424457475136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86.177014983105636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86.177014983105636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555</v>
      </c>
      <c r="L68" s="12">
        <f>VLOOKUP(A68,'Données projet'!$A$35:$I$55,9,0)</f>
        <v>17.399999999999999</v>
      </c>
      <c r="M68" s="12">
        <f t="array" ref="M68">INDEX(L:L,MIN(IF(ISNUMBER(L68:L264),ROW(L68:L264),"")))</f>
        <v>17.399999999999999</v>
      </c>
      <c r="N68" s="13">
        <f>IF('Données projet'!$A$36&gt;35,N67+M68-V67,IF(A68&lt;'Données projet'!$A$36,$K$205^A68,IF(A68='Données projet'!$A$36,'Données projet'!$B$36,N67+M68-V67)))</f>
        <v>554.99999999999977</v>
      </c>
      <c r="O68" s="13">
        <f>N68*VLOOKUP('Données projet'!$B$9,Paramètres!$A$1:$I$89,3,0)*VLOOKUP('Données projet'!$B$9,Paramètres!$A$1:$I$89,5,0)</f>
        <v>331.88999999999987</v>
      </c>
      <c r="P68" s="13">
        <f t="shared" si="33"/>
        <v>77.822022056956186</v>
      </c>
      <c r="Q68" s="20">
        <f t="shared" si="54"/>
        <v>713.58177174919854</v>
      </c>
      <c r="R68" s="59">
        <f t="shared" si="55"/>
        <v>1006.9151050825319</v>
      </c>
      <c r="S68" s="59">
        <f ca="1">AVERAGE(OFFSET($R$3,0,0,'Données projet'!$E$9+1,1))-AVERAGE(OFFSET($H$3,0,0,'Données projet'!$E$9+1,1))</f>
        <v>284.60021367910457</v>
      </c>
      <c r="T68" s="59">
        <f t="shared" si="34"/>
        <v>301.41905904220812</v>
      </c>
      <c r="U68" s="15" t="str">
        <f>IF(ISNA(VLOOKUP(A68,'Données projet'!$A$35:$I$55,3,0)),0,VLOOKUP(A68,'Données projet'!$A$35:$I$55,3,0))</f>
        <v>CR</v>
      </c>
      <c r="V68" s="15">
        <f>IF(ISNA(VLOOKUP(A68,'Données projet'!$A$35:$I$55,4,0)),0,VLOOKUP(A68,'Données projet'!$A$35:$I$55,4,0))</f>
        <v>555</v>
      </c>
      <c r="W68" s="16">
        <f>IF(ISNA(VLOOKUP(A68,'Données projet'!$A$35:$I$55,5,0)),0%,VLOOKUP(A68,'Données projet'!$A$35:$I$55,5,0)*VLOOKUP('Données projet'!$B$9,Paramètres!$A$1:$I$89,7,0))</f>
        <v>0.315</v>
      </c>
      <c r="X68" s="16">
        <f>IF(ISNA(VLOOKUP(A68,'Données projet'!$A$35:$I$55,6,0)),0%,VLOOKUP(A68,'Données projet'!$A$35:$I$55,6,0)*VLOOKUP('Données projet'!$B$9,Paramètres!$A$1:$I$89,7,0))</f>
        <v>7.5600000000000001E-2</v>
      </c>
      <c r="Y68" s="16">
        <f>IF(ISNA(VLOOKUP(A68,'Données projet'!$A$35:$I$55,7,0)),0%,VLOOKUP(A68,'Données projet'!$A$35:$I$55,7,0))</f>
        <v>0.13200000000000001</v>
      </c>
      <c r="Z68" s="21">
        <f>EXP(-LN(2)/35)*Z67+(1-EXP(-LN(2)/35))/(LN(2)/35)*V68*W68*VLOOKUP('Données projet'!$B$9,Paramètres!$A$1:$I$89,3,0)*0.475*44/12</f>
        <v>201.33545144225226</v>
      </c>
      <c r="AA68" s="21">
        <f>EXP(-LN(2)/25)*AA67+(1-EXP(-LN(2)/25))/(LN(2)/25)*Calculateur!V68*Calculateur!X68*VLOOKUP('Données projet'!$B$9,Paramètres!$A$1:$I$89,3,0)*0.475*44/12</f>
        <v>46.640834849292659</v>
      </c>
      <c r="AB68" s="21">
        <f>EXP(-LN(2)/2)*AB67+(1-EXP(-LN(2)/2))/(LN(2)/2)*V68*Y68*VLOOKUP('Données projet'!$B$9,Paramètres!$A$1:$I$89,3,0)*0.475*44/12</f>
        <v>50.271244304285425</v>
      </c>
      <c r="AC68" s="22">
        <f t="shared" ref="AC68:AC131" si="57">SUM(Z68:AB68)</f>
        <v>298.24753059583031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16.625</v>
      </c>
      <c r="AI68" s="13">
        <f>IF('Données projet'!$A$62&gt;35,AI67+AH68-AQ67,IF(A68&lt;'Données projet'!$A$62,$AF$205^A68,IF(A68='Données projet'!$A$62,'Données projet'!$B$62,AI67+AH68-AQ67)))</f>
        <v>478.37500000000006</v>
      </c>
      <c r="AJ68" s="13">
        <f>AI68*VLOOKUP('Données projet'!$B$10,Paramètres!$A$1:$I$89,3,0)*VLOOKUP('Données projet'!$B$10,Paramètres!$A$1:$I$89,5,0)</f>
        <v>286.06825000000003</v>
      </c>
      <c r="AK68" s="13">
        <f t="shared" si="35"/>
        <v>68.247799922382825</v>
      </c>
      <c r="AL68" s="20">
        <f t="shared" ref="AL68:AL131" si="58">(AJ68+AK68)*0.475*44/12</f>
        <v>617.10045361481673</v>
      </c>
      <c r="AM68" s="59">
        <f t="shared" ref="AM68:AM131" si="59">AL68+(AD68+AE68)*44/12</f>
        <v>910.4337869481501</v>
      </c>
      <c r="AN68" s="59">
        <f ca="1">AVERAGE(OFFSET($AM$3,0,0,'Données projet'!$E$10+1,1))-AVERAGE(OFFSET($H$3,0,0,'Données projet'!$E$10+1,1))</f>
        <v>294.45857786714919</v>
      </c>
      <c r="AO68" s="59">
        <f t="shared" si="36"/>
        <v>221.9773436301067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51.774914641619837</v>
      </c>
      <c r="AV68" s="21">
        <f>EXP(-LN(2)/25)*AV67+(1-EXP(-LN(2)/25))/(LN(2)/25)*Calculateur!AQ68*Calculateur!AS68*VLOOKUP('Données projet'!$B$10,Paramètres!$A$1:$I$89,3,0)*0.475*44/12</f>
        <v>11.695308557176883</v>
      </c>
      <c r="AW68" s="21">
        <f>EXP(-LN(2)/2)*AW67+(1-EXP(-LN(2)/2))/(LN(2)/2)*AQ68*AT68*VLOOKUP('Données projet'!$B$10,Paramètres!$A$1:$I$89,3,0)*0.475*44/12</f>
        <v>0.6466793742790341</v>
      </c>
      <c r="AX68" s="21">
        <f t="shared" ref="AX68:AX131" si="60">SUM(AU68:AW68)</f>
        <v>64.116902573075748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1.1368683772161603E-13</v>
      </c>
      <c r="BE68" s="13">
        <f>BD68*VLOOKUP('Données projet'!$B$11,Paramètres!$A$1:$I$89,3,0)*VLOOKUP('Données projet'!$B$11,Paramètres!$A$1:$I$89,5,0)</f>
        <v>6.3550942286383367E-14</v>
      </c>
      <c r="BF68" s="13">
        <f t="shared" si="37"/>
        <v>1.0064464192543978E-12</v>
      </c>
      <c r="BG68" s="20">
        <f t="shared" ref="BG68:BG131" si="61">(BE68+BF68)*0.475*44/12</f>
        <v>1.8635787380168604E-12</v>
      </c>
      <c r="BH68" s="59">
        <f t="shared" ref="BH68:BH131" si="62">BG68+(AY68+AZ68)*44/12</f>
        <v>293.33333333333519</v>
      </c>
      <c r="BI68" s="59">
        <f ca="1">AVERAGE(OFFSET($BH$3,0,0,'Données projet'!$E$11+1,1))-AVERAGE(OFFSET($H$3,0,0,'Données projet'!$E$11+1,1))</f>
        <v>304.91676868833792</v>
      </c>
      <c r="BJ68" s="59">
        <f t="shared" si="38"/>
        <v>365.95065044620048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198.9520958025781</v>
      </c>
      <c r="BQ68" s="21">
        <f>EXP(-LN(2)/25)*BQ67+(1-EXP(-LN(2)/25))/(LN(2)/25)*Calculateur!BL68*Calculateur!BN68*VLOOKUP('Données projet'!$B$11,Paramètres!$A$1:$I$89,3,0)*0.475*44/12</f>
        <v>45.299049681669182</v>
      </c>
      <c r="BR68" s="21">
        <f>EXP(-LN(2)/2)*BR67+(1-EXP(-LN(2)/2))/(LN(2)/2)*BL68*BO68*VLOOKUP('Données projet'!$B$11,Paramètres!$A$1:$I$89,3,0)*0.475*44/12</f>
        <v>8.4955481640951884</v>
      </c>
      <c r="BS68" s="22">
        <f t="shared" ref="BS68:BS131" si="63">SUM(BP68:BR68)</f>
        <v>252.74669364834247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399.49999999999989</v>
      </c>
      <c r="BZ68" s="13">
        <f>BY68*VLOOKUP('Données projet'!$B$12,Paramètres!$A$1:$I$89,3,0)*VLOOKUP('Données projet'!$B$12,Paramètres!$A$1:$I$89,5,0)</f>
        <v>186.96599999999995</v>
      </c>
      <c r="CA68" s="13">
        <f t="shared" si="39"/>
        <v>46.868551400324606</v>
      </c>
      <c r="CB68" s="20">
        <f t="shared" ref="CB68:CB131" si="64">(BZ68+CA68)*0.475*44/12</f>
        <v>407.26184368889858</v>
      </c>
      <c r="CC68" s="59">
        <f t="shared" ref="CC68:CC131" si="65">CB68+(BT68+BU68)*44/12</f>
        <v>700.59517702223184</v>
      </c>
      <c r="CD68" s="59">
        <f ca="1">AVERAGE(OFFSET($CC$3,0,0,'Données projet'!$E$12+1,1))-AVERAGE(OFFSET($H$3,0,0,'Données projet'!$E$12+1,1))</f>
        <v>259.87681411271632</v>
      </c>
      <c r="CE68" s="59">
        <f t="shared" si="40"/>
        <v>191.8684235641158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42.705126814137671</v>
      </c>
      <c r="CL68" s="21">
        <f>EXP(-LN(2)/25)*CL67+(1-EXP(-LN(2)/25))/(LN(2)/25)*Calculateur!CG68*Calculateur!CI68*VLOOKUP('Données projet'!$B$12,Paramètres!$A$1:$I$89,3,0)*0.475*44/12</f>
        <v>10.937238310796754</v>
      </c>
      <c r="CM68" s="21">
        <f>EXP(-LN(2)/2)*CM67+(1-EXP(-LN(2)/2))/(LN(2)/2)*CG68*CJ68*VLOOKUP('Données projet'!$B$12,Paramètres!$A$1:$I$89,3,0)*0.475*44/12</f>
        <v>1.0125262708845921</v>
      </c>
      <c r="CN68" s="22">
        <f t="shared" ref="CN68:CN131" si="66">SUM(CK68:CM68)</f>
        <v>54.654891395819021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7.4999999999999973</v>
      </c>
      <c r="CT68" s="12">
        <f>IF('Données projet'!$A$140&gt;35,CT67+CS68-DB67,IF(A68&lt;'Données projet'!$A$140,$CQ$205^A68,IF(A68='Données projet'!$A$140,'Données projet'!$B$140,CT67+CS68-DB67)))</f>
        <v>246.44719999999998</v>
      </c>
      <c r="CU68" s="17">
        <f>CT68*VLOOKUP('Données projet'!$B$13,Paramètres!$A$1:$I$89,3,0)*VLOOKUP('Données projet'!$B$13,Paramètres!$A$1:$I$89,5,0)</f>
        <v>115.33728959999999</v>
      </c>
      <c r="CV68" s="13">
        <f t="shared" si="41"/>
        <v>30.5850030644105</v>
      </c>
      <c r="CW68" s="20">
        <f t="shared" ref="CW68:CW131" si="67">(CU68+CV68)*0.475*44/12</f>
        <v>254.14799305718159</v>
      </c>
      <c r="CX68" s="59">
        <f t="shared" ref="CX68:CX131" si="68">CW68+(CO68+CP68)*44/12</f>
        <v>547.48132639051494</v>
      </c>
      <c r="CY68" s="59">
        <f ca="1">AVERAGE(OFFSET($CX$3,0,0,'Données projet'!$E$13+1,1))-AVERAGE(OFFSET($H$3,0,0,'Données projet'!$E$13+1,1))</f>
        <v>137.59122085719031</v>
      </c>
      <c r="CZ68" s="59">
        <f t="shared" si="42"/>
        <v>130.1134470448718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28.8045404243482</v>
      </c>
      <c r="DG68" s="21">
        <f>EXP(-LN(2)/25)*DG67+(1-EXP(-LN(2)/25))/(LN(2)/25)*Calculateur!DB68*Calculateur!DD68*VLOOKUP('Données projet'!$B$13,Paramètres!$A$1:$I$89,3,0)*0.475*44/12</f>
        <v>7.3614539175503584</v>
      </c>
      <c r="DH68" s="21">
        <f>EXP(-LN(2)/2)*DH67+(1-EXP(-LN(2)/2))/(LN(2)/2)*DB68*DE68*VLOOKUP('Données projet'!$B$13,Paramètres!$A$1:$I$89,3,0)*0.475*44/12</f>
        <v>0.66387474942366487</v>
      </c>
      <c r="DI68" s="22">
        <f t="shared" ref="DI68:DI131" si="69">SUM(DF68:DH68)</f>
        <v>36.829869091322223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8.25</v>
      </c>
      <c r="DO68" s="12">
        <f>IF('Données projet'!$A$166&gt;35,DO67+DN68-DW67,IF(A68&lt;'Données projet'!$A$166,$DL$205^A68,IF(A68='Données projet'!$A$166,'Données projet'!$B$166,DO67+DN68-DW67)))</f>
        <v>178.75000000000003</v>
      </c>
      <c r="DP68" s="17">
        <f>DO68*VLOOKUP('Données projet'!$B$14,Paramètres!$A$1:$I$89,3,0)*VLOOKUP('Données projet'!$B$14,Paramètres!$A$1:$I$89,5,0)</f>
        <v>181.25250000000005</v>
      </c>
      <c r="DQ68" s="13">
        <f t="shared" si="43"/>
        <v>45.600731782171422</v>
      </c>
      <c r="DR68" s="20">
        <f t="shared" ref="DR68:DR131" si="70">(DP68+DQ68)*0.475*44/12</f>
        <v>395.10271202061523</v>
      </c>
      <c r="DS68" s="59">
        <f t="shared" ref="DS68:DS131" si="71">DR68+(DJ68+DK68)*44/12</f>
        <v>688.43604535394854</v>
      </c>
      <c r="DT68" s="59">
        <f ca="1">AVERAGE(OFFSET($DS$3,0,0,'Données projet'!$E$14+1,1))-AVERAGE(OFFSET($H$3,0,0,'Données projet'!$E$14+1,1))</f>
        <v>313.90901812281373</v>
      </c>
      <c r="DU68" s="59">
        <f t="shared" si="44"/>
        <v>210.54265725995265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20.811857461370632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20.811857461370632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-5.6843418860808015E-14</v>
      </c>
      <c r="EK68" s="17">
        <f>EJ68*VLOOKUP('Données projet'!$B$15,Paramètres!$A$1:$I$89,3,0)*VLOOKUP('Données projet'!$B$15,Paramètres!$A$1:$I$89,5,0)</f>
        <v>-4.5224624045658861E-14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316.52407313312403</v>
      </c>
      <c r="EP68" s="59">
        <f t="shared" si="46"/>
        <v>340.55949748167382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195.36849956529286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195.36849956529286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-5.6843418860808015E-14</v>
      </c>
      <c r="FF68" s="17">
        <f>FE68*VLOOKUP('Données projet'!$B$16,Paramètres!$A$1:$I$89,3,0)*VLOOKUP('Données projet'!$B$16,Paramètres!$A$1:$I$89,5,0)</f>
        <v>-3.7243808037601412E-14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199.99826357281154</v>
      </c>
      <c r="FK68" s="59">
        <f t="shared" si="48"/>
        <v>214.67424457475136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84.487136282075923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84.487136282075923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284.60021367910457</v>
      </c>
      <c r="T69" s="59">
        <f t="shared" ref="T69:T132" si="88">$T$3</f>
        <v>301.41905904220812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197.38738604196934</v>
      </c>
      <c r="AA69" s="21">
        <f>EXP(-LN(2)/25)*AA68+(1-EXP(-LN(2)/25))/(LN(2)/25)*Calculateur!V69*Calculateur!X69*VLOOKUP('Données projet'!$B$9,Paramètres!$A$1:$I$89,3,0)*0.475*44/12</f>
        <v>45.365438767603848</v>
      </c>
      <c r="AB69" s="21">
        <f>EXP(-LN(2)/2)*AB68+(1-EXP(-LN(2)/2))/(LN(2)/2)*V69*Y69*VLOOKUP('Données projet'!$B$9,Paramètres!$A$1:$I$89,3,0)*0.475*44/12</f>
        <v>35.547137746245831</v>
      </c>
      <c r="AC69" s="22">
        <f t="shared" si="57"/>
        <v>278.29996255581904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495</v>
      </c>
      <c r="AG69" s="12">
        <f>VLOOKUP(A69,'Données projet'!$A$61:$I$81,9,0)</f>
        <v>16.625</v>
      </c>
      <c r="AH69" s="12">
        <f t="array" ref="AH69">INDEX(AG:AG,MIN(IF(ISNUMBER(AG69:AG265),ROW(AG69:AG265),"")))</f>
        <v>16.625</v>
      </c>
      <c r="AI69" s="13">
        <f>IF('Données projet'!$A$62&gt;35,AI68+AH69-AQ68,IF(A69&lt;'Données projet'!$A$62,$AF$205^A69,IF(A69='Données projet'!$A$62,'Données projet'!$B$62,AI68+AH69-AQ68)))</f>
        <v>495.00000000000006</v>
      </c>
      <c r="AJ69" s="13">
        <f>AI69*VLOOKUP('Données projet'!$B$10,Paramètres!$A$1:$I$89,3,0)*VLOOKUP('Données projet'!$B$10,Paramètres!$A$1:$I$89,5,0)</f>
        <v>296.01000000000005</v>
      </c>
      <c r="AK69" s="13">
        <f t="shared" ref="AK69:AK132" si="89">EXP(-1.0587+0.8836*LN(AJ69)+0.284)</f>
        <v>70.339355522692159</v>
      </c>
      <c r="AL69" s="20">
        <f t="shared" si="58"/>
        <v>638.05846086868894</v>
      </c>
      <c r="AM69" s="59">
        <f t="shared" si="59"/>
        <v>931.39179420202231</v>
      </c>
      <c r="AN69" s="59">
        <f ca="1">AVERAGE(OFFSET($AM$3,0,0,'Données projet'!$E$10+1,1))-AVERAGE(OFFSET($H$3,0,0,'Données projet'!$E$10+1,1))</f>
        <v>294.45857786714919</v>
      </c>
      <c r="AO69" s="59">
        <f t="shared" ref="AO69:AO132" si="90">$AO$3</f>
        <v>221.9773436301067</v>
      </c>
      <c r="AP69" s="15">
        <f>IF(ISNA(VLOOKUP(A69,'Données projet'!$A$61:$I$81,3,0)),0,VLOOKUP(A69,'Données projet'!$A$61:$I$81,3,0))</f>
        <v>9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67.002161665701891</v>
      </c>
      <c r="AV69" s="21">
        <f>EXP(-LN(2)/25)*AV68+(1-EXP(-LN(2)/25))/(LN(2)/25)*Calculateur!AQ69*Calculateur!AS69*VLOOKUP('Données projet'!$B$10,Paramètres!$A$1:$I$89,3,0)*0.475*44/12</f>
        <v>15.258356175534191</v>
      </c>
      <c r="AW69" s="21">
        <f>EXP(-LN(2)/2)*AW68+(1-EXP(-LN(2)/2))/(LN(2)/2)*AQ69*AT69*VLOOKUP('Données projet'!$B$10,Paramètres!$A$1:$I$89,3,0)*0.475*44/12</f>
        <v>6.2665741322468715</v>
      </c>
      <c r="AX69" s="21">
        <f t="shared" si="60"/>
        <v>88.527091973482953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1.1368683772161603E-13</v>
      </c>
      <c r="BE69" s="13">
        <f>BD69*VLOOKUP('Données projet'!$B$11,Paramètres!$A$1:$I$89,3,0)*VLOOKUP('Données projet'!$B$11,Paramètres!$A$1:$I$89,5,0)</f>
        <v>6.3550942286383367E-14</v>
      </c>
      <c r="BF69" s="13">
        <f t="shared" ref="BF69:BF132" si="91">EXP(-1.0587+0.8836*LN(BE69)+0.284)</f>
        <v>1.0064464192543978E-12</v>
      </c>
      <c r="BG69" s="20">
        <f t="shared" si="61"/>
        <v>1.8635787380168604E-12</v>
      </c>
      <c r="BH69" s="59">
        <f t="shared" si="62"/>
        <v>293.33333333333519</v>
      </c>
      <c r="BI69" s="59">
        <f ca="1">AVERAGE(OFFSET($BH$3,0,0,'Données projet'!$E$11+1,1))-AVERAGE(OFFSET($H$3,0,0,'Données projet'!$E$11+1,1))</f>
        <v>304.91676868833792</v>
      </c>
      <c r="BJ69" s="59">
        <f t="shared" ref="BJ69:BJ132" si="92">$BJ$3</f>
        <v>365.95065044620048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195.05076655268579</v>
      </c>
      <c r="BQ69" s="21">
        <f>EXP(-LN(2)/25)*BQ68+(1-EXP(-LN(2)/25))/(LN(2)/25)*Calculateur!BL69*Calculateur!BN69*VLOOKUP('Données projet'!$B$11,Paramètres!$A$1:$I$89,3,0)*0.475*44/12</f>
        <v>44.060344785950448</v>
      </c>
      <c r="BR69" s="21">
        <f>EXP(-LN(2)/2)*BR68+(1-EXP(-LN(2)/2))/(LN(2)/2)*BL69*BO69*VLOOKUP('Données projet'!$B$11,Paramètres!$A$1:$I$89,3,0)*0.475*44/12</f>
        <v>6.0072597167286323</v>
      </c>
      <c r="BS69" s="22">
        <f t="shared" si="63"/>
        <v>245.11837105536489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414.99999999999989</v>
      </c>
      <c r="BZ69" s="13">
        <f>BY69*VLOOKUP('Données projet'!$B$12,Paramètres!$A$1:$I$89,3,0)*VLOOKUP('Données projet'!$B$12,Paramètres!$A$1:$I$89,5,0)</f>
        <v>194.21999999999994</v>
      </c>
      <c r="CA69" s="13">
        <f t="shared" ref="CA69:CA132" si="93">EXP(-1.0587+0.8836*LN(BZ69)+0.284)</f>
        <v>48.471738765579786</v>
      </c>
      <c r="CB69" s="20">
        <f t="shared" si="64"/>
        <v>422.68811168338465</v>
      </c>
      <c r="CC69" s="59">
        <f t="shared" si="65"/>
        <v>716.02144501671796</v>
      </c>
      <c r="CD69" s="59">
        <f ca="1">AVERAGE(OFFSET($CC$3,0,0,'Données projet'!$E$12+1,1))-AVERAGE(OFFSET($H$3,0,0,'Données projet'!$E$12+1,1))</f>
        <v>259.87681411271632</v>
      </c>
      <c r="CE69" s="59">
        <f t="shared" ref="CE69:CE132" si="94">$CE$3</f>
        <v>191.8684235641158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41.867705324867806</v>
      </c>
      <c r="CL69" s="21">
        <f>EXP(-LN(2)/25)*CL68+(1-EXP(-LN(2)/25))/(LN(2)/25)*Calculateur!CG69*Calculateur!CI69*VLOOKUP('Données projet'!$B$12,Paramètres!$A$1:$I$89,3,0)*0.475*44/12</f>
        <v>10.638158954023652</v>
      </c>
      <c r="CM69" s="21">
        <f>EXP(-LN(2)/2)*CM68+(1-EXP(-LN(2)/2))/(LN(2)/2)*CG69*CJ69*VLOOKUP('Données projet'!$B$12,Paramètres!$A$1:$I$89,3,0)*0.475*44/12</f>
        <v>0.71596419227202224</v>
      </c>
      <c r="CN69" s="22">
        <f t="shared" si="66"/>
        <v>53.221828471163484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7.4999999999999973</v>
      </c>
      <c r="CT69" s="12">
        <f>IF('Données projet'!$A$140&gt;35,CT68+CS69-DB68,IF(A69&lt;'Données projet'!$A$140,$CQ$205^A69,IF(A69='Données projet'!$A$140,'Données projet'!$B$140,CT68+CS69-DB68)))</f>
        <v>253.94719999999998</v>
      </c>
      <c r="CU69" s="17">
        <f>CT69*VLOOKUP('Données projet'!$B$13,Paramètres!$A$1:$I$89,3,0)*VLOOKUP('Données projet'!$B$13,Paramètres!$A$1:$I$89,5,0)</f>
        <v>118.84728959999998</v>
      </c>
      <c r="CV69" s="13">
        <f t="shared" ref="CV69:CV132" si="95">EXP(-1.0587+0.8836*LN(CU69)+0.284)</f>
        <v>31.405997678003271</v>
      </c>
      <c r="CW69" s="20">
        <f t="shared" si="67"/>
        <v>261.69114200918898</v>
      </c>
      <c r="CX69" s="59">
        <f t="shared" si="68"/>
        <v>555.02447534252224</v>
      </c>
      <c r="CY69" s="59">
        <f ca="1">AVERAGE(OFFSET($CX$3,0,0,'Données projet'!$E$13+1,1))-AVERAGE(OFFSET($H$3,0,0,'Données projet'!$E$13+1,1))</f>
        <v>137.59122085719031</v>
      </c>
      <c r="CZ69" s="59">
        <f t="shared" ref="CZ69:CZ132" si="96">$CZ$3</f>
        <v>130.1134470448718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28.239700955661593</v>
      </c>
      <c r="DG69" s="21">
        <f>EXP(-LN(2)/25)*DG68+(1-EXP(-LN(2)/25))/(LN(2)/25)*Calculateur!DB69*Calculateur!DD69*VLOOKUP('Données projet'!$B$13,Paramètres!$A$1:$I$89,3,0)*0.475*44/12</f>
        <v>7.1601545730529068</v>
      </c>
      <c r="DH69" s="21">
        <f>EXP(-LN(2)/2)*DH68+(1-EXP(-LN(2)/2))/(LN(2)/2)*DB69*DE69*VLOOKUP('Données projet'!$B$13,Paramètres!$A$1:$I$89,3,0)*0.475*44/12</f>
        <v>0.46943033717599347</v>
      </c>
      <c r="DI69" s="22">
        <f t="shared" si="69"/>
        <v>35.86928586589049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8.25</v>
      </c>
      <c r="DO69" s="12">
        <f>IF('Données projet'!$A$166&gt;35,DO68+DN69-DW68,IF(A69&lt;'Données projet'!$A$166,$DL$205^A69,IF(A69='Données projet'!$A$166,'Données projet'!$B$166,DO68+DN69-DW68)))</f>
        <v>187.00000000000003</v>
      </c>
      <c r="DP69" s="17">
        <f>DO69*VLOOKUP('Données projet'!$B$14,Paramètres!$A$1:$I$89,3,0)*VLOOKUP('Données projet'!$B$14,Paramètres!$A$1:$I$89,5,0)</f>
        <v>189.61800000000005</v>
      </c>
      <c r="DQ69" s="13">
        <f t="shared" ref="DQ69:DQ132" si="97">EXP(-1.0587+0.8836*LN(DP69)+0.284)</f>
        <v>47.4554881852685</v>
      </c>
      <c r="DR69" s="20">
        <f t="shared" si="70"/>
        <v>412.90299192267599</v>
      </c>
      <c r="DS69" s="59">
        <f t="shared" si="71"/>
        <v>706.23632525600931</v>
      </c>
      <c r="DT69" s="59">
        <f ca="1">AVERAGE(OFFSET($DS$3,0,0,'Données projet'!$E$14+1,1))-AVERAGE(OFFSET($H$3,0,0,'Données projet'!$E$14+1,1))</f>
        <v>313.90901812281373</v>
      </c>
      <c r="DU69" s="59">
        <f t="shared" ref="DU69:DU132" si="98">$DU$3</f>
        <v>210.54265725995265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20.403749630532779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20.403749630532779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-5.6843418860808015E-14</v>
      </c>
      <c r="EK69" s="17">
        <f>EJ69*VLOOKUP('Données projet'!$B$15,Paramètres!$A$1:$I$89,3,0)*VLOOKUP('Données projet'!$B$15,Paramètres!$A$1:$I$89,5,0)</f>
        <v>-4.5224624045658861E-14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316.52407313312403</v>
      </c>
      <c r="EP69" s="59">
        <f t="shared" ref="EP69:EP132" si="100">$EP$3</f>
        <v>340.55949748167382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191.53744245183583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191.53744245183583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-5.6843418860808015E-14</v>
      </c>
      <c r="FF69" s="17">
        <f>FE69*VLOOKUP('Données projet'!$B$16,Paramètres!$A$1:$I$89,3,0)*VLOOKUP('Données projet'!$B$16,Paramètres!$A$1:$I$89,5,0)</f>
        <v>-3.7243808037601412E-14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199.99826357281154</v>
      </c>
      <c r="FK69" s="59">
        <f t="shared" ref="FK69:FK132" si="102">$FK$3</f>
        <v>214.67424457475136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82.830395071649178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82.830395071649178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284.60021367910457</v>
      </c>
      <c r="T70" s="59">
        <f t="shared" si="88"/>
        <v>301.41905904220812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193.51673979610385</v>
      </c>
      <c r="AA70" s="21">
        <f>EXP(-LN(2)/25)*AA69+(1-EXP(-LN(2)/25))/(LN(2)/25)*Calculateur!V70*Calculateur!X70*VLOOKUP('Données projet'!$B$9,Paramètres!$A$1:$I$89,3,0)*0.475*44/12</f>
        <v>44.124918458838984</v>
      </c>
      <c r="AB70" s="21">
        <f>EXP(-LN(2)/2)*AB69+(1-EXP(-LN(2)/2))/(LN(2)/2)*V70*Y70*VLOOKUP('Données projet'!$B$9,Paramètres!$A$1:$I$89,3,0)*0.475*44/12</f>
        <v>25.135622152142716</v>
      </c>
      <c r="AC70" s="22">
        <f t="shared" si="57"/>
        <v>262.77728040708553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12.875</v>
      </c>
      <c r="AI70" s="13">
        <f>IF('Données projet'!$A$62&gt;35,AI69+AH70-AQ69,IF(A70&lt;'Données projet'!$A$62,$AF$205^A70,IF(A70='Données projet'!$A$62,'Données projet'!$B$62,AI69+AH70-AQ69)))</f>
        <v>442.87500000000006</v>
      </c>
      <c r="AJ70" s="13">
        <f>AI70*VLOOKUP('Données projet'!$B$10,Paramètres!$A$1:$I$89,3,0)*VLOOKUP('Données projet'!$B$10,Paramètres!$A$1:$I$89,5,0)</f>
        <v>264.83925000000005</v>
      </c>
      <c r="AK70" s="13">
        <f t="shared" si="89"/>
        <v>63.752800756768096</v>
      </c>
      <c r="AL70" s="20">
        <f t="shared" si="58"/>
        <v>572.29782173470437</v>
      </c>
      <c r="AM70" s="59">
        <f t="shared" si="59"/>
        <v>865.63115506803774</v>
      </c>
      <c r="AN70" s="59">
        <f ca="1">AVERAGE(OFFSET($AM$3,0,0,'Données projet'!$E$10+1,1))-AVERAGE(OFFSET($H$3,0,0,'Données projet'!$E$10+1,1))</f>
        <v>294.45857786714919</v>
      </c>
      <c r="AO70" s="59">
        <f t="shared" si="90"/>
        <v>221.9773436301067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65.688290142720788</v>
      </c>
      <c r="AV70" s="21">
        <f>EXP(-LN(2)/25)*AV69+(1-EXP(-LN(2)/25))/(LN(2)/25)*Calculateur!AQ70*Calculateur!AS70*VLOOKUP('Données projet'!$B$10,Paramètres!$A$1:$I$89,3,0)*0.475*44/12</f>
        <v>14.841115623512131</v>
      </c>
      <c r="AW70" s="21">
        <f>EXP(-LN(2)/2)*AW69+(1-EXP(-LN(2)/2))/(LN(2)/2)*AQ70*AT70*VLOOKUP('Données projet'!$B$10,Paramètres!$A$1:$I$89,3,0)*0.475*44/12</f>
        <v>4.4311370637199676</v>
      </c>
      <c r="AX70" s="21">
        <f t="shared" si="60"/>
        <v>84.960542829952885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1.1368683772161603E-13</v>
      </c>
      <c r="BE70" s="13">
        <f>BD70*VLOOKUP('Données projet'!$B$11,Paramètres!$A$1:$I$89,3,0)*VLOOKUP('Données projet'!$B$11,Paramètres!$A$1:$I$89,5,0)</f>
        <v>6.3550942286383367E-14</v>
      </c>
      <c r="BF70" s="13">
        <f t="shared" si="91"/>
        <v>1.0064464192543978E-12</v>
      </c>
      <c r="BG70" s="20">
        <f t="shared" si="61"/>
        <v>1.8635787380168604E-12</v>
      </c>
      <c r="BH70" s="59">
        <f t="shared" si="62"/>
        <v>293.33333333333519</v>
      </c>
      <c r="BI70" s="59">
        <f ca="1">AVERAGE(OFFSET($BH$3,0,0,'Données projet'!$E$11+1,1))-AVERAGE(OFFSET($H$3,0,0,'Données projet'!$E$11+1,1))</f>
        <v>304.91676868833792</v>
      </c>
      <c r="BJ70" s="59">
        <f t="shared" si="92"/>
        <v>365.95065044620048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191.22593998980798</v>
      </c>
      <c r="BQ70" s="21">
        <f>EXP(-LN(2)/25)*BQ69+(1-EXP(-LN(2)/25))/(LN(2)/25)*Calculateur!BL70*Calculateur!BN70*VLOOKUP('Données projet'!$B$11,Paramètres!$A$1:$I$89,3,0)*0.475*44/12</f>
        <v>42.855512340745804</v>
      </c>
      <c r="BR70" s="21">
        <f>EXP(-LN(2)/2)*BR69+(1-EXP(-LN(2)/2))/(LN(2)/2)*BL70*BO70*VLOOKUP('Données projet'!$B$11,Paramètres!$A$1:$I$89,3,0)*0.475*44/12</f>
        <v>4.2477740820475951</v>
      </c>
      <c r="BS70" s="22">
        <f t="shared" si="63"/>
        <v>238.32922641260137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430.49999999999989</v>
      </c>
      <c r="BZ70" s="13">
        <f>BY70*VLOOKUP('Données projet'!$B$12,Paramètres!$A$1:$I$89,3,0)*VLOOKUP('Données projet'!$B$12,Paramètres!$A$1:$I$89,5,0)</f>
        <v>201.47399999999996</v>
      </c>
      <c r="CA70" s="13">
        <f t="shared" si="93"/>
        <v>50.067969742315327</v>
      </c>
      <c r="CB70" s="20">
        <f t="shared" si="64"/>
        <v>438.10226396786584</v>
      </c>
      <c r="CC70" s="59">
        <f t="shared" si="65"/>
        <v>731.4355973011991</v>
      </c>
      <c r="CD70" s="59">
        <f ca="1">AVERAGE(OFFSET($CC$3,0,0,'Données projet'!$E$12+1,1))-AVERAGE(OFFSET($H$3,0,0,'Données projet'!$E$12+1,1))</f>
        <v>259.87681411271632</v>
      </c>
      <c r="CE70" s="59">
        <f t="shared" si="94"/>
        <v>191.8684235641158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41.046705160225848</v>
      </c>
      <c r="CL70" s="21">
        <f>EXP(-LN(2)/25)*CL69+(1-EXP(-LN(2)/25))/(LN(2)/25)*Calculateur!CG70*Calculateur!CI70*VLOOKUP('Données projet'!$B$12,Paramètres!$A$1:$I$89,3,0)*0.475*44/12</f>
        <v>10.34725793798941</v>
      </c>
      <c r="CM70" s="21">
        <f>EXP(-LN(2)/2)*CM69+(1-EXP(-LN(2)/2))/(LN(2)/2)*CG70*CJ70*VLOOKUP('Données projet'!$B$12,Paramètres!$A$1:$I$89,3,0)*0.475*44/12</f>
        <v>0.50626313544229606</v>
      </c>
      <c r="CN70" s="22">
        <f t="shared" si="66"/>
        <v>51.900226233657555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7.4999999999999973</v>
      </c>
      <c r="CT70" s="12">
        <f>IF('Données projet'!$A$140&gt;35,CT69+CS70-DB69,IF(A70&lt;'Données projet'!$A$140,$CQ$205^A70,IF(A70='Données projet'!$A$140,'Données projet'!$B$140,CT69+CS70-DB69)))</f>
        <v>261.44719999999995</v>
      </c>
      <c r="CU70" s="17">
        <f>CT70*VLOOKUP('Données projet'!$B$13,Paramètres!$A$1:$I$89,3,0)*VLOOKUP('Données projet'!$B$13,Paramètres!$A$1:$I$89,5,0)</f>
        <v>122.35728959999997</v>
      </c>
      <c r="CV70" s="13">
        <f t="shared" si="95"/>
        <v>32.2241743527861</v>
      </c>
      <c r="CW70" s="20">
        <f t="shared" si="67"/>
        <v>269.22938305110239</v>
      </c>
      <c r="CX70" s="59">
        <f t="shared" si="68"/>
        <v>562.5627163844357</v>
      </c>
      <c r="CY70" s="59">
        <f ca="1">AVERAGE(OFFSET($CX$3,0,0,'Données projet'!$E$13+1,1))-AVERAGE(OFFSET($H$3,0,0,'Données projet'!$E$13+1,1))</f>
        <v>137.59122085719031</v>
      </c>
      <c r="CZ70" s="59">
        <f t="shared" si="96"/>
        <v>130.1134470448718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27.685937644437871</v>
      </c>
      <c r="DG70" s="21">
        <f>EXP(-LN(2)/25)*DG69+(1-EXP(-LN(2)/25))/(LN(2)/25)*Calculateur!DB70*Calculateur!DD70*VLOOKUP('Données projet'!$B$13,Paramètres!$A$1:$I$89,3,0)*0.475*44/12</f>
        <v>6.9643597697166104</v>
      </c>
      <c r="DH70" s="21">
        <f>EXP(-LN(2)/2)*DH69+(1-EXP(-LN(2)/2))/(LN(2)/2)*DB70*DE70*VLOOKUP('Données projet'!$B$13,Paramètres!$A$1:$I$89,3,0)*0.475*44/12</f>
        <v>0.33193737471183249</v>
      </c>
      <c r="DI70" s="22">
        <f t="shared" si="69"/>
        <v>34.982234788866315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8.25</v>
      </c>
      <c r="DO70" s="12">
        <f>IF('Données projet'!$A$166&gt;35,DO69+DN70-DW69,IF(A70&lt;'Données projet'!$A$166,$DL$205^A70,IF(A70='Données projet'!$A$166,'Données projet'!$B$166,DO69+DN70-DW69)))</f>
        <v>195.25000000000003</v>
      </c>
      <c r="DP70" s="17">
        <f>DO70*VLOOKUP('Données projet'!$B$14,Paramètres!$A$1:$I$89,3,0)*VLOOKUP('Données projet'!$B$14,Paramètres!$A$1:$I$89,5,0)</f>
        <v>197.98350000000005</v>
      </c>
      <c r="DQ70" s="13">
        <f t="shared" si="97"/>
        <v>49.300741027533505</v>
      </c>
      <c r="DR70" s="20">
        <f t="shared" si="70"/>
        <v>430.68671978962089</v>
      </c>
      <c r="DS70" s="59">
        <f t="shared" si="71"/>
        <v>724.02005312295421</v>
      </c>
      <c r="DT70" s="59">
        <f ca="1">AVERAGE(OFFSET($DS$3,0,0,'Données projet'!$E$14+1,1))-AVERAGE(OFFSET($H$3,0,0,'Données projet'!$E$14+1,1))</f>
        <v>313.90901812281373</v>
      </c>
      <c r="DU70" s="59">
        <f t="shared" si="98"/>
        <v>210.54265725995265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20.00364454533646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20.00364454533646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-5.6843418860808015E-14</v>
      </c>
      <c r="EK70" s="17">
        <f>EJ70*VLOOKUP('Données projet'!$B$15,Paramètres!$A$1:$I$89,3,0)*VLOOKUP('Données projet'!$B$15,Paramètres!$A$1:$I$89,5,0)</f>
        <v>-4.5224624045658861E-14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316.52407313312403</v>
      </c>
      <c r="EP70" s="59">
        <f t="shared" si="100"/>
        <v>340.55949748167382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187.78151003165959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187.78151003165959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-5.6843418860808015E-14</v>
      </c>
      <c r="FF70" s="17">
        <f>FE70*VLOOKUP('Données projet'!$B$16,Paramètres!$A$1:$I$89,3,0)*VLOOKUP('Données projet'!$B$16,Paramètres!$A$1:$I$89,5,0)</f>
        <v>-3.7243808037601412E-14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199.99826357281154</v>
      </c>
      <c r="FK70" s="59">
        <f t="shared" si="102"/>
        <v>214.67424457475136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81.206141545846549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81.206141545846549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284.60021367910457</v>
      </c>
      <c r="T71" s="59">
        <f t="shared" si="88"/>
        <v>301.41905904220812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189.72199456225869</v>
      </c>
      <c r="AA71" s="21">
        <f>EXP(-LN(2)/25)*AA70+(1-EXP(-LN(2)/25))/(LN(2)/25)*Calculateur!V71*Calculateur!X71*VLOOKUP('Données projet'!$B$9,Paramètres!$A$1:$I$89,3,0)*0.475*44/12</f>
        <v>42.918320243153417</v>
      </c>
      <c r="AB71" s="21">
        <f>EXP(-LN(2)/2)*AB70+(1-EXP(-LN(2)/2))/(LN(2)/2)*V71*Y71*VLOOKUP('Données projet'!$B$9,Paramètres!$A$1:$I$89,3,0)*0.475*44/12</f>
        <v>17.773568873122919</v>
      </c>
      <c r="AC71" s="22">
        <f t="shared" si="57"/>
        <v>250.41388367853503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12.875</v>
      </c>
      <c r="AI71" s="13">
        <f>IF('Données projet'!$A$62&gt;35,AI70+AH71-AQ70,IF(A71&lt;'Données projet'!$A$62,$AF$205^A71,IF(A71='Données projet'!$A$62,'Données projet'!$B$62,AI70+AH71-AQ70)))</f>
        <v>455.75000000000006</v>
      </c>
      <c r="AJ71" s="13">
        <f>AI71*VLOOKUP('Données projet'!$B$10,Paramètres!$A$1:$I$89,3,0)*VLOOKUP('Données projet'!$B$10,Paramètres!$A$1:$I$89,5,0)</f>
        <v>272.53850000000006</v>
      </c>
      <c r="AK71" s="13">
        <f t="shared" si="89"/>
        <v>65.387709293034959</v>
      </c>
      <c r="AL71" s="20">
        <f t="shared" si="58"/>
        <v>588.55481451870264</v>
      </c>
      <c r="AM71" s="59">
        <f t="shared" si="59"/>
        <v>881.8881478520359</v>
      </c>
      <c r="AN71" s="59">
        <f ca="1">AVERAGE(OFFSET($AM$3,0,0,'Données projet'!$E$10+1,1))-AVERAGE(OFFSET($H$3,0,0,'Données projet'!$E$10+1,1))</f>
        <v>294.45857786714919</v>
      </c>
      <c r="AO71" s="59">
        <f t="shared" si="90"/>
        <v>221.9773436301067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64.400182838922845</v>
      </c>
      <c r="AV71" s="21">
        <f>EXP(-LN(2)/25)*AV70+(1-EXP(-LN(2)/25))/(LN(2)/25)*Calculateur!AQ71*Calculateur!AS71*VLOOKUP('Données projet'!$B$10,Paramètres!$A$1:$I$89,3,0)*0.475*44/12</f>
        <v>14.435284536326842</v>
      </c>
      <c r="AW71" s="21">
        <f>EXP(-LN(2)/2)*AW70+(1-EXP(-LN(2)/2))/(LN(2)/2)*AQ71*AT71*VLOOKUP('Données projet'!$B$10,Paramètres!$A$1:$I$89,3,0)*0.475*44/12</f>
        <v>3.1332870661234362</v>
      </c>
      <c r="AX71" s="21">
        <f t="shared" si="60"/>
        <v>81.968754441373122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1.1368683772161603E-13</v>
      </c>
      <c r="BE71" s="13">
        <f>BD71*VLOOKUP('Données projet'!$B$11,Paramètres!$A$1:$I$89,3,0)*VLOOKUP('Données projet'!$B$11,Paramètres!$A$1:$I$89,5,0)</f>
        <v>6.3550942286383367E-14</v>
      </c>
      <c r="BF71" s="13">
        <f t="shared" si="91"/>
        <v>1.0064464192543978E-12</v>
      </c>
      <c r="BG71" s="20">
        <f t="shared" si="61"/>
        <v>1.8635787380168604E-12</v>
      </c>
      <c r="BH71" s="59">
        <f t="shared" si="62"/>
        <v>293.33333333333519</v>
      </c>
      <c r="BI71" s="59">
        <f ca="1">AVERAGE(OFFSET($BH$3,0,0,'Données projet'!$E$11+1,1))-AVERAGE(OFFSET($H$3,0,0,'Données projet'!$E$11+1,1))</f>
        <v>304.91676868833792</v>
      </c>
      <c r="BJ71" s="59">
        <f t="shared" si="92"/>
        <v>365.95065044620048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187.47611594291436</v>
      </c>
      <c r="BQ71" s="21">
        <f>EXP(-LN(2)/25)*BQ70+(1-EXP(-LN(2)/25))/(LN(2)/25)*Calculateur!BL71*Calculateur!BN71*VLOOKUP('Données projet'!$B$11,Paramètres!$A$1:$I$89,3,0)*0.475*44/12</f>
        <v>41.683626102114665</v>
      </c>
      <c r="BR71" s="21">
        <f>EXP(-LN(2)/2)*BR70+(1-EXP(-LN(2)/2))/(LN(2)/2)*BL71*BO71*VLOOKUP('Données projet'!$B$11,Paramètres!$A$1:$I$89,3,0)*0.475*44/12</f>
        <v>3.0036298583643166</v>
      </c>
      <c r="BS71" s="22">
        <f t="shared" si="63"/>
        <v>232.16337190339334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445.99999999999989</v>
      </c>
      <c r="BZ71" s="13">
        <f>BY71*VLOOKUP('Données projet'!$B$12,Paramètres!$A$1:$I$89,3,0)*VLOOKUP('Données projet'!$B$12,Paramètres!$A$1:$I$89,5,0)</f>
        <v>208.72799999999992</v>
      </c>
      <c r="CA71" s="13">
        <f t="shared" si="93"/>
        <v>51.657523484203345</v>
      </c>
      <c r="CB71" s="20">
        <f t="shared" si="64"/>
        <v>453.50478673498725</v>
      </c>
      <c r="CC71" s="59">
        <f t="shared" si="65"/>
        <v>746.83812006832056</v>
      </c>
      <c r="CD71" s="59">
        <f ca="1">AVERAGE(OFFSET($CC$3,0,0,'Données projet'!$E$12+1,1))-AVERAGE(OFFSET($H$3,0,0,'Données projet'!$E$12+1,1))</f>
        <v>259.87681411271632</v>
      </c>
      <c r="CE71" s="59">
        <f t="shared" si="94"/>
        <v>191.8684235641158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40.241804308051869</v>
      </c>
      <c r="CL71" s="21">
        <f>EXP(-LN(2)/25)*CL70+(1-EXP(-LN(2)/25))/(LN(2)/25)*Calculateur!CG71*Calculateur!CI71*VLOOKUP('Données projet'!$B$12,Paramètres!$A$1:$I$89,3,0)*0.475*44/12</f>
        <v>10.064311625536444</v>
      </c>
      <c r="CM71" s="21">
        <f>EXP(-LN(2)/2)*CM70+(1-EXP(-LN(2)/2))/(LN(2)/2)*CG71*CJ71*VLOOKUP('Données projet'!$B$12,Paramètres!$A$1:$I$89,3,0)*0.475*44/12</f>
        <v>0.35798209613601112</v>
      </c>
      <c r="CN71" s="22">
        <f t="shared" si="66"/>
        <v>50.664098029724329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7.4999999999999973</v>
      </c>
      <c r="CT71" s="12">
        <f>IF('Données projet'!$A$140&gt;35,CT70+CS71-DB70,IF(A71&lt;'Données projet'!$A$140,$CQ$205^A71,IF(A71='Données projet'!$A$140,'Données projet'!$B$140,CT70+CS71-DB70)))</f>
        <v>268.94719999999995</v>
      </c>
      <c r="CU71" s="17">
        <f>CT71*VLOOKUP('Données projet'!$B$13,Paramètres!$A$1:$I$89,3,0)*VLOOKUP('Données projet'!$B$13,Paramètres!$A$1:$I$89,5,0)</f>
        <v>125.86728959999998</v>
      </c>
      <c r="CV71" s="13">
        <f t="shared" si="95"/>
        <v>33.039623209449012</v>
      </c>
      <c r="CW71" s="20">
        <f t="shared" si="67"/>
        <v>276.76287314312361</v>
      </c>
      <c r="CX71" s="59">
        <f t="shared" si="68"/>
        <v>570.09620647645693</v>
      </c>
      <c r="CY71" s="59">
        <f ca="1">AVERAGE(OFFSET($CX$3,0,0,'Données projet'!$E$13+1,1))-AVERAGE(OFFSET($H$3,0,0,'Données projet'!$E$13+1,1))</f>
        <v>137.59122085719031</v>
      </c>
      <c r="CZ71" s="59">
        <f t="shared" si="96"/>
        <v>130.1134470448718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27.143033293984978</v>
      </c>
      <c r="DG71" s="21">
        <f>EXP(-LN(2)/25)*DG70+(1-EXP(-LN(2)/25))/(LN(2)/25)*Calculateur!DB71*Calculateur!DD71*VLOOKUP('Données projet'!$B$13,Paramètres!$A$1:$I$89,3,0)*0.475*44/12</f>
        <v>6.773918985573947</v>
      </c>
      <c r="DH71" s="21">
        <f>EXP(-LN(2)/2)*DH70+(1-EXP(-LN(2)/2))/(LN(2)/2)*DB71*DE71*VLOOKUP('Données projet'!$B$13,Paramètres!$A$1:$I$89,3,0)*0.475*44/12</f>
        <v>0.23471516858799679</v>
      </c>
      <c r="DI71" s="22">
        <f t="shared" si="69"/>
        <v>34.151667448146924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8.25</v>
      </c>
      <c r="DO71" s="12">
        <f>IF('Données projet'!$A$166&gt;35,DO70+DN71-DW70,IF(A71&lt;'Données projet'!$A$166,$DL$205^A71,IF(A71='Données projet'!$A$166,'Données projet'!$B$166,DO70+DN71-DW70)))</f>
        <v>203.50000000000003</v>
      </c>
      <c r="DP71" s="17">
        <f>DO71*VLOOKUP('Données projet'!$B$14,Paramètres!$A$1:$I$89,3,0)*VLOOKUP('Données projet'!$B$14,Paramètres!$A$1:$I$89,5,0)</f>
        <v>206.34900000000005</v>
      </c>
      <c r="DQ71" s="13">
        <f t="shared" si="97"/>
        <v>51.136937780341476</v>
      </c>
      <c r="DR71" s="20">
        <f t="shared" si="70"/>
        <v>448.45467496742816</v>
      </c>
      <c r="DS71" s="59">
        <f t="shared" si="71"/>
        <v>741.78800830076148</v>
      </c>
      <c r="DT71" s="59">
        <f ca="1">AVERAGE(OFFSET($DS$3,0,0,'Données projet'!$E$14+1,1))-AVERAGE(OFFSET($H$3,0,0,'Données projet'!$E$14+1,1))</f>
        <v>313.90901812281373</v>
      </c>
      <c r="DU71" s="59">
        <f t="shared" si="98"/>
        <v>210.54265725995265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19.611385276820833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19.611385276820833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-5.6843418860808015E-14</v>
      </c>
      <c r="EK71" s="17">
        <f>EJ71*VLOOKUP('Données projet'!$B$15,Paramètres!$A$1:$I$89,3,0)*VLOOKUP('Données projet'!$B$15,Paramètres!$A$1:$I$89,5,0)</f>
        <v>-4.5224624045658861E-14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316.52407313312403</v>
      </c>
      <c r="EP71" s="59">
        <f t="shared" si="100"/>
        <v>340.55949748167382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184.09922915535043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184.09922915535043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-5.6843418860808015E-14</v>
      </c>
      <c r="FF71" s="17">
        <f>FE71*VLOOKUP('Données projet'!$B$16,Paramètres!$A$1:$I$89,3,0)*VLOOKUP('Données projet'!$B$16,Paramètres!$A$1:$I$89,5,0)</f>
        <v>-3.7243808037601412E-14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199.99826357281154</v>
      </c>
      <c r="FK71" s="59">
        <f t="shared" si="102"/>
        <v>214.67424457475136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79.613738640988075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79.613738640988075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284.60021367910457</v>
      </c>
      <c r="T72" s="59">
        <f t="shared" si="88"/>
        <v>301.41905904220812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186.00166196788317</v>
      </c>
      <c r="AA72" s="21">
        <f>EXP(-LN(2)/25)*AA71+(1-EXP(-LN(2)/25))/(LN(2)/25)*Calculateur!V72*Calculateur!X72*VLOOKUP('Données projet'!$B$9,Paramètres!$A$1:$I$89,3,0)*0.475*44/12</f>
        <v>41.744716519128019</v>
      </c>
      <c r="AB72" s="21">
        <f>EXP(-LN(2)/2)*AB71+(1-EXP(-LN(2)/2))/(LN(2)/2)*V72*Y72*VLOOKUP('Données projet'!$B$9,Paramètres!$A$1:$I$89,3,0)*0.475*44/12</f>
        <v>12.567811076071361</v>
      </c>
      <c r="AC72" s="22">
        <f t="shared" si="57"/>
        <v>240.31418956308255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12.875</v>
      </c>
      <c r="AI72" s="13">
        <f>IF('Données projet'!$A$62&gt;35,AI71+AH72-AQ71,IF(A72&lt;'Données projet'!$A$62,$AF$205^A72,IF(A72='Données projet'!$A$62,'Données projet'!$B$62,AI71+AH72-AQ71)))</f>
        <v>468.62500000000006</v>
      </c>
      <c r="AJ72" s="13">
        <f>AI72*VLOOKUP('Données projet'!$B$10,Paramètres!$A$1:$I$89,3,0)*VLOOKUP('Données projet'!$B$10,Paramètres!$A$1:$I$89,5,0)</f>
        <v>280.23775000000006</v>
      </c>
      <c r="AK72" s="13">
        <f t="shared" si="89"/>
        <v>67.017249808465209</v>
      </c>
      <c r="AL72" s="20">
        <f t="shared" si="58"/>
        <v>604.80245799974375</v>
      </c>
      <c r="AM72" s="59">
        <f t="shared" si="59"/>
        <v>898.13579133307712</v>
      </c>
      <c r="AN72" s="59">
        <f ca="1">AVERAGE(OFFSET($AM$3,0,0,'Données projet'!$E$10+1,1))-AVERAGE(OFFSET($H$3,0,0,'Données projet'!$E$10+1,1))</f>
        <v>294.45857786714919</v>
      </c>
      <c r="AO72" s="59">
        <f t="shared" si="90"/>
        <v>221.9773436301067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63.137334533684502</v>
      </c>
      <c r="AV72" s="21">
        <f>EXP(-LN(2)/25)*AV71+(1-EXP(-LN(2)/25))/(LN(2)/25)*Calculateur!AQ72*Calculateur!AS72*VLOOKUP('Données projet'!$B$10,Paramètres!$A$1:$I$89,3,0)*0.475*44/12</f>
        <v>14.040550921562362</v>
      </c>
      <c r="AW72" s="21">
        <f>EXP(-LN(2)/2)*AW71+(1-EXP(-LN(2)/2))/(LN(2)/2)*AQ72*AT72*VLOOKUP('Données projet'!$B$10,Paramètres!$A$1:$I$89,3,0)*0.475*44/12</f>
        <v>2.2155685318599843</v>
      </c>
      <c r="AX72" s="21">
        <f t="shared" si="60"/>
        <v>79.393453987106852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1.1368683772161603E-13</v>
      </c>
      <c r="BE72" s="13">
        <f>BD72*VLOOKUP('Données projet'!$B$11,Paramètres!$A$1:$I$89,3,0)*VLOOKUP('Données projet'!$B$11,Paramètres!$A$1:$I$89,5,0)</f>
        <v>6.3550942286383367E-14</v>
      </c>
      <c r="BF72" s="13">
        <f t="shared" si="91"/>
        <v>1.0064464192543978E-12</v>
      </c>
      <c r="BG72" s="20">
        <f t="shared" si="61"/>
        <v>1.8635787380168604E-12</v>
      </c>
      <c r="BH72" s="59">
        <f t="shared" si="62"/>
        <v>293.33333333333519</v>
      </c>
      <c r="BI72" s="59">
        <f ca="1">AVERAGE(OFFSET($BH$3,0,0,'Données projet'!$E$11+1,1))-AVERAGE(OFFSET($H$3,0,0,'Données projet'!$E$11+1,1))</f>
        <v>304.91676868833792</v>
      </c>
      <c r="BJ72" s="59">
        <f t="shared" si="92"/>
        <v>365.95065044620048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183.79982365841349</v>
      </c>
      <c r="BQ72" s="21">
        <f>EXP(-LN(2)/25)*BQ71+(1-EXP(-LN(2)/25))/(LN(2)/25)*Calculateur!BL72*Calculateur!BN72*VLOOKUP('Données projet'!$B$11,Paramètres!$A$1:$I$89,3,0)*0.475*44/12</f>
        <v>40.543785154305709</v>
      </c>
      <c r="BR72" s="21">
        <f>EXP(-LN(2)/2)*BR71+(1-EXP(-LN(2)/2))/(LN(2)/2)*BL72*BO72*VLOOKUP('Données projet'!$B$11,Paramètres!$A$1:$I$89,3,0)*0.475*44/12</f>
        <v>2.1238870410237976</v>
      </c>
      <c r="BS72" s="22">
        <f t="shared" si="63"/>
        <v>226.467495853743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461.49999999999989</v>
      </c>
      <c r="BZ72" s="13">
        <f>BY72*VLOOKUP('Données projet'!$B$12,Paramètres!$A$1:$I$89,3,0)*VLOOKUP('Données projet'!$B$12,Paramètres!$A$1:$I$89,5,0)</f>
        <v>215.98199999999994</v>
      </c>
      <c r="CA72" s="13">
        <f t="shared" si="93"/>
        <v>53.240658641505036</v>
      </c>
      <c r="CB72" s="20">
        <f t="shared" si="64"/>
        <v>468.89613046728778</v>
      </c>
      <c r="CC72" s="59">
        <f t="shared" si="65"/>
        <v>762.22946380062103</v>
      </c>
      <c r="CD72" s="59">
        <f ca="1">AVERAGE(OFFSET($CC$3,0,0,'Données projet'!$E$12+1,1))-AVERAGE(OFFSET($H$3,0,0,'Données projet'!$E$12+1,1))</f>
        <v>259.87681411271632</v>
      </c>
      <c r="CE72" s="59">
        <f t="shared" si="94"/>
        <v>191.8684235641158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39.452687070647976</v>
      </c>
      <c r="CL72" s="21">
        <f>EXP(-LN(2)/25)*CL71+(1-EXP(-LN(2)/25))/(LN(2)/25)*Calculateur!CG72*Calculateur!CI72*VLOOKUP('Données projet'!$B$12,Paramètres!$A$1:$I$89,3,0)*0.475*44/12</f>
        <v>9.7891024948770031</v>
      </c>
      <c r="CM72" s="21">
        <f>EXP(-LN(2)/2)*CM71+(1-EXP(-LN(2)/2))/(LN(2)/2)*CG72*CJ72*VLOOKUP('Données projet'!$B$12,Paramètres!$A$1:$I$89,3,0)*0.475*44/12</f>
        <v>0.25313156772114803</v>
      </c>
      <c r="CN72" s="22">
        <f t="shared" si="66"/>
        <v>49.49492113324613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7.4999999999999973</v>
      </c>
      <c r="CT72" s="12">
        <f>IF('Données projet'!$A$140&gt;35,CT71+CS72-DB71,IF(A72&lt;'Données projet'!$A$140,$CQ$205^A72,IF(A72='Données projet'!$A$140,'Données projet'!$B$140,CT71+CS72-DB71)))</f>
        <v>276.44719999999995</v>
      </c>
      <c r="CU72" s="17">
        <f>CT72*VLOOKUP('Données projet'!$B$13,Paramètres!$A$1:$I$89,3,0)*VLOOKUP('Données projet'!$B$13,Paramètres!$A$1:$I$89,5,0)</f>
        <v>129.37728959999998</v>
      </c>
      <c r="CV72" s="13">
        <f t="shared" si="95"/>
        <v>33.852429056388509</v>
      </c>
      <c r="CW72" s="20">
        <f t="shared" si="67"/>
        <v>284.29175999320995</v>
      </c>
      <c r="CX72" s="59">
        <f t="shared" si="68"/>
        <v>577.62509332654326</v>
      </c>
      <c r="CY72" s="59">
        <f ca="1">AVERAGE(OFFSET($CX$3,0,0,'Données projet'!$E$13+1,1))-AVERAGE(OFFSET($H$3,0,0,'Données projet'!$E$13+1,1))</f>
        <v>137.59122085719031</v>
      </c>
      <c r="CZ72" s="59">
        <f t="shared" si="96"/>
        <v>130.1134470448718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26.61077496670551</v>
      </c>
      <c r="DG72" s="21">
        <f>EXP(-LN(2)/25)*DG71+(1-EXP(-LN(2)/25))/(LN(2)/25)*Calculateur!DB72*Calculateur!DD72*VLOOKUP('Données projet'!$B$13,Paramètres!$A$1:$I$89,3,0)*0.475*44/12</f>
        <v>6.5886858146885103</v>
      </c>
      <c r="DH72" s="21">
        <f>EXP(-LN(2)/2)*DH71+(1-EXP(-LN(2)/2))/(LN(2)/2)*DB72*DE72*VLOOKUP('Données projet'!$B$13,Paramètres!$A$1:$I$89,3,0)*0.475*44/12</f>
        <v>0.16596868735591627</v>
      </c>
      <c r="DI72" s="22">
        <f t="shared" si="69"/>
        <v>33.365429468749937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8.25</v>
      </c>
      <c r="DO72" s="12">
        <f>IF('Données projet'!$A$166&gt;35,DO71+DN72-DW71,IF(A72&lt;'Données projet'!$A$166,$DL$205^A72,IF(A72='Données projet'!$A$166,'Données projet'!$B$166,DO71+DN72-DW71)))</f>
        <v>211.75000000000003</v>
      </c>
      <c r="DP72" s="17">
        <f>DO72*VLOOKUP('Données projet'!$B$14,Paramètres!$A$1:$I$89,3,0)*VLOOKUP('Données projet'!$B$14,Paramètres!$A$1:$I$89,5,0)</f>
        <v>214.71450000000004</v>
      </c>
      <c r="DQ72" s="13">
        <f t="shared" si="97"/>
        <v>52.964487580292101</v>
      </c>
      <c r="DR72" s="20">
        <f t="shared" si="70"/>
        <v>466.20757003567542</v>
      </c>
      <c r="DS72" s="59">
        <f t="shared" si="71"/>
        <v>759.54090336900867</v>
      </c>
      <c r="DT72" s="59">
        <f ca="1">AVERAGE(OFFSET($DS$3,0,0,'Données projet'!$E$14+1,1))-AVERAGE(OFFSET($H$3,0,0,'Données projet'!$E$14+1,1))</f>
        <v>313.90901812281373</v>
      </c>
      <c r="DU72" s="59">
        <f t="shared" si="98"/>
        <v>210.54265725995265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19.226817973306268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19.226817973306268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-5.6843418860808015E-14</v>
      </c>
      <c r="EK72" s="17">
        <f>EJ72*VLOOKUP('Données projet'!$B$15,Paramètres!$A$1:$I$89,3,0)*VLOOKUP('Données projet'!$B$15,Paramètres!$A$1:$I$89,5,0)</f>
        <v>-4.5224624045658861E-14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316.52407313312403</v>
      </c>
      <c r="EP72" s="59">
        <f t="shared" si="100"/>
        <v>340.55949748167382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180.48915556105612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180.48915556105612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-5.6843418860808015E-14</v>
      </c>
      <c r="FF72" s="17">
        <f>FE72*VLOOKUP('Données projet'!$B$16,Paramètres!$A$1:$I$89,3,0)*VLOOKUP('Données projet'!$B$16,Paramètres!$A$1:$I$89,5,0)</f>
        <v>-3.7243808037601412E-14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199.99826357281154</v>
      </c>
      <c r="FK72" s="59">
        <f t="shared" si="102"/>
        <v>214.67424457475136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78.052561785824011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78.052561785824011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284.60021367910457</v>
      </c>
      <c r="T73" s="59">
        <f t="shared" si="88"/>
        <v>301.41905904220812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182.35428282650454</v>
      </c>
      <c r="AA73" s="21">
        <f>EXP(-LN(2)/25)*AA72+(1-EXP(-LN(2)/25))/(LN(2)/25)*Calculateur!V73*Calculateur!X73*VLOOKUP('Données projet'!$B$9,Paramètres!$A$1:$I$89,3,0)*0.475*44/12</f>
        <v>40.60320505065323</v>
      </c>
      <c r="AB73" s="21">
        <f>EXP(-LN(2)/2)*AB72+(1-EXP(-LN(2)/2))/(LN(2)/2)*V73*Y73*VLOOKUP('Données projet'!$B$9,Paramètres!$A$1:$I$89,3,0)*0.475*44/12</f>
        <v>8.8867844365614612</v>
      </c>
      <c r="AC73" s="22">
        <f t="shared" si="57"/>
        <v>231.84427231371924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12.875</v>
      </c>
      <c r="AI73" s="13">
        <f>IF('Données projet'!$A$62&gt;35,AI72+AH73-AQ72,IF(A73&lt;'Données projet'!$A$62,$AF$205^A73,IF(A73='Données projet'!$A$62,'Données projet'!$B$62,AI72+AH73-AQ72)))</f>
        <v>481.50000000000006</v>
      </c>
      <c r="AJ73" s="13">
        <f>AI73*VLOOKUP('Données projet'!$B$10,Paramètres!$A$1:$I$89,3,0)*VLOOKUP('Données projet'!$B$10,Paramètres!$A$1:$I$89,5,0)</f>
        <v>287.93700000000007</v>
      </c>
      <c r="AK73" s="13">
        <f t="shared" si="89"/>
        <v>68.641586729718156</v>
      </c>
      <c r="AL73" s="20">
        <f t="shared" si="58"/>
        <v>621.04103855425922</v>
      </c>
      <c r="AM73" s="59">
        <f t="shared" si="59"/>
        <v>914.37437188759259</v>
      </c>
      <c r="AN73" s="59">
        <f ca="1">AVERAGE(OFFSET($AM$3,0,0,'Données projet'!$E$10+1,1))-AVERAGE(OFFSET($H$3,0,0,'Données projet'!$E$10+1,1))</f>
        <v>294.45857786714919</v>
      </c>
      <c r="AO73" s="59">
        <f t="shared" si="90"/>
        <v>221.9773436301067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61.899249913450468</v>
      </c>
      <c r="AV73" s="21">
        <f>EXP(-LN(2)/25)*AV72+(1-EXP(-LN(2)/25))/(LN(2)/25)*Calculateur!AQ73*Calculateur!AS73*VLOOKUP('Données projet'!$B$10,Paramètres!$A$1:$I$89,3,0)*0.475*44/12</f>
        <v>13.656611318251757</v>
      </c>
      <c r="AW73" s="21">
        <f>EXP(-LN(2)/2)*AW72+(1-EXP(-LN(2)/2))/(LN(2)/2)*AQ73*AT73*VLOOKUP('Données projet'!$B$10,Paramètres!$A$1:$I$89,3,0)*0.475*44/12</f>
        <v>1.5666435330617183</v>
      </c>
      <c r="AX73" s="21">
        <f t="shared" si="60"/>
        <v>77.122504764763946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1.1368683772161603E-13</v>
      </c>
      <c r="BE73" s="13">
        <f>BD73*VLOOKUP('Données projet'!$B$11,Paramètres!$A$1:$I$89,3,0)*VLOOKUP('Données projet'!$B$11,Paramètres!$A$1:$I$89,5,0)</f>
        <v>6.3550942286383367E-14</v>
      </c>
      <c r="BF73" s="13">
        <f t="shared" si="91"/>
        <v>1.0064464192543978E-12</v>
      </c>
      <c r="BG73" s="20">
        <f t="shared" si="61"/>
        <v>1.8635787380168604E-12</v>
      </c>
      <c r="BH73" s="59">
        <f t="shared" si="62"/>
        <v>293.33333333333519</v>
      </c>
      <c r="BI73" s="59">
        <f ca="1">AVERAGE(OFFSET($BH$3,0,0,'Données projet'!$E$11+1,1))-AVERAGE(OFFSET($H$3,0,0,'Données projet'!$E$11+1,1))</f>
        <v>304.91676868833792</v>
      </c>
      <c r="BJ73" s="59">
        <f t="shared" si="92"/>
        <v>365.95065044620048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180.19562122329481</v>
      </c>
      <c r="BQ73" s="21">
        <f>EXP(-LN(2)/25)*BQ72+(1-EXP(-LN(2)/25))/(LN(2)/25)*Calculateur!BL73*Calculateur!BN73*VLOOKUP('Données projet'!$B$11,Paramètres!$A$1:$I$89,3,0)*0.475*44/12</f>
        <v>39.435113217156221</v>
      </c>
      <c r="BR73" s="21">
        <f>EXP(-LN(2)/2)*BR72+(1-EXP(-LN(2)/2))/(LN(2)/2)*BL73*BO73*VLOOKUP('Données projet'!$B$11,Paramètres!$A$1:$I$89,3,0)*0.475*44/12</f>
        <v>1.5018149291821583</v>
      </c>
      <c r="BS73" s="22">
        <f t="shared" si="63"/>
        <v>221.13254936963318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477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476.99999999999989</v>
      </c>
      <c r="BZ73" s="13">
        <f>BY73*VLOOKUP('Données projet'!$B$12,Paramètres!$A$1:$I$89,3,0)*VLOOKUP('Données projet'!$B$12,Paramètres!$A$1:$I$89,5,0)</f>
        <v>223.23599999999993</v>
      </c>
      <c r="CA73" s="13">
        <f t="shared" si="93"/>
        <v>54.817615504575855</v>
      </c>
      <c r="CB73" s="20">
        <f t="shared" si="64"/>
        <v>484.27671367046941</v>
      </c>
      <c r="CC73" s="59">
        <f t="shared" si="65"/>
        <v>777.61004700380272</v>
      </c>
      <c r="CD73" s="59">
        <f ca="1">AVERAGE(OFFSET($CC$3,0,0,'Données projet'!$E$12+1,1))-AVERAGE(OFFSET($H$3,0,0,'Données projet'!$E$12+1,1))</f>
        <v>259.87681411271632</v>
      </c>
      <c r="CE73" s="59">
        <f t="shared" si="94"/>
        <v>191.8684235641158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95</v>
      </c>
      <c r="CH73" s="16">
        <f>IF(ISNA(VLOOKUP(A73,'Données projet'!$A$113:$I$133,5,0)),0%,VLOOKUP(A73,'Données projet'!$A$113:$I$133,5,0)*VLOOKUP('Données projet'!$B$12,Paramètres!$A$1:$I$89,7,0))</f>
        <v>0.38500000000000001</v>
      </c>
      <c r="CI73" s="16">
        <f>IF(ISNA(VLOOKUP(A73,'Données projet'!$A$113:$I$133,6,0)),0%,VLOOKUP(A73,'Données projet'!$A$113:$I$133,6,0)*VLOOKUP('Données projet'!$B$12,Paramètres!$A$1:$I$89,7,0))</f>
        <v>9.3500000000000014E-2</v>
      </c>
      <c r="CJ73" s="16">
        <f>IF(ISNA(VLOOKUP(A73,'Données projet'!$A$113:$I$133,7,0)),0%,VLOOKUP(A73,'Données projet'!$A$113:$I$133,7,0))</f>
        <v>0.13</v>
      </c>
      <c r="CK73" s="21">
        <f>EXP(-LN(2)/35)*CK72+(1-EXP(-LN(2)/35))/(LN(2)/35)*CG73*CH73*VLOOKUP('Données projet'!$B$12,Paramètres!$A$1:$I$89,3,0)*0.475*44/12</f>
        <v>61.38598038115974</v>
      </c>
      <c r="CL73" s="21">
        <f>EXP(-LN(2)/25)*CL72+(1-EXP(-LN(2)/25))/(LN(2)/25)*Calculateur!CG73*Calculateur!CI73*VLOOKUP('Données projet'!$B$12,Paramètres!$A$1:$I$89,3,0)*0.475*44/12</f>
        <v>15.014247827369573</v>
      </c>
      <c r="CM73" s="21">
        <f>EXP(-LN(2)/2)*CM72+(1-EXP(-LN(2)/2))/(LN(2)/2)*CG73*CJ73*VLOOKUP('Données projet'!$B$12,Paramètres!$A$1:$I$89,3,0)*0.475*44/12</f>
        <v>6.723067281311474</v>
      </c>
      <c r="CN73" s="22">
        <f t="shared" si="66"/>
        <v>83.123295489840785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283.94719999999995</v>
      </c>
      <c r="CR73" s="12">
        <f>VLOOKUP(A73,'Données projet'!$A$139:$I$159,9,0)</f>
        <v>7.4999999999999973</v>
      </c>
      <c r="CS73" s="12">
        <f t="array" ref="CS73">INDEX(CR:CR,MIN(IF(ISNUMBER(CR73:CR269),ROW(CR73:CR269),"")))</f>
        <v>7.4999999999999973</v>
      </c>
      <c r="CT73" s="12">
        <f>IF('Données projet'!$A$140&gt;35,CT72+CS73-DB72,IF(A73&lt;'Données projet'!$A$140,$CQ$205^A73,IF(A73='Données projet'!$A$140,'Données projet'!$B$140,CT72+CS73-DB72)))</f>
        <v>283.94719999999995</v>
      </c>
      <c r="CU73" s="17">
        <f>CT73*VLOOKUP('Données projet'!$B$13,Paramètres!$A$1:$I$89,3,0)*VLOOKUP('Données projet'!$B$13,Paramètres!$A$1:$I$89,5,0)</f>
        <v>132.88728959999997</v>
      </c>
      <c r="CV73" s="13">
        <f t="shared" si="95"/>
        <v>34.662671838364609</v>
      </c>
      <c r="CW73" s="20">
        <f t="shared" si="67"/>
        <v>291.81618283848496</v>
      </c>
      <c r="CX73" s="59">
        <f t="shared" si="68"/>
        <v>585.14951617181828</v>
      </c>
      <c r="CY73" s="59">
        <f ca="1">AVERAGE(OFFSET($CX$3,0,0,'Données projet'!$E$13+1,1))-AVERAGE(OFFSET($H$3,0,0,'Données projet'!$E$13+1,1))</f>
        <v>137.59122085719031</v>
      </c>
      <c r="CZ73" s="59">
        <f t="shared" si="96"/>
        <v>130.1134470448718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56.789439999999992</v>
      </c>
      <c r="DC73" s="16">
        <f>IF(ISNA(VLOOKUP(A73,'Données projet'!$A$139:$I$159,5,0)),0%,VLOOKUP(A73,'Données projet'!$A$139:$I$159,5,0)*VLOOKUP('Données projet'!$B$13,Paramètres!$A$1:$I$89,7,0))</f>
        <v>0.38500000000000001</v>
      </c>
      <c r="DD73" s="16">
        <f>IF(ISNA(VLOOKUP(A73,'Données projet'!$A$139:$I$159,6,0)),0%,VLOOKUP(A73,'Données projet'!$A$139:$I$159,6,0)*VLOOKUP('Données projet'!$B$13,Paramètres!$A$1:$I$89,7,0))</f>
        <v>9.240000000000001E-2</v>
      </c>
      <c r="DE73" s="16">
        <f>IF(ISNA(VLOOKUP(A73,'Données projet'!$A$139:$I$159,7,0)),0%,VLOOKUP(A73,'Données projet'!$A$139:$I$159,7,0))</f>
        <v>0.13200000000000001</v>
      </c>
      <c r="DF73" s="21">
        <f>EXP(-LN(2)/35)*DF72+(1-EXP(-LN(2)/35))/(LN(2)/35)*DB73*DC73*VLOOKUP('Données projet'!$B$13,Paramètres!$A$1:$I$89,3,0)*0.475*44/12</f>
        <v>39.662787632734123</v>
      </c>
      <c r="DG73" s="21">
        <f>EXP(-LN(2)/25)*DG72+(1-EXP(-LN(2)/25))/(LN(2)/25)*Calculateur!DB73*Calculateur!DD73*VLOOKUP('Données projet'!$B$13,Paramètres!$A$1:$I$89,3,0)*0.475*44/12</f>
        <v>9.6534110650137706</v>
      </c>
      <c r="DH73" s="21">
        <f>EXP(-LN(2)/2)*DH72+(1-EXP(-LN(2)/2))/(LN(2)/2)*DB73*DE73*VLOOKUP('Données projet'!$B$13,Paramètres!$A$1:$I$89,3,0)*0.475*44/12</f>
        <v>4.0894826083930411</v>
      </c>
      <c r="DI73" s="22">
        <f t="shared" si="69"/>
        <v>53.405681306140934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220</v>
      </c>
      <c r="DM73" s="12">
        <f>VLOOKUP(A73,'Données projet'!$A$165:$I$185,9,0)</f>
        <v>8.25</v>
      </c>
      <c r="DN73" s="12">
        <f t="array" ref="DN73">INDEX(DM:DM,MIN(IF(ISNUMBER(DM73:DM269),ROW(DM73:DM269),"")))</f>
        <v>8.25</v>
      </c>
      <c r="DO73" s="12">
        <f>IF('Données projet'!$A$166&gt;35,DO72+DN73-DW72,IF(A73&lt;'Données projet'!$A$166,$DL$205^A73,IF(A73='Données projet'!$A$166,'Données projet'!$B$166,DO72+DN73-DW72)))</f>
        <v>220.00000000000003</v>
      </c>
      <c r="DP73" s="17">
        <f>DO73*VLOOKUP('Données projet'!$B$14,Paramètres!$A$1:$I$89,3,0)*VLOOKUP('Données projet'!$B$14,Paramètres!$A$1:$I$89,5,0)</f>
        <v>223.08000000000004</v>
      </c>
      <c r="DQ73" s="13">
        <f t="shared" si="97"/>
        <v>54.783765878062667</v>
      </c>
      <c r="DR73" s="20">
        <f t="shared" si="70"/>
        <v>483.94605890429256</v>
      </c>
      <c r="DS73" s="59">
        <f t="shared" si="71"/>
        <v>777.27939223762587</v>
      </c>
      <c r="DT73" s="59">
        <f ca="1">AVERAGE(OFFSET($DS$3,0,0,'Données projet'!$E$14+1,1))-AVERAGE(OFFSET($H$3,0,0,'Données projet'!$E$14+1,1))</f>
        <v>313.90901812281373</v>
      </c>
      <c r="DU73" s="59">
        <f t="shared" si="98"/>
        <v>210.54265725995265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53</v>
      </c>
      <c r="DX73" s="16">
        <f>IF(ISNA(VLOOKUP(A73,'Données projet'!$A$165:$I$185,5,0)),0%,VLOOKUP(A73,'Données projet'!$A$165:$I$185,5,0)*VLOOKUP('Données projet'!$B$14,Paramètres!$A$1:$I$89,7,0))</f>
        <v>0.30099999999999999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36.732258730245533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36.732258730245533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-5.6843418860808015E-14</v>
      </c>
      <c r="EK73" s="17">
        <f>EJ73*VLOOKUP('Données projet'!$B$15,Paramètres!$A$1:$I$89,3,0)*VLOOKUP('Données projet'!$B$15,Paramètres!$A$1:$I$89,5,0)</f>
        <v>-4.5224624045658861E-14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316.52407313312403</v>
      </c>
      <c r="EP73" s="59">
        <f t="shared" si="100"/>
        <v>340.55949748167382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176.94987330801845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176.94987330801845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-5.6843418860808015E-14</v>
      </c>
      <c r="FF73" s="17">
        <f>FE73*VLOOKUP('Données projet'!$B$16,Paramètres!$A$1:$I$89,3,0)*VLOOKUP('Données projet'!$B$16,Paramètres!$A$1:$I$89,5,0)</f>
        <v>-3.7243808037601412E-14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199.99826357281154</v>
      </c>
      <c r="FK73" s="59">
        <f t="shared" si="102"/>
        <v>214.67424457475136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76.521998656565856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76.521998656565856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284.60021367910457</v>
      </c>
      <c r="T74" s="59">
        <f t="shared" si="88"/>
        <v>301.41905904220812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178.77842656540673</v>
      </c>
      <c r="AA74" s="21">
        <f>EXP(-LN(2)/25)*AA73+(1-EXP(-LN(2)/25))/(LN(2)/25)*Calculateur!V74*Calculateur!X74*VLOOKUP('Données projet'!$B$9,Paramètres!$A$1:$I$89,3,0)*0.475*44/12</f>
        <v>39.492908273313361</v>
      </c>
      <c r="AB74" s="21">
        <f>EXP(-LN(2)/2)*AB73+(1-EXP(-LN(2)/2))/(LN(2)/2)*V74*Y74*VLOOKUP('Données projet'!$B$9,Paramètres!$A$1:$I$89,3,0)*0.475*44/12</f>
        <v>6.2839055380356816</v>
      </c>
      <c r="AC74" s="22">
        <f t="shared" si="57"/>
        <v>224.55524037675576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12.875</v>
      </c>
      <c r="AI74" s="13">
        <f>IF('Données projet'!$A$62&gt;35,AI73+AH74-AQ73,IF(A74&lt;'Données projet'!$A$62,$AF$205^A74,IF(A74='Données projet'!$A$62,'Données projet'!$B$62,AI73+AH74-AQ73)))</f>
        <v>494.37500000000006</v>
      </c>
      <c r="AJ74" s="13">
        <f>AI74*VLOOKUP('Données projet'!$B$10,Paramètres!$A$1:$I$89,3,0)*VLOOKUP('Données projet'!$B$10,Paramètres!$A$1:$I$89,5,0)</f>
        <v>295.63625000000002</v>
      </c>
      <c r="AK74" s="13">
        <f t="shared" si="89"/>
        <v>70.260875189476423</v>
      </c>
      <c r="AL74" s="20">
        <f t="shared" si="58"/>
        <v>637.27082637167155</v>
      </c>
      <c r="AM74" s="59">
        <f t="shared" si="59"/>
        <v>930.6041597050048</v>
      </c>
      <c r="AN74" s="59">
        <f ca="1">AVERAGE(OFFSET($AM$3,0,0,'Données projet'!$E$10+1,1))-AVERAGE(OFFSET($H$3,0,0,'Données projet'!$E$10+1,1))</f>
        <v>294.45857786714919</v>
      </c>
      <c r="AO74" s="59">
        <f t="shared" si="90"/>
        <v>221.9773436301067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60.685443377462171</v>
      </c>
      <c r="AV74" s="21">
        <f>EXP(-LN(2)/25)*AV73+(1-EXP(-LN(2)/25))/(LN(2)/25)*Calculateur!AQ74*Calculateur!AS74*VLOOKUP('Données projet'!$B$10,Paramètres!$A$1:$I$89,3,0)*0.475*44/12</f>
        <v>13.283170563584186</v>
      </c>
      <c r="AW74" s="21">
        <f>EXP(-LN(2)/2)*AW73+(1-EXP(-LN(2)/2))/(LN(2)/2)*AQ74*AT74*VLOOKUP('Données projet'!$B$10,Paramètres!$A$1:$I$89,3,0)*0.475*44/12</f>
        <v>1.1077842659299924</v>
      </c>
      <c r="AX74" s="21">
        <f t="shared" si="60"/>
        <v>75.07639820697635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1.1368683772161603E-13</v>
      </c>
      <c r="BE74" s="13">
        <f>BD74*VLOOKUP('Données projet'!$B$11,Paramètres!$A$1:$I$89,3,0)*VLOOKUP('Données projet'!$B$11,Paramètres!$A$1:$I$89,5,0)</f>
        <v>6.3550942286383367E-14</v>
      </c>
      <c r="BF74" s="13">
        <f t="shared" si="91"/>
        <v>1.0064464192543978E-12</v>
      </c>
      <c r="BG74" s="20">
        <f t="shared" si="61"/>
        <v>1.8635787380168604E-12</v>
      </c>
      <c r="BH74" s="59">
        <f t="shared" si="62"/>
        <v>293.33333333333519</v>
      </c>
      <c r="BI74" s="59">
        <f ca="1">AVERAGE(OFFSET($BH$3,0,0,'Données projet'!$E$11+1,1))-AVERAGE(OFFSET($H$3,0,0,'Données projet'!$E$11+1,1))</f>
        <v>304.91676868833792</v>
      </c>
      <c r="BJ74" s="59">
        <f t="shared" si="92"/>
        <v>365.95065044620048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176.66209499958239</v>
      </c>
      <c r="BQ74" s="21">
        <f>EXP(-LN(2)/25)*BQ73+(1-EXP(-LN(2)/25))/(LN(2)/25)*Calculateur!BL74*Calculateur!BN74*VLOOKUP('Données projet'!$B$11,Paramètres!$A$1:$I$89,3,0)*0.475*44/12</f>
        <v>38.356757972430607</v>
      </c>
      <c r="BR74" s="21">
        <f>EXP(-LN(2)/2)*BR73+(1-EXP(-LN(2)/2))/(LN(2)/2)*BL74*BO74*VLOOKUP('Données projet'!$B$11,Paramètres!$A$1:$I$89,3,0)*0.475*44/12</f>
        <v>1.0619435205118988</v>
      </c>
      <c r="BS74" s="22">
        <f t="shared" si="63"/>
        <v>216.08079649252491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398.99999999999989</v>
      </c>
      <c r="BZ74" s="13">
        <f>BY74*VLOOKUP('Données projet'!$B$12,Paramètres!$A$1:$I$89,3,0)*VLOOKUP('Données projet'!$B$12,Paramètres!$A$1:$I$89,5,0)</f>
        <v>186.73199999999994</v>
      </c>
      <c r="CA74" s="13">
        <f t="shared" si="93"/>
        <v>46.81671651923142</v>
      </c>
      <c r="CB74" s="20">
        <f t="shared" si="64"/>
        <v>406.76401460432794</v>
      </c>
      <c r="CC74" s="59">
        <f t="shared" si="65"/>
        <v>700.0973479376612</v>
      </c>
      <c r="CD74" s="59">
        <f ca="1">AVERAGE(OFFSET($CC$3,0,0,'Données projet'!$E$12+1,1))-AVERAGE(OFFSET($H$3,0,0,'Données projet'!$E$12+1,1))</f>
        <v>259.87681411271632</v>
      </c>
      <c r="CE74" s="59">
        <f t="shared" si="94"/>
        <v>191.8684235641158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60.182238747636163</v>
      </c>
      <c r="CL74" s="21">
        <f>EXP(-LN(2)/25)*CL73+(1-EXP(-LN(2)/25))/(LN(2)/25)*Calculateur!CG74*Calculateur!CI74*VLOOKUP('Données projet'!$B$12,Paramètres!$A$1:$I$89,3,0)*0.475*44/12</f>
        <v>14.603682430965174</v>
      </c>
      <c r="CM74" s="21">
        <f>EXP(-LN(2)/2)*CM73+(1-EXP(-LN(2)/2))/(LN(2)/2)*CG74*CJ74*VLOOKUP('Données projet'!$B$12,Paramètres!$A$1:$I$89,3,0)*0.475*44/12</f>
        <v>4.7539264649887496</v>
      </c>
      <c r="CN74" s="22">
        <f t="shared" si="66"/>
        <v>79.539847643590093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7.6999999999999975</v>
      </c>
      <c r="CT74" s="12">
        <f>IF('Données projet'!$A$140&gt;35,CT73+CS74-DB73,IF(A74&lt;'Données projet'!$A$140,$CQ$205^A74,IF(A74='Données projet'!$A$140,'Données projet'!$B$140,CT73+CS74-DB73)))</f>
        <v>234.85775999999996</v>
      </c>
      <c r="CU74" s="17">
        <f>CT74*VLOOKUP('Données projet'!$B$13,Paramètres!$A$1:$I$89,3,0)*VLOOKUP('Données projet'!$B$13,Paramètres!$A$1:$I$89,5,0)</f>
        <v>109.91343167999997</v>
      </c>
      <c r="CV74" s="13">
        <f t="shared" si="95"/>
        <v>29.310587466689501</v>
      </c>
      <c r="CW74" s="20">
        <f t="shared" si="67"/>
        <v>242.4818333471508</v>
      </c>
      <c r="CX74" s="59">
        <f t="shared" si="68"/>
        <v>535.81516668048414</v>
      </c>
      <c r="CY74" s="59">
        <f ca="1">AVERAGE(OFFSET($CX$3,0,0,'Données projet'!$E$13+1,1))-AVERAGE(OFFSET($H$3,0,0,'Données projet'!$E$13+1,1))</f>
        <v>137.59122085719031</v>
      </c>
      <c r="CZ74" s="59">
        <f t="shared" si="96"/>
        <v>130.1134470448718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38.88502455916791</v>
      </c>
      <c r="DG74" s="21">
        <f>EXP(-LN(2)/25)*DG73+(1-EXP(-LN(2)/25))/(LN(2)/25)*Calculateur!DB74*Calculateur!DD74*VLOOKUP('Données projet'!$B$13,Paramètres!$A$1:$I$89,3,0)*0.475*44/12</f>
        <v>9.389438031790144</v>
      </c>
      <c r="DH74" s="21">
        <f>EXP(-LN(2)/2)*DH73+(1-EXP(-LN(2)/2))/(LN(2)/2)*DB74*DE74*VLOOKUP('Données projet'!$B$13,Paramètres!$A$1:$I$89,3,0)*0.475*44/12</f>
        <v>2.89170088393917</v>
      </c>
      <c r="DI74" s="22">
        <f t="shared" si="69"/>
        <v>51.166163474897225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7.5</v>
      </c>
      <c r="DO74" s="12">
        <f>IF('Données projet'!$A$166&gt;35,DO73+DN74-DW73,IF(A74&lt;'Données projet'!$A$166,$DL$205^A74,IF(A74='Données projet'!$A$166,'Données projet'!$B$166,DO73+DN74-DW73)))</f>
        <v>174.50000000000003</v>
      </c>
      <c r="DP74" s="17">
        <f>DO74*VLOOKUP('Données projet'!$B$14,Paramètres!$A$1:$I$89,3,0)*VLOOKUP('Données projet'!$B$14,Paramètres!$A$1:$I$89,5,0)</f>
        <v>176.94300000000004</v>
      </c>
      <c r="DQ74" s="13">
        <f t="shared" si="97"/>
        <v>44.641383444033281</v>
      </c>
      <c r="DR74" s="20">
        <f t="shared" si="70"/>
        <v>385.92613449835807</v>
      </c>
      <c r="DS74" s="59">
        <f t="shared" si="71"/>
        <v>679.25946783169138</v>
      </c>
      <c r="DT74" s="59">
        <f ca="1">AVERAGE(OFFSET($DS$3,0,0,'Données projet'!$E$14+1,1))-AVERAGE(OFFSET($H$3,0,0,'Données projet'!$E$14+1,1))</f>
        <v>313.90901812281373</v>
      </c>
      <c r="DU74" s="59">
        <f t="shared" si="98"/>
        <v>210.54265725995265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36.011961541010983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36.011961541010983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-5.6843418860808015E-14</v>
      </c>
      <c r="EK74" s="17">
        <f>EJ74*VLOOKUP('Données projet'!$B$15,Paramètres!$A$1:$I$89,3,0)*VLOOKUP('Données projet'!$B$15,Paramètres!$A$1:$I$89,5,0)</f>
        <v>-4.5224624045658861E-14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316.52407313312403</v>
      </c>
      <c r="EP74" s="59">
        <f t="shared" si="100"/>
        <v>340.55949748167382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173.47999422121384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173.47999422121384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-5.6843418860808015E-14</v>
      </c>
      <c r="FF74" s="17">
        <f>FE74*VLOOKUP('Données projet'!$B$16,Paramètres!$A$1:$I$89,3,0)*VLOOKUP('Données projet'!$B$16,Paramètres!$A$1:$I$89,5,0)</f>
        <v>-3.7243808037601412E-14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199.99826357281154</v>
      </c>
      <c r="FK74" s="59">
        <f t="shared" si="102"/>
        <v>214.67424457475136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75.021448936721129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75.021448936721129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284.60021367910457</v>
      </c>
      <c r="T75" s="59">
        <f t="shared" si="88"/>
        <v>301.41905904220812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175.27269066453209</v>
      </c>
      <c r="AA75" s="21">
        <f>EXP(-LN(2)/25)*AA74+(1-EXP(-LN(2)/25))/(LN(2)/25)*Calculateur!V75*Calculateur!X75*VLOOKUP('Données projet'!$B$9,Paramètres!$A$1:$I$89,3,0)*0.475*44/12</f>
        <v>38.412972619737822</v>
      </c>
      <c r="AB75" s="21">
        <f>EXP(-LN(2)/2)*AB74+(1-EXP(-LN(2)/2))/(LN(2)/2)*V75*Y75*VLOOKUP('Données projet'!$B$9,Paramètres!$A$1:$I$89,3,0)*0.475*44/12</f>
        <v>4.4433922182807315</v>
      </c>
      <c r="AC75" s="22">
        <f t="shared" si="57"/>
        <v>218.12905550255064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12.875</v>
      </c>
      <c r="AI75" s="13">
        <f>IF('Données projet'!$A$62&gt;35,AI74+AH75-AQ74,IF(A75&lt;'Données projet'!$A$62,$AF$205^A75,IF(A75='Données projet'!$A$62,'Données projet'!$B$62,AI74+AH75-AQ74)))</f>
        <v>507.25000000000006</v>
      </c>
      <c r="AJ75" s="13">
        <f>AI75*VLOOKUP('Données projet'!$B$10,Paramètres!$A$1:$I$89,3,0)*VLOOKUP('Données projet'!$B$10,Paramètres!$A$1:$I$89,5,0)</f>
        <v>303.33550000000008</v>
      </c>
      <c r="AK75" s="13">
        <f t="shared" si="89"/>
        <v>71.875261779950662</v>
      </c>
      <c r="AL75" s="20">
        <f t="shared" si="58"/>
        <v>653.49207676674757</v>
      </c>
      <c r="AM75" s="59">
        <f t="shared" si="59"/>
        <v>946.82541010008094</v>
      </c>
      <c r="AN75" s="59">
        <f ca="1">AVERAGE(OFFSET($AM$3,0,0,'Données projet'!$E$10+1,1))-AVERAGE(OFFSET($H$3,0,0,'Données projet'!$E$10+1,1))</f>
        <v>294.45857786714919</v>
      </c>
      <c r="AO75" s="59">
        <f t="shared" si="90"/>
        <v>221.9773436301067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59.495438847295723</v>
      </c>
      <c r="AV75" s="21">
        <f>EXP(-LN(2)/25)*AV74+(1-EXP(-LN(2)/25))/(LN(2)/25)*Calculateur!AQ75*Calculateur!AS75*VLOOKUP('Données projet'!$B$10,Paramètres!$A$1:$I$89,3,0)*0.475*44/12</f>
        <v>12.919941565991396</v>
      </c>
      <c r="AW75" s="21">
        <f>EXP(-LN(2)/2)*AW74+(1-EXP(-LN(2)/2))/(LN(2)/2)*AQ75*AT75*VLOOKUP('Données projet'!$B$10,Paramètres!$A$1:$I$89,3,0)*0.475*44/12</f>
        <v>0.78332176653085928</v>
      </c>
      <c r="AX75" s="21">
        <f t="shared" si="60"/>
        <v>73.198702179817985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1.1368683772161603E-13</v>
      </c>
      <c r="BE75" s="13">
        <f>BD75*VLOOKUP('Données projet'!$B$11,Paramètres!$A$1:$I$89,3,0)*VLOOKUP('Données projet'!$B$11,Paramètres!$A$1:$I$89,5,0)</f>
        <v>6.3550942286383367E-14</v>
      </c>
      <c r="BF75" s="13">
        <f t="shared" si="91"/>
        <v>1.0064464192543978E-12</v>
      </c>
      <c r="BG75" s="20">
        <f t="shared" si="61"/>
        <v>1.8635787380168604E-12</v>
      </c>
      <c r="BH75" s="59">
        <f t="shared" si="62"/>
        <v>293.33333333333519</v>
      </c>
      <c r="BI75" s="59">
        <f ca="1">AVERAGE(OFFSET($BH$3,0,0,'Données projet'!$E$11+1,1))-AVERAGE(OFFSET($H$3,0,0,'Données projet'!$E$11+1,1))</f>
        <v>304.91676868833792</v>
      </c>
      <c r="BJ75" s="59">
        <f t="shared" si="92"/>
        <v>365.95065044620048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173.19785906987877</v>
      </c>
      <c r="BQ75" s="21">
        <f>EXP(-LN(2)/25)*BQ74+(1-EXP(-LN(2)/25))/(LN(2)/25)*Calculateur!BL75*Calculateur!BN75*VLOOKUP('Données projet'!$B$11,Paramètres!$A$1:$I$89,3,0)*0.475*44/12</f>
        <v>37.307890408580256</v>
      </c>
      <c r="BR75" s="21">
        <f>EXP(-LN(2)/2)*BR74+(1-EXP(-LN(2)/2))/(LN(2)/2)*BL75*BO75*VLOOKUP('Données projet'!$B$11,Paramètres!$A$1:$I$89,3,0)*0.475*44/12</f>
        <v>0.75090746459107915</v>
      </c>
      <c r="BS75" s="22">
        <f t="shared" si="63"/>
        <v>211.2566569430501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415.99999999999989</v>
      </c>
      <c r="BZ75" s="13">
        <f>BY75*VLOOKUP('Données projet'!$B$12,Paramètres!$A$1:$I$89,3,0)*VLOOKUP('Données projet'!$B$12,Paramètres!$A$1:$I$89,5,0)</f>
        <v>194.68799999999996</v>
      </c>
      <c r="CA75" s="13">
        <f t="shared" si="93"/>
        <v>48.574928228914978</v>
      </c>
      <c r="CB75" s="20">
        <f t="shared" si="64"/>
        <v>423.68293333202683</v>
      </c>
      <c r="CC75" s="59">
        <f t="shared" si="65"/>
        <v>717.01626666536015</v>
      </c>
      <c r="CD75" s="59">
        <f ca="1">AVERAGE(OFFSET($CC$3,0,0,'Données projet'!$E$12+1,1))-AVERAGE(OFFSET($H$3,0,0,'Données projet'!$E$12+1,1))</f>
        <v>259.87681411271632</v>
      </c>
      <c r="CE75" s="59">
        <f t="shared" si="94"/>
        <v>191.8684235641158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59.002101753336085</v>
      </c>
      <c r="CL75" s="21">
        <f>EXP(-LN(2)/25)*CL74+(1-EXP(-LN(2)/25))/(LN(2)/25)*Calculateur!CG75*Calculateur!CI75*VLOOKUP('Données projet'!$B$12,Paramètres!$A$1:$I$89,3,0)*0.475*44/12</f>
        <v>14.204343966916149</v>
      </c>
      <c r="CM75" s="21">
        <f>EXP(-LN(2)/2)*CM74+(1-EXP(-LN(2)/2))/(LN(2)/2)*CG75*CJ75*VLOOKUP('Données projet'!$B$12,Paramètres!$A$1:$I$89,3,0)*0.475*44/12</f>
        <v>3.3615336406557375</v>
      </c>
      <c r="CN75" s="22">
        <f t="shared" si="66"/>
        <v>76.56797936090797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7.6999999999999975</v>
      </c>
      <c r="CT75" s="12">
        <f>IF('Données projet'!$A$140&gt;35,CT74+CS75-DB74,IF(A75&lt;'Données projet'!$A$140,$CQ$205^A75,IF(A75='Données projet'!$A$140,'Données projet'!$B$140,CT74+CS75-DB74)))</f>
        <v>242.55775999999994</v>
      </c>
      <c r="CU75" s="17">
        <f>CT75*VLOOKUP('Données projet'!$B$13,Paramètres!$A$1:$I$89,3,0)*VLOOKUP('Données projet'!$B$13,Paramètres!$A$1:$I$89,5,0)</f>
        <v>113.51703167999997</v>
      </c>
      <c r="CV75" s="13">
        <f t="shared" si="95"/>
        <v>30.158100752522429</v>
      </c>
      <c r="CW75" s="20">
        <f t="shared" si="67"/>
        <v>250.23418898664318</v>
      </c>
      <c r="CX75" s="59">
        <f t="shared" si="68"/>
        <v>543.56752231997643</v>
      </c>
      <c r="CY75" s="59">
        <f ca="1">AVERAGE(OFFSET($CX$3,0,0,'Données projet'!$E$13+1,1))-AVERAGE(OFFSET($H$3,0,0,'Données projet'!$E$13+1,1))</f>
        <v>137.59122085719031</v>
      </c>
      <c r="CZ75" s="59">
        <f t="shared" si="96"/>
        <v>130.1134470448718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38.122512945085695</v>
      </c>
      <c r="DG75" s="21">
        <f>EXP(-LN(2)/25)*DG74+(1-EXP(-LN(2)/25))/(LN(2)/25)*Calculateur!DB75*Calculateur!DD75*VLOOKUP('Données projet'!$B$13,Paramètres!$A$1:$I$89,3,0)*0.475*44/12</f>
        <v>9.1326833550417561</v>
      </c>
      <c r="DH75" s="21">
        <f>EXP(-LN(2)/2)*DH74+(1-EXP(-LN(2)/2))/(LN(2)/2)*DB75*DE75*VLOOKUP('Données projet'!$B$13,Paramètres!$A$1:$I$89,3,0)*0.475*44/12</f>
        <v>2.044741304196521</v>
      </c>
      <c r="DI75" s="22">
        <f t="shared" si="69"/>
        <v>49.299937604323972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7.5</v>
      </c>
      <c r="DO75" s="12">
        <f>IF('Données projet'!$A$166&gt;35,DO74+DN75-DW74,IF(A75&lt;'Données projet'!$A$166,$DL$205^A75,IF(A75='Données projet'!$A$166,'Données projet'!$B$166,DO74+DN75-DW74)))</f>
        <v>182.00000000000003</v>
      </c>
      <c r="DP75" s="17">
        <f>DO75*VLOOKUP('Données projet'!$B$14,Paramètres!$A$1:$I$89,3,0)*VLOOKUP('Données projet'!$B$14,Paramètres!$A$1:$I$89,5,0)</f>
        <v>184.54800000000006</v>
      </c>
      <c r="DQ75" s="13">
        <f t="shared" si="97"/>
        <v>46.332558240871698</v>
      </c>
      <c r="DR75" s="20">
        <f t="shared" si="70"/>
        <v>402.11697226951833</v>
      </c>
      <c r="DS75" s="59">
        <f t="shared" si="71"/>
        <v>695.45030560285159</v>
      </c>
      <c r="DT75" s="59">
        <f ca="1">AVERAGE(OFFSET($DS$3,0,0,'Données projet'!$E$14+1,1))-AVERAGE(OFFSET($H$3,0,0,'Données projet'!$E$14+1,1))</f>
        <v>313.90901812281373</v>
      </c>
      <c r="DU75" s="59">
        <f t="shared" si="98"/>
        <v>210.54265725995265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35.305788940319424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35.305788940319424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-5.6843418860808015E-14</v>
      </c>
      <c r="EK75" s="17">
        <f>EJ75*VLOOKUP('Données projet'!$B$15,Paramètres!$A$1:$I$89,3,0)*VLOOKUP('Données projet'!$B$15,Paramètres!$A$1:$I$89,5,0)</f>
        <v>-4.5224624045658861E-14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316.52407313312403</v>
      </c>
      <c r="EP75" s="59">
        <f t="shared" si="100"/>
        <v>340.55949748167382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170.07815734688421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170.07815734688421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-5.6843418860808015E-14</v>
      </c>
      <c r="FF75" s="17">
        <f>FE75*VLOOKUP('Données projet'!$B$16,Paramètres!$A$1:$I$89,3,0)*VLOOKUP('Données projet'!$B$16,Paramètres!$A$1:$I$89,5,0)</f>
        <v>-3.7243808037601412E-14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199.99826357281154</v>
      </c>
      <c r="FK75" s="59">
        <f t="shared" si="102"/>
        <v>214.67424457475136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73.550324081637598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73.550324081637598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284.60021367910457</v>
      </c>
      <c r="T76" s="59">
        <f t="shared" si="88"/>
        <v>301.41905904220812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171.83570010638584</v>
      </c>
      <c r="AA76" s="21">
        <f>EXP(-LN(2)/25)*AA75+(1-EXP(-LN(2)/25))/(LN(2)/25)*Calculateur!V76*Calculateur!X76*VLOOKUP('Données projet'!$B$9,Paramètres!$A$1:$I$89,3,0)*0.475*44/12</f>
        <v>37.362567863400656</v>
      </c>
      <c r="AB76" s="21">
        <f>EXP(-LN(2)/2)*AB75+(1-EXP(-LN(2)/2))/(LN(2)/2)*V76*Y76*VLOOKUP('Données projet'!$B$9,Paramètres!$A$1:$I$89,3,0)*0.475*44/12</f>
        <v>3.1419527690178413</v>
      </c>
      <c r="AC76" s="22">
        <f t="shared" si="57"/>
        <v>212.34022073880436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12.875</v>
      </c>
      <c r="AI76" s="13">
        <f>IF('Données projet'!$A$62&gt;35,AI75+AH76-AQ75,IF(A76&lt;'Données projet'!$A$62,$AF$205^A76,IF(A76='Données projet'!$A$62,'Données projet'!$B$62,AI75+AH76-AQ75)))</f>
        <v>520.125</v>
      </c>
      <c r="AJ76" s="13">
        <f>AI76*VLOOKUP('Données projet'!$B$10,Paramètres!$A$1:$I$89,3,0)*VLOOKUP('Données projet'!$B$10,Paramètres!$A$1:$I$89,5,0)</f>
        <v>311.03475000000003</v>
      </c>
      <c r="AK76" s="13">
        <f t="shared" si="89"/>
        <v>73.484885227728896</v>
      </c>
      <c r="AL76" s="20">
        <f t="shared" si="58"/>
        <v>669.70503135496119</v>
      </c>
      <c r="AM76" s="59">
        <f t="shared" si="59"/>
        <v>963.03836468829445</v>
      </c>
      <c r="AN76" s="59">
        <f ca="1">AVERAGE(OFFSET($AM$3,0,0,'Données projet'!$E$10+1,1))-AVERAGE(OFFSET($H$3,0,0,'Données projet'!$E$10+1,1))</f>
        <v>294.45857786714919</v>
      </c>
      <c r="AO76" s="59">
        <f t="shared" si="90"/>
        <v>221.9773436301067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58.328769580134747</v>
      </c>
      <c r="AV76" s="21">
        <f>EXP(-LN(2)/25)*AV75+(1-EXP(-LN(2)/25))/(LN(2)/25)*Calculateur!AQ76*Calculateur!AS76*VLOOKUP('Données projet'!$B$10,Paramètres!$A$1:$I$89,3,0)*0.475*44/12</f>
        <v>12.566645084439163</v>
      </c>
      <c r="AW76" s="21">
        <f>EXP(-LN(2)/2)*AW75+(1-EXP(-LN(2)/2))/(LN(2)/2)*AQ76*AT76*VLOOKUP('Données projet'!$B$10,Paramètres!$A$1:$I$89,3,0)*0.475*44/12</f>
        <v>0.55389213296499618</v>
      </c>
      <c r="AX76" s="21">
        <f t="shared" si="60"/>
        <v>71.449306797538895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1.1368683772161603E-13</v>
      </c>
      <c r="BE76" s="13">
        <f>BD76*VLOOKUP('Données projet'!$B$11,Paramètres!$A$1:$I$89,3,0)*VLOOKUP('Données projet'!$B$11,Paramètres!$A$1:$I$89,5,0)</f>
        <v>6.3550942286383367E-14</v>
      </c>
      <c r="BF76" s="13">
        <f t="shared" si="91"/>
        <v>1.0064464192543978E-12</v>
      </c>
      <c r="BG76" s="20">
        <f t="shared" si="61"/>
        <v>1.8635787380168604E-12</v>
      </c>
      <c r="BH76" s="59">
        <f t="shared" si="62"/>
        <v>293.33333333333519</v>
      </c>
      <c r="BI76" s="59">
        <f ca="1">AVERAGE(OFFSET($BH$3,0,0,'Données projet'!$E$11+1,1))-AVERAGE(OFFSET($H$3,0,0,'Données projet'!$E$11+1,1))</f>
        <v>304.91676868833792</v>
      </c>
      <c r="BJ76" s="59">
        <f t="shared" si="92"/>
        <v>365.95065044620048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169.80155469378138</v>
      </c>
      <c r="BQ76" s="21">
        <f>EXP(-LN(2)/25)*BQ75+(1-EXP(-LN(2)/25))/(LN(2)/25)*Calculateur!BL76*Calculateur!BN76*VLOOKUP('Données projet'!$B$11,Paramètres!$A$1:$I$89,3,0)*0.475*44/12</f>
        <v>36.287704183420942</v>
      </c>
      <c r="BR76" s="21">
        <f>EXP(-LN(2)/2)*BR75+(1-EXP(-LN(2)/2))/(LN(2)/2)*BL76*BO76*VLOOKUP('Données projet'!$B$11,Paramètres!$A$1:$I$89,3,0)*0.475*44/12</f>
        <v>0.53097176025594939</v>
      </c>
      <c r="BS76" s="22">
        <f t="shared" si="63"/>
        <v>206.62023063745826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432.99999999999989</v>
      </c>
      <c r="BZ76" s="13">
        <f>BY76*VLOOKUP('Données projet'!$B$12,Paramètres!$A$1:$I$89,3,0)*VLOOKUP('Données projet'!$B$12,Paramètres!$A$1:$I$89,5,0)</f>
        <v>202.64399999999998</v>
      </c>
      <c r="CA76" s="13">
        <f t="shared" si="93"/>
        <v>50.324794005167568</v>
      </c>
      <c r="CB76" s="20">
        <f t="shared" si="64"/>
        <v>440.58731622566683</v>
      </c>
      <c r="CC76" s="59">
        <f t="shared" si="65"/>
        <v>733.92064955900014</v>
      </c>
      <c r="CD76" s="59">
        <f ca="1">AVERAGE(OFFSET($CC$3,0,0,'Données projet'!$E$12+1,1))-AVERAGE(OFFSET($H$3,0,0,'Données projet'!$E$12+1,1))</f>
        <v>259.87681411271632</v>
      </c>
      <c r="CE76" s="59">
        <f t="shared" si="94"/>
        <v>191.8684235641158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57.845106525681743</v>
      </c>
      <c r="CL76" s="21">
        <f>EXP(-LN(2)/25)*CL75+(1-EXP(-LN(2)/25))/(LN(2)/25)*Calculateur!CG76*Calculateur!CI76*VLOOKUP('Données projet'!$B$12,Paramètres!$A$1:$I$89,3,0)*0.475*44/12</f>
        <v>13.815925434166841</v>
      </c>
      <c r="CM76" s="21">
        <f>EXP(-LN(2)/2)*CM75+(1-EXP(-LN(2)/2))/(LN(2)/2)*CG76*CJ76*VLOOKUP('Données projet'!$B$12,Paramètres!$A$1:$I$89,3,0)*0.475*44/12</f>
        <v>2.3769632324943752</v>
      </c>
      <c r="CN76" s="22">
        <f t="shared" si="66"/>
        <v>74.037995192342962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7.6999999999999975</v>
      </c>
      <c r="CT76" s="12">
        <f>IF('Données projet'!$A$140&gt;35,CT75+CS76-DB75,IF(A76&lt;'Données projet'!$A$140,$CQ$205^A76,IF(A76='Données projet'!$A$140,'Données projet'!$B$140,CT75+CS76-DB75)))</f>
        <v>250.25775999999993</v>
      </c>
      <c r="CU76" s="17">
        <f>CT76*VLOOKUP('Données projet'!$B$13,Paramètres!$A$1:$I$89,3,0)*VLOOKUP('Données projet'!$B$13,Paramètres!$A$1:$I$89,5,0)</f>
        <v>117.12063167999997</v>
      </c>
      <c r="CV76" s="13">
        <f t="shared" si="95"/>
        <v>31.00248759920299</v>
      </c>
      <c r="CW76" s="20">
        <f t="shared" si="67"/>
        <v>257.98109941127854</v>
      </c>
      <c r="CX76" s="59">
        <f t="shared" si="68"/>
        <v>551.31443274461185</v>
      </c>
      <c r="CY76" s="59">
        <f ca="1">AVERAGE(OFFSET($CX$3,0,0,'Données projet'!$E$13+1,1))-AVERAGE(OFFSET($H$3,0,0,'Données projet'!$E$13+1,1))</f>
        <v>137.59122085719031</v>
      </c>
      <c r="CZ76" s="59">
        <f t="shared" si="96"/>
        <v>130.1134470448718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37.374953718669474</v>
      </c>
      <c r="DG76" s="21">
        <f>EXP(-LN(2)/25)*DG75+(1-EXP(-LN(2)/25))/(LN(2)/25)*Calculateur!DB76*Calculateur!DD76*VLOOKUP('Données projet'!$B$13,Paramètres!$A$1:$I$89,3,0)*0.475*44/12</f>
        <v>8.8829496484311949</v>
      </c>
      <c r="DH76" s="21">
        <f>EXP(-LN(2)/2)*DH75+(1-EXP(-LN(2)/2))/(LN(2)/2)*DB76*DE76*VLOOKUP('Données projet'!$B$13,Paramètres!$A$1:$I$89,3,0)*0.475*44/12</f>
        <v>1.4458504419695852</v>
      </c>
      <c r="DI76" s="22">
        <f t="shared" si="69"/>
        <v>47.70375380907025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7.5</v>
      </c>
      <c r="DO76" s="12">
        <f>IF('Données projet'!$A$166&gt;35,DO75+DN76-DW75,IF(A76&lt;'Données projet'!$A$166,$DL$205^A76,IF(A76='Données projet'!$A$166,'Données projet'!$B$166,DO75+DN76-DW75)))</f>
        <v>189.50000000000003</v>
      </c>
      <c r="DP76" s="17">
        <f>DO76*VLOOKUP('Données projet'!$B$14,Paramètres!$A$1:$I$89,3,0)*VLOOKUP('Données projet'!$B$14,Paramètres!$A$1:$I$89,5,0)</f>
        <v>192.15300000000005</v>
      </c>
      <c r="DQ76" s="13">
        <f t="shared" si="97"/>
        <v>48.015637978844772</v>
      </c>
      <c r="DR76" s="20">
        <f t="shared" si="70"/>
        <v>418.29371114648802</v>
      </c>
      <c r="DS76" s="59">
        <f t="shared" si="71"/>
        <v>711.62704447982128</v>
      </c>
      <c r="DT76" s="59">
        <f ca="1">AVERAGE(OFFSET($DS$3,0,0,'Données projet'!$E$14+1,1))-AVERAGE(OFFSET($H$3,0,0,'Données projet'!$E$14+1,1))</f>
        <v>313.90901812281373</v>
      </c>
      <c r="DU76" s="59">
        <f t="shared" si="98"/>
        <v>210.54265725995265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34.613463953604665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34.613463953604665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-5.6843418860808015E-14</v>
      </c>
      <c r="EK76" s="17">
        <f>EJ76*VLOOKUP('Données projet'!$B$15,Paramètres!$A$1:$I$89,3,0)*VLOOKUP('Données projet'!$B$15,Paramètres!$A$1:$I$89,5,0)</f>
        <v>-4.5224624045658861E-14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316.52407313312403</v>
      </c>
      <c r="EP76" s="59">
        <f t="shared" si="100"/>
        <v>340.55949748167382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166.74302841874459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166.74302841874459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-5.6843418860808015E-14</v>
      </c>
      <c r="FF76" s="17">
        <f>FE76*VLOOKUP('Données projet'!$B$16,Paramètres!$A$1:$I$89,3,0)*VLOOKUP('Données projet'!$B$16,Paramètres!$A$1:$I$89,5,0)</f>
        <v>-3.7243808037601412E-14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199.99826357281154</v>
      </c>
      <c r="FK76" s="59">
        <f t="shared" si="102"/>
        <v>214.67424457475136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72.108047087664687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72.108047087664687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284.60021367910457</v>
      </c>
      <c r="T77" s="59">
        <f t="shared" si="88"/>
        <v>301.41905904220812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168.46610683672762</v>
      </c>
      <c r="AA77" s="21">
        <f>EXP(-LN(2)/25)*AA76+(1-EXP(-LN(2)/25))/(LN(2)/25)*Calculateur!V77*Calculateur!X77*VLOOKUP('Données projet'!$B$9,Paramètres!$A$1:$I$89,3,0)*0.475*44/12</f>
        <v>36.340886480363913</v>
      </c>
      <c r="AB77" s="21">
        <f>EXP(-LN(2)/2)*AB76+(1-EXP(-LN(2)/2))/(LN(2)/2)*V77*Y77*VLOOKUP('Données projet'!$B$9,Paramètres!$A$1:$I$89,3,0)*0.475*44/12</f>
        <v>2.2216961091403657</v>
      </c>
      <c r="AC77" s="22">
        <f t="shared" si="57"/>
        <v>207.02868942623189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533</v>
      </c>
      <c r="AG77" s="12">
        <f>VLOOKUP(A77,'Données projet'!$A$61:$I$81,9,0)</f>
        <v>12.875</v>
      </c>
      <c r="AH77" s="12">
        <f t="array" ref="AH77">INDEX(AG:AG,MIN(IF(ISNUMBER(AG77:AG273),ROW(AG77:AG273),"")))</f>
        <v>12.875</v>
      </c>
      <c r="AI77" s="13">
        <f>IF('Données projet'!$A$62&gt;35,AI76+AH77-AQ76,IF(A77&lt;'Données projet'!$A$62,$AF$205^A77,IF(A77='Données projet'!$A$62,'Données projet'!$B$62,AI76+AH77-AQ76)))</f>
        <v>533</v>
      </c>
      <c r="AJ77" s="13">
        <f>AI77*VLOOKUP('Données projet'!$B$10,Paramètres!$A$1:$I$89,3,0)*VLOOKUP('Données projet'!$B$10,Paramètres!$A$1:$I$89,5,0)</f>
        <v>318.73400000000004</v>
      </c>
      <c r="AK77" s="13">
        <f t="shared" si="89"/>
        <v>75.089876999925679</v>
      </c>
      <c r="AL77" s="20">
        <f t="shared" si="58"/>
        <v>685.90991910820378</v>
      </c>
      <c r="AM77" s="59">
        <f t="shared" si="59"/>
        <v>979.24325244153715</v>
      </c>
      <c r="AN77" s="59">
        <f ca="1">AVERAGE(OFFSET($AM$3,0,0,'Données projet'!$E$10+1,1))-AVERAGE(OFFSET($H$3,0,0,'Données projet'!$E$10+1,1))</f>
        <v>294.45857786714919</v>
      </c>
      <c r="AO77" s="59">
        <f t="shared" si="90"/>
        <v>221.9773436301067</v>
      </c>
      <c r="AP77" s="15">
        <f>IF(ISNA(VLOOKUP(A77,'Données projet'!$A$61:$I$81,3,0)),0,VLOOKUP(A77,'Données projet'!$A$61:$I$81,3,0))</f>
        <v>10</v>
      </c>
      <c r="AQ77" s="15">
        <f>IF(ISNA(VLOOKUP(A77,'Données projet'!$A$61:$I$81,4,0)),0,VLOOKUP(A77,'Données projet'!$A$61:$I$81,4,0))</f>
        <v>37</v>
      </c>
      <c r="AR77" s="16">
        <f>IF(ISNA(VLOOKUP(A77,'Données projet'!$A$61:$I$81,5,0)),0%,VLOOKUP(A77,'Données projet'!$A$61:$I$81,5,0)*VLOOKUP('Données projet'!$B$10,Paramètres!$A$1:$I$89,7,0))</f>
        <v>0.315</v>
      </c>
      <c r="AS77" s="16">
        <f>IF(ISNA(VLOOKUP(A77,'Données projet'!$A$61:$I$81,6,0)),0%,VLOOKUP(A77,'Données projet'!$A$61:$I$81,6,0)*VLOOKUP('Données projet'!$B$10,Paramètres!$A$1:$I$89,7,0))</f>
        <v>7.5600000000000001E-2</v>
      </c>
      <c r="AT77" s="16">
        <f>IF(ISNA(VLOOKUP(A77,'Données projet'!$A$61:$I$81,7,0)),0%,VLOOKUP(A77,'Données projet'!$A$61:$I$81,7,0))</f>
        <v>0.13200000000000001</v>
      </c>
      <c r="AU77" s="21">
        <f>EXP(-LN(2)/35)*AU76+(1-EXP(-LN(2)/35))/(LN(2)/35)*AQ77*AR77*VLOOKUP('Données projet'!$B$10,Paramètres!$A$1:$I$89,3,0)*0.475*44/12</f>
        <v>66.430721005137215</v>
      </c>
      <c r="AV77" s="21">
        <f>EXP(-LN(2)/25)*AV76+(1-EXP(-LN(2)/25))/(LN(2)/25)*Calculateur!AQ77*Calculateur!AS77*VLOOKUP('Données projet'!$B$10,Paramètres!$A$1:$I$89,3,0)*0.475*44/12</f>
        <v>14.433250875256579</v>
      </c>
      <c r="AW77" s="21">
        <f>EXP(-LN(2)/2)*AW76+(1-EXP(-LN(2)/2))/(LN(2)/2)*AQ77*AT77*VLOOKUP('Données projet'!$B$10,Paramètres!$A$1:$I$89,3,0)*0.475*44/12</f>
        <v>3.6984947628547471</v>
      </c>
      <c r="AX77" s="21">
        <f t="shared" si="60"/>
        <v>84.562466643248541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1.1368683772161603E-13</v>
      </c>
      <c r="BE77" s="13">
        <f>BD77*VLOOKUP('Données projet'!$B$11,Paramètres!$A$1:$I$89,3,0)*VLOOKUP('Données projet'!$B$11,Paramètres!$A$1:$I$89,5,0)</f>
        <v>6.3550942286383367E-14</v>
      </c>
      <c r="BF77" s="13">
        <f t="shared" si="91"/>
        <v>1.0064464192543978E-12</v>
      </c>
      <c r="BG77" s="20">
        <f t="shared" si="61"/>
        <v>1.8635787380168604E-12</v>
      </c>
      <c r="BH77" s="59">
        <f t="shared" si="62"/>
        <v>293.33333333333519</v>
      </c>
      <c r="BI77" s="59">
        <f ca="1">AVERAGE(OFFSET($BH$3,0,0,'Données projet'!$E$11+1,1))-AVERAGE(OFFSET($H$3,0,0,'Données projet'!$E$11+1,1))</f>
        <v>304.91676868833792</v>
      </c>
      <c r="BJ77" s="59">
        <f t="shared" si="92"/>
        <v>365.95065044620048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166.47184977495814</v>
      </c>
      <c r="BQ77" s="21">
        <f>EXP(-LN(2)/25)*BQ76+(1-EXP(-LN(2)/25))/(LN(2)/25)*Calculateur!BL77*Calculateur!BN77*VLOOKUP('Données projet'!$B$11,Paramètres!$A$1:$I$89,3,0)*0.475*44/12</f>
        <v>35.295415004237867</v>
      </c>
      <c r="BR77" s="21">
        <f>EXP(-LN(2)/2)*BR76+(1-EXP(-LN(2)/2))/(LN(2)/2)*BL77*BO77*VLOOKUP('Données projet'!$B$11,Paramètres!$A$1:$I$89,3,0)*0.475*44/12</f>
        <v>0.37545373229553958</v>
      </c>
      <c r="BS77" s="22">
        <f t="shared" si="63"/>
        <v>202.14271851149155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449.99999999999989</v>
      </c>
      <c r="BZ77" s="13">
        <f>BY77*VLOOKUP('Données projet'!$B$12,Paramètres!$A$1:$I$89,3,0)*VLOOKUP('Données projet'!$B$12,Paramètres!$A$1:$I$89,5,0)</f>
        <v>210.59999999999994</v>
      </c>
      <c r="CA77" s="13">
        <f t="shared" si="93"/>
        <v>52.066679014659961</v>
      </c>
      <c r="CB77" s="20">
        <f t="shared" si="64"/>
        <v>457.47779928386598</v>
      </c>
      <c r="CC77" s="59">
        <f t="shared" si="65"/>
        <v>750.81113261719929</v>
      </c>
      <c r="CD77" s="59">
        <f ca="1">AVERAGE(OFFSET($CC$3,0,0,'Données projet'!$E$12+1,1))-AVERAGE(OFFSET($H$3,0,0,'Données projet'!$E$12+1,1))</f>
        <v>259.87681411271632</v>
      </c>
      <c r="CE77" s="59">
        <f t="shared" si="94"/>
        <v>191.8684235641158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56.710799268744296</v>
      </c>
      <c r="CL77" s="21">
        <f>EXP(-LN(2)/25)*CL76+(1-EXP(-LN(2)/25))/(LN(2)/25)*Calculateur!CG77*Calculateur!CI77*VLOOKUP('Données projet'!$B$12,Paramètres!$A$1:$I$89,3,0)*0.475*44/12</f>
        <v>13.438128226621608</v>
      </c>
      <c r="CM77" s="21">
        <f>EXP(-LN(2)/2)*CM76+(1-EXP(-LN(2)/2))/(LN(2)/2)*CG77*CJ77*VLOOKUP('Données projet'!$B$12,Paramètres!$A$1:$I$89,3,0)*0.475*44/12</f>
        <v>1.6807668203278689</v>
      </c>
      <c r="CN77" s="22">
        <f t="shared" si="66"/>
        <v>71.829694315693786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7.6999999999999975</v>
      </c>
      <c r="CT77" s="12">
        <f>IF('Données projet'!$A$140&gt;35,CT76+CS77-DB76,IF(A77&lt;'Données projet'!$A$140,$CQ$205^A77,IF(A77='Données projet'!$A$140,'Données projet'!$B$140,CT76+CS77-DB76)))</f>
        <v>257.95775999999995</v>
      </c>
      <c r="CU77" s="17">
        <f>CT77*VLOOKUP('Données projet'!$B$13,Paramètres!$A$1:$I$89,3,0)*VLOOKUP('Données projet'!$B$13,Paramètres!$A$1:$I$89,5,0)</f>
        <v>120.72423167999999</v>
      </c>
      <c r="CV77" s="13">
        <f t="shared" si="95"/>
        <v>31.843855241234994</v>
      </c>
      <c r="CW77" s="20">
        <f t="shared" si="67"/>
        <v>265.7227513878176</v>
      </c>
      <c r="CX77" s="59">
        <f t="shared" si="68"/>
        <v>559.05608472115091</v>
      </c>
      <c r="CY77" s="59">
        <f ca="1">AVERAGE(OFFSET($CX$3,0,0,'Données projet'!$E$13+1,1))-AVERAGE(OFFSET($H$3,0,0,'Données projet'!$E$13+1,1))</f>
        <v>137.59122085719031</v>
      </c>
      <c r="CZ77" s="59">
        <f t="shared" si="96"/>
        <v>130.1134470448718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36.642053672717168</v>
      </c>
      <c r="DG77" s="21">
        <f>EXP(-LN(2)/25)*DG76+(1-EXP(-LN(2)/25))/(LN(2)/25)*Calculateur!DB77*Calculateur!DD77*VLOOKUP('Données projet'!$B$13,Paramètres!$A$1:$I$89,3,0)*0.475*44/12</f>
        <v>8.6400449231608238</v>
      </c>
      <c r="DH77" s="21">
        <f>EXP(-LN(2)/2)*DH76+(1-EXP(-LN(2)/2))/(LN(2)/2)*DB77*DE77*VLOOKUP('Données projet'!$B$13,Paramètres!$A$1:$I$89,3,0)*0.475*44/12</f>
        <v>1.0223706520982605</v>
      </c>
      <c r="DI77" s="22">
        <f t="shared" si="69"/>
        <v>46.30446924797625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7.5</v>
      </c>
      <c r="DO77" s="12">
        <f>IF('Données projet'!$A$166&gt;35,DO76+DN77-DW76,IF(A77&lt;'Données projet'!$A$166,$DL$205^A77,IF(A77='Données projet'!$A$166,'Données projet'!$B$166,DO76+DN77-DW76)))</f>
        <v>197.00000000000003</v>
      </c>
      <c r="DP77" s="17">
        <f>DO77*VLOOKUP('Données projet'!$B$14,Paramètres!$A$1:$I$89,3,0)*VLOOKUP('Données projet'!$B$14,Paramètres!$A$1:$I$89,5,0)</f>
        <v>199.75800000000004</v>
      </c>
      <c r="DQ77" s="13">
        <f t="shared" si="97"/>
        <v>49.690979702964015</v>
      </c>
      <c r="DR77" s="20">
        <f t="shared" si="70"/>
        <v>434.45697298266236</v>
      </c>
      <c r="DS77" s="59">
        <f t="shared" si="71"/>
        <v>727.79030631599562</v>
      </c>
      <c r="DT77" s="59">
        <f ca="1">AVERAGE(OFFSET($DS$3,0,0,'Données projet'!$E$14+1,1))-AVERAGE(OFFSET($H$3,0,0,'Données projet'!$E$14+1,1))</f>
        <v>313.90901812281373</v>
      </c>
      <c r="DU77" s="59">
        <f t="shared" si="98"/>
        <v>210.54265725995265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33.934715037602842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33.934715037602842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-5.6843418860808015E-14</v>
      </c>
      <c r="EK77" s="17">
        <f>EJ77*VLOOKUP('Données projet'!$B$15,Paramètres!$A$1:$I$89,3,0)*VLOOKUP('Données projet'!$B$15,Paramètres!$A$1:$I$89,5,0)</f>
        <v>-4.5224624045658861E-14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316.52407313312403</v>
      </c>
      <c r="EP77" s="59">
        <f t="shared" si="100"/>
        <v>340.55949748167382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163.47329933465798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163.47329933465798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-5.6843418860808015E-14</v>
      </c>
      <c r="FF77" s="17">
        <f>FE77*VLOOKUP('Données projet'!$B$16,Paramètres!$A$1:$I$89,3,0)*VLOOKUP('Données projet'!$B$16,Paramètres!$A$1:$I$89,5,0)</f>
        <v>-3.7243808037601412E-14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199.99826357281154</v>
      </c>
      <c r="FK77" s="59">
        <f t="shared" si="102"/>
        <v>214.67424457475136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70.694052265841492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70.694052265841492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284.60021367910457</v>
      </c>
      <c r="T78" s="59">
        <f t="shared" si="88"/>
        <v>301.41905904220812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165.16258923583842</v>
      </c>
      <c r="AA78" s="21">
        <f>EXP(-LN(2)/25)*AA77+(1-EXP(-LN(2)/25))/(LN(2)/25)*Calculateur!V78*Calculateur!X78*VLOOKUP('Données projet'!$B$9,Paramètres!$A$1:$I$89,3,0)*0.475*44/12</f>
        <v>35.3471430284742</v>
      </c>
      <c r="AB78" s="21">
        <f>EXP(-LN(2)/2)*AB77+(1-EXP(-LN(2)/2))/(LN(2)/2)*V78*Y78*VLOOKUP('Données projet'!$B$9,Paramètres!$A$1:$I$89,3,0)*0.475*44/12</f>
        <v>1.5709763845089206</v>
      </c>
      <c r="AC78" s="22">
        <f t="shared" si="57"/>
        <v>202.08070864882154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8.875</v>
      </c>
      <c r="AI78" s="13">
        <f>IF('Données projet'!$A$62&gt;35,AI77+AH78-AQ77,IF(A78&lt;'Données projet'!$A$62,$AF$205^A78,IF(A78='Données projet'!$A$62,'Données projet'!$B$62,AI77+AH78-AQ77)))</f>
        <v>504.875</v>
      </c>
      <c r="AJ78" s="13">
        <f>AI78*VLOOKUP('Données projet'!$B$10,Paramètres!$A$1:$I$89,3,0)*VLOOKUP('Données projet'!$B$10,Paramètres!$A$1:$I$89,5,0)</f>
        <v>301.91525000000001</v>
      </c>
      <c r="AK78" s="13">
        <f t="shared" si="89"/>
        <v>71.577824610045951</v>
      </c>
      <c r="AL78" s="20">
        <f t="shared" si="58"/>
        <v>650.50043827916329</v>
      </c>
      <c r="AM78" s="59">
        <f t="shared" si="59"/>
        <v>943.83377161249655</v>
      </c>
      <c r="AN78" s="59">
        <f ca="1">AVERAGE(OFFSET($AM$3,0,0,'Données projet'!$E$10+1,1))-AVERAGE(OFFSET($H$3,0,0,'Données projet'!$E$10+1,1))</f>
        <v>294.45857786714919</v>
      </c>
      <c r="AO78" s="59">
        <f t="shared" si="90"/>
        <v>221.9773436301067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65.128055084965396</v>
      </c>
      <c r="AV78" s="21">
        <f>EXP(-LN(2)/25)*AV77+(1-EXP(-LN(2)/25))/(LN(2)/25)*Calculateur!AQ78*Calculateur!AS78*VLOOKUP('Données projet'!$B$10,Paramètres!$A$1:$I$89,3,0)*0.475*44/12</f>
        <v>14.038572871061012</v>
      </c>
      <c r="AW78" s="21">
        <f>EXP(-LN(2)/2)*AW77+(1-EXP(-LN(2)/2))/(LN(2)/2)*AQ78*AT78*VLOOKUP('Données projet'!$B$10,Paramètres!$A$1:$I$89,3,0)*0.475*44/12</f>
        <v>2.6152307269975239</v>
      </c>
      <c r="AX78" s="21">
        <f t="shared" si="60"/>
        <v>81.781858683023927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1.1368683772161603E-13</v>
      </c>
      <c r="BE78" s="13">
        <f>BD78*VLOOKUP('Données projet'!$B$11,Paramètres!$A$1:$I$89,3,0)*VLOOKUP('Données projet'!$B$11,Paramètres!$A$1:$I$89,5,0)</f>
        <v>6.3550942286383367E-14</v>
      </c>
      <c r="BF78" s="13">
        <f t="shared" si="91"/>
        <v>1.0064464192543978E-12</v>
      </c>
      <c r="BG78" s="20">
        <f t="shared" si="61"/>
        <v>1.8635787380168604E-12</v>
      </c>
      <c r="BH78" s="59">
        <f t="shared" si="62"/>
        <v>293.33333333333519</v>
      </c>
      <c r="BI78" s="59">
        <f ca="1">AVERAGE(OFFSET($BH$3,0,0,'Données projet'!$E$11+1,1))-AVERAGE(OFFSET($H$3,0,0,'Données projet'!$E$11+1,1))</f>
        <v>304.91676868833792</v>
      </c>
      <c r="BJ78" s="59">
        <f t="shared" si="92"/>
        <v>365.95065044620048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163.20743833867354</v>
      </c>
      <c r="BQ78" s="21">
        <f>EXP(-LN(2)/25)*BQ77+(1-EXP(-LN(2)/25))/(LN(2)/25)*Calculateur!BL78*Calculateur!BN78*VLOOKUP('Données projet'!$B$11,Paramètres!$A$1:$I$89,3,0)*0.475*44/12</f>
        <v>34.330260024841778</v>
      </c>
      <c r="BR78" s="21">
        <f>EXP(-LN(2)/2)*BR77+(1-EXP(-LN(2)/2))/(LN(2)/2)*BL78*BO78*VLOOKUP('Données projet'!$B$11,Paramètres!$A$1:$I$89,3,0)*0.475*44/12</f>
        <v>0.26548588012797469</v>
      </c>
      <c r="BS78" s="22">
        <f t="shared" si="63"/>
        <v>197.8031842436433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466.99999999999989</v>
      </c>
      <c r="BZ78" s="13">
        <f>BY78*VLOOKUP('Données projet'!$B$12,Paramètres!$A$1:$I$89,3,0)*VLOOKUP('Données projet'!$B$12,Paramètres!$A$1:$I$89,5,0)</f>
        <v>218.55599999999993</v>
      </c>
      <c r="CA78" s="13">
        <f t="shared" si="93"/>
        <v>53.800919270845718</v>
      </c>
      <c r="CB78" s="20">
        <f t="shared" si="64"/>
        <v>474.3549677300561</v>
      </c>
      <c r="CC78" s="59">
        <f t="shared" si="65"/>
        <v>767.68830106338942</v>
      </c>
      <c r="CD78" s="59">
        <f ca="1">AVERAGE(OFFSET($CC$3,0,0,'Données projet'!$E$12+1,1))-AVERAGE(OFFSET($H$3,0,0,'Données projet'!$E$12+1,1))</f>
        <v>259.87681411271632</v>
      </c>
      <c r="CE78" s="59">
        <f t="shared" si="94"/>
        <v>191.8684235641158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55.59873508525628</v>
      </c>
      <c r="CL78" s="21">
        <f>EXP(-LN(2)/25)*CL77+(1-EXP(-LN(2)/25))/(LN(2)/25)*Calculateur!CG78*Calculateur!CI78*VLOOKUP('Données projet'!$B$12,Paramètres!$A$1:$I$89,3,0)*0.475*44/12</f>
        <v>13.07066190358419</v>
      </c>
      <c r="CM78" s="21">
        <f>EXP(-LN(2)/2)*CM77+(1-EXP(-LN(2)/2))/(LN(2)/2)*CG78*CJ78*VLOOKUP('Données projet'!$B$12,Paramètres!$A$1:$I$89,3,0)*0.475*44/12</f>
        <v>1.1884816162471878</v>
      </c>
      <c r="CN78" s="22">
        <f t="shared" si="66"/>
        <v>69.857878605087663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7.6999999999999975</v>
      </c>
      <c r="CT78" s="12">
        <f>IF('Données projet'!$A$140&gt;35,CT77+CS78-DB77,IF(A78&lt;'Données projet'!$A$140,$CQ$205^A78,IF(A78='Données projet'!$A$140,'Données projet'!$B$140,CT77+CS78-DB77)))</f>
        <v>265.65775999999994</v>
      </c>
      <c r="CU78" s="17">
        <f>CT78*VLOOKUP('Données projet'!$B$13,Paramètres!$A$1:$I$89,3,0)*VLOOKUP('Données projet'!$B$13,Paramètres!$A$1:$I$89,5,0)</f>
        <v>124.32783167999997</v>
      </c>
      <c r="CV78" s="13">
        <f t="shared" si="95"/>
        <v>32.682304147377494</v>
      </c>
      <c r="CW78" s="20">
        <f t="shared" si="67"/>
        <v>273.45931989934911</v>
      </c>
      <c r="CX78" s="59">
        <f t="shared" si="68"/>
        <v>566.79265323268237</v>
      </c>
      <c r="CY78" s="59">
        <f ca="1">AVERAGE(OFFSET($CX$3,0,0,'Données projet'!$E$13+1,1))-AVERAGE(OFFSET($H$3,0,0,'Données projet'!$E$13+1,1))</f>
        <v>137.59122085719031</v>
      </c>
      <c r="CZ78" s="59">
        <f t="shared" si="96"/>
        <v>130.1134470448718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35.923525349641103</v>
      </c>
      <c r="DG78" s="21">
        <f>EXP(-LN(2)/25)*DG77+(1-EXP(-LN(2)/25))/(LN(2)/25)*Calculateur!DB78*Calculateur!DD78*VLOOKUP('Données projet'!$B$13,Paramètres!$A$1:$I$89,3,0)*0.475*44/12</f>
        <v>8.4037824403767765</v>
      </c>
      <c r="DH78" s="21">
        <f>EXP(-LN(2)/2)*DH77+(1-EXP(-LN(2)/2))/(LN(2)/2)*DB78*DE78*VLOOKUP('Données projet'!$B$13,Paramètres!$A$1:$I$89,3,0)*0.475*44/12</f>
        <v>0.72292522098479262</v>
      </c>
      <c r="DI78" s="22">
        <f t="shared" si="69"/>
        <v>45.050233011002675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7.5</v>
      </c>
      <c r="DO78" s="12">
        <f>IF('Données projet'!$A$166&gt;35,DO77+DN78-DW77,IF(A78&lt;'Données projet'!$A$166,$DL$205^A78,IF(A78='Données projet'!$A$166,'Données projet'!$B$166,DO77+DN78-DW77)))</f>
        <v>204.50000000000003</v>
      </c>
      <c r="DP78" s="17">
        <f>DO78*VLOOKUP('Données projet'!$B$14,Paramètres!$A$1:$I$89,3,0)*VLOOKUP('Données projet'!$B$14,Paramètres!$A$1:$I$89,5,0)</f>
        <v>207.36300000000003</v>
      </c>
      <c r="DQ78" s="13">
        <f t="shared" si="97"/>
        <v>51.358911732279878</v>
      </c>
      <c r="DR78" s="20">
        <f t="shared" si="70"/>
        <v>450.60732960038746</v>
      </c>
      <c r="DS78" s="59">
        <f t="shared" si="71"/>
        <v>743.94066293372077</v>
      </c>
      <c r="DT78" s="59">
        <f ca="1">AVERAGE(OFFSET($DS$3,0,0,'Données projet'!$E$14+1,1))-AVERAGE(OFFSET($H$3,0,0,'Données projet'!$E$14+1,1))</f>
        <v>313.90901812281373</v>
      </c>
      <c r="DU78" s="59">
        <f t="shared" si="98"/>
        <v>210.54265725995265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33.269275973847854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33.269275973847854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-5.6843418860808015E-14</v>
      </c>
      <c r="EK78" s="17">
        <f>EJ78*VLOOKUP('Données projet'!$B$15,Paramètres!$A$1:$I$89,3,0)*VLOOKUP('Données projet'!$B$15,Paramètres!$A$1:$I$89,5,0)</f>
        <v>-4.5224624045658861E-14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316.52407313312403</v>
      </c>
      <c r="EP78" s="59">
        <f t="shared" si="100"/>
        <v>340.55949748167382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160.26768764357249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160.26768764357249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-5.6843418860808015E-14</v>
      </c>
      <c r="FF78" s="17">
        <f>FE78*VLOOKUP('Données projet'!$B$16,Paramètres!$A$1:$I$89,3,0)*VLOOKUP('Données projet'!$B$16,Paramètres!$A$1:$I$89,5,0)</f>
        <v>-3.7243808037601412E-14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199.99826357281154</v>
      </c>
      <c r="FK78" s="59">
        <f t="shared" si="102"/>
        <v>214.67424457475136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69.307785020022564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69.307785020022564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284.60021367910457</v>
      </c>
      <c r="T79" s="59">
        <f t="shared" si="88"/>
        <v>301.41905904220812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161.9238516001559</v>
      </c>
      <c r="AA79" s="21">
        <f>EXP(-LN(2)/25)*AA78+(1-EXP(-LN(2)/25))/(LN(2)/25)*Calculateur!V79*Calculateur!X79*VLOOKUP('Données projet'!$B$9,Paramètres!$A$1:$I$89,3,0)*0.475*44/12</f>
        <v>34.380573543535107</v>
      </c>
      <c r="AB79" s="21">
        <f>EXP(-LN(2)/2)*AB78+(1-EXP(-LN(2)/2))/(LN(2)/2)*V79*Y79*VLOOKUP('Données projet'!$B$9,Paramètres!$A$1:$I$89,3,0)*0.475*44/12</f>
        <v>1.1108480545701829</v>
      </c>
      <c r="AC79" s="22">
        <f t="shared" si="57"/>
        <v>197.41527319826116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8.875</v>
      </c>
      <c r="AI79" s="13">
        <f>IF('Données projet'!$A$62&gt;35,AI78+AH79-AQ78,IF(A79&lt;'Données projet'!$A$62,$AF$205^A79,IF(A79='Données projet'!$A$62,'Données projet'!$B$62,AI78+AH79-AQ78)))</f>
        <v>513.75</v>
      </c>
      <c r="AJ79" s="13">
        <f>AI79*VLOOKUP('Données projet'!$B$10,Paramètres!$A$1:$I$89,3,0)*VLOOKUP('Données projet'!$B$10,Paramètres!$A$1:$I$89,5,0)</f>
        <v>307.22250000000003</v>
      </c>
      <c r="AK79" s="13">
        <f t="shared" si="89"/>
        <v>72.68847414066191</v>
      </c>
      <c r="AL79" s="20">
        <f t="shared" si="58"/>
        <v>661.67827996165295</v>
      </c>
      <c r="AM79" s="59">
        <f t="shared" si="59"/>
        <v>955.01161329498632</v>
      </c>
      <c r="AN79" s="59">
        <f ca="1">AVERAGE(OFFSET($AM$3,0,0,'Données projet'!$E$10+1,1))-AVERAGE(OFFSET($H$3,0,0,'Données projet'!$E$10+1,1))</f>
        <v>294.45857786714919</v>
      </c>
      <c r="AO79" s="59">
        <f t="shared" si="90"/>
        <v>221.9773436301067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63.850933648940391</v>
      </c>
      <c r="AV79" s="21">
        <f>EXP(-LN(2)/25)*AV78+(1-EXP(-LN(2)/25))/(LN(2)/25)*Calculateur!AQ79*Calculateur!AS79*VLOOKUP('Données projet'!$B$10,Paramètres!$A$1:$I$89,3,0)*0.475*44/12</f>
        <v>13.654687357645386</v>
      </c>
      <c r="AW79" s="21">
        <f>EXP(-LN(2)/2)*AW78+(1-EXP(-LN(2)/2))/(LN(2)/2)*AQ79*AT79*VLOOKUP('Données projet'!$B$10,Paramètres!$A$1:$I$89,3,0)*0.475*44/12</f>
        <v>1.8492473814273738</v>
      </c>
      <c r="AX79" s="21">
        <f t="shared" si="60"/>
        <v>79.354868388013159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1.1368683772161603E-13</v>
      </c>
      <c r="BE79" s="13">
        <f>BD79*VLOOKUP('Données projet'!$B$11,Paramètres!$A$1:$I$89,3,0)*VLOOKUP('Données projet'!$B$11,Paramètres!$A$1:$I$89,5,0)</f>
        <v>6.3550942286383367E-14</v>
      </c>
      <c r="BF79" s="13">
        <f t="shared" si="91"/>
        <v>1.0064464192543978E-12</v>
      </c>
      <c r="BG79" s="20">
        <f t="shared" si="61"/>
        <v>1.8635787380168604E-12</v>
      </c>
      <c r="BH79" s="59">
        <f t="shared" si="62"/>
        <v>293.33333333333519</v>
      </c>
      <c r="BI79" s="59">
        <f ca="1">AVERAGE(OFFSET($BH$3,0,0,'Données projet'!$E$11+1,1))-AVERAGE(OFFSET($H$3,0,0,'Données projet'!$E$11+1,1))</f>
        <v>304.91676868833792</v>
      </c>
      <c r="BJ79" s="59">
        <f t="shared" si="92"/>
        <v>365.95065044620048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160.00704001956012</v>
      </c>
      <c r="BQ79" s="21">
        <f>EXP(-LN(2)/25)*BQ78+(1-EXP(-LN(2)/25))/(LN(2)/25)*Calculateur!BL79*Calculateur!BN79*VLOOKUP('Données projet'!$B$11,Paramètres!$A$1:$I$89,3,0)*0.475*44/12</f>
        <v>33.391497259112569</v>
      </c>
      <c r="BR79" s="21">
        <f>EXP(-LN(2)/2)*BR78+(1-EXP(-LN(2)/2))/(LN(2)/2)*BL79*BO79*VLOOKUP('Données projet'!$B$11,Paramètres!$A$1:$I$89,3,0)*0.475*44/12</f>
        <v>0.18772686614776979</v>
      </c>
      <c r="BS79" s="22">
        <f t="shared" si="63"/>
        <v>193.58626414482043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483.99999999999989</v>
      </c>
      <c r="BZ79" s="13">
        <f>BY79*VLOOKUP('Données projet'!$B$12,Paramètres!$A$1:$I$89,3,0)*VLOOKUP('Données projet'!$B$12,Paramètres!$A$1:$I$89,5,0)</f>
        <v>226.51199999999994</v>
      </c>
      <c r="CA79" s="13">
        <f t="shared" si="93"/>
        <v>55.527824937247544</v>
      </c>
      <c r="CB79" s="20">
        <f t="shared" si="64"/>
        <v>491.21936176570603</v>
      </c>
      <c r="CC79" s="59">
        <f t="shared" si="65"/>
        <v>784.55269509903928</v>
      </c>
      <c r="CD79" s="59">
        <f ca="1">AVERAGE(OFFSET($CC$3,0,0,'Données projet'!$E$12+1,1))-AVERAGE(OFFSET($H$3,0,0,'Données projet'!$E$12+1,1))</f>
        <v>259.87681411271632</v>
      </c>
      <c r="CE79" s="59">
        <f t="shared" si="94"/>
        <v>191.8684235641158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54.508477802114285</v>
      </c>
      <c r="CL79" s="21">
        <f>EXP(-LN(2)/25)*CL78+(1-EXP(-LN(2)/25))/(LN(2)/25)*Calculateur!CG79*Calculateur!CI79*VLOOKUP('Données projet'!$B$12,Paramètres!$A$1:$I$89,3,0)*0.475*44/12</f>
        <v>12.713243966474444</v>
      </c>
      <c r="CM79" s="21">
        <f>EXP(-LN(2)/2)*CM78+(1-EXP(-LN(2)/2))/(LN(2)/2)*CG79*CJ79*VLOOKUP('Données projet'!$B$12,Paramètres!$A$1:$I$89,3,0)*0.475*44/12</f>
        <v>0.8403834101639347</v>
      </c>
      <c r="CN79" s="22">
        <f t="shared" si="66"/>
        <v>68.062105178752674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7.6999999999999975</v>
      </c>
      <c r="CT79" s="12">
        <f>IF('Données projet'!$A$140&gt;35,CT78+CS79-DB78,IF(A79&lt;'Données projet'!$A$140,$CQ$205^A79,IF(A79='Données projet'!$A$140,'Données projet'!$B$140,CT78+CS79-DB78)))</f>
        <v>273.35775999999993</v>
      </c>
      <c r="CU79" s="17">
        <f>CT79*VLOOKUP('Données projet'!$B$13,Paramètres!$A$1:$I$89,3,0)*VLOOKUP('Données projet'!$B$13,Paramètres!$A$1:$I$89,5,0)</f>
        <v>127.93143167999996</v>
      </c>
      <c r="CV79" s="13">
        <f t="shared" si="95"/>
        <v>33.517928631096872</v>
      </c>
      <c r="CW79" s="20">
        <f t="shared" si="67"/>
        <v>281.19096920849364</v>
      </c>
      <c r="CX79" s="59">
        <f t="shared" si="68"/>
        <v>574.52430254182696</v>
      </c>
      <c r="CY79" s="59">
        <f ca="1">AVERAGE(OFFSET($CX$3,0,0,'Données projet'!$E$13+1,1))-AVERAGE(OFFSET($H$3,0,0,'Données projet'!$E$13+1,1))</f>
        <v>137.59122085719031</v>
      </c>
      <c r="CZ79" s="59">
        <f t="shared" si="96"/>
        <v>130.1134470448718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35.219086928721552</v>
      </c>
      <c r="DG79" s="21">
        <f>EXP(-LN(2)/25)*DG78+(1-EXP(-LN(2)/25))/(LN(2)/25)*Calculateur!DB79*Calculateur!DD79*VLOOKUP('Données projet'!$B$13,Paramètres!$A$1:$I$89,3,0)*0.475*44/12</f>
        <v>8.1739805676089627</v>
      </c>
      <c r="DH79" s="21">
        <f>EXP(-LN(2)/2)*DH78+(1-EXP(-LN(2)/2))/(LN(2)/2)*DB79*DE79*VLOOKUP('Données projet'!$B$13,Paramètres!$A$1:$I$89,3,0)*0.475*44/12</f>
        <v>0.51118532604913025</v>
      </c>
      <c r="DI79" s="22">
        <f t="shared" si="69"/>
        <v>43.904252822379647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7.5</v>
      </c>
      <c r="DO79" s="12">
        <f>IF('Données projet'!$A$166&gt;35,DO78+DN79-DW78,IF(A79&lt;'Données projet'!$A$166,$DL$205^A79,IF(A79='Données projet'!$A$166,'Données projet'!$B$166,DO78+DN79-DW78)))</f>
        <v>212.00000000000003</v>
      </c>
      <c r="DP79" s="17">
        <f>DO79*VLOOKUP('Données projet'!$B$14,Paramètres!$A$1:$I$89,3,0)*VLOOKUP('Données projet'!$B$14,Paramètres!$A$1:$I$89,5,0)</f>
        <v>214.96800000000002</v>
      </c>
      <c r="DQ79" s="13">
        <f t="shared" si="97"/>
        <v>53.019736939093043</v>
      </c>
      <c r="DR79" s="20">
        <f t="shared" si="70"/>
        <v>466.74530850225375</v>
      </c>
      <c r="DS79" s="59">
        <f t="shared" si="71"/>
        <v>760.07864183558706</v>
      </c>
      <c r="DT79" s="59">
        <f ca="1">AVERAGE(OFFSET($DS$3,0,0,'Données projet'!$E$14+1,1))-AVERAGE(OFFSET($H$3,0,0,'Données projet'!$E$14+1,1))</f>
        <v>313.90901812281373</v>
      </c>
      <c r="DU79" s="59">
        <f t="shared" si="98"/>
        <v>210.54265725995265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32.61688576425535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32.61688576425535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-5.6843418860808015E-14</v>
      </c>
      <c r="EK79" s="17">
        <f>EJ79*VLOOKUP('Données projet'!$B$15,Paramètres!$A$1:$I$89,3,0)*VLOOKUP('Données projet'!$B$15,Paramètres!$A$1:$I$89,5,0)</f>
        <v>-4.5224624045658861E-14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316.52407313312403</v>
      </c>
      <c r="EP79" s="59">
        <f t="shared" si="100"/>
        <v>340.55949748167382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157.12493604251912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157.12493604251912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-5.6843418860808015E-14</v>
      </c>
      <c r="FF79" s="17">
        <f>FE79*VLOOKUP('Données projet'!$B$16,Paramètres!$A$1:$I$89,3,0)*VLOOKUP('Données projet'!$B$16,Paramètres!$A$1:$I$89,5,0)</f>
        <v>-3.7243808037601412E-14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199.99826357281154</v>
      </c>
      <c r="FK79" s="59">
        <f t="shared" si="102"/>
        <v>214.67424457475136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67.948701629354616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67.948701629354616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284.60021367910457</v>
      </c>
      <c r="T80" s="59">
        <f t="shared" si="88"/>
        <v>301.41905904220812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158.74862363407419</v>
      </c>
      <c r="AA80" s="21">
        <f>EXP(-LN(2)/25)*AA79+(1-EXP(-LN(2)/25))/(LN(2)/25)*Calculateur!V80*Calculateur!X80*VLOOKUP('Données projet'!$B$9,Paramètres!$A$1:$I$89,3,0)*0.475*44/12</f>
        <v>33.440434951991357</v>
      </c>
      <c r="AB80" s="21">
        <f>EXP(-LN(2)/2)*AB79+(1-EXP(-LN(2)/2))/(LN(2)/2)*V80*Y80*VLOOKUP('Données projet'!$B$9,Paramètres!$A$1:$I$89,3,0)*0.475*44/12</f>
        <v>0.78548819225446032</v>
      </c>
      <c r="AC80" s="22">
        <f t="shared" si="57"/>
        <v>192.97454677832002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8.875</v>
      </c>
      <c r="AI80" s="13">
        <f>IF('Données projet'!$A$62&gt;35,AI79+AH80-AQ79,IF(A80&lt;'Données projet'!$A$62,$AF$205^A80,IF(A80='Données projet'!$A$62,'Données projet'!$B$62,AI79+AH80-AQ79)))</f>
        <v>522.625</v>
      </c>
      <c r="AJ80" s="13">
        <f>AI80*VLOOKUP('Données projet'!$B$10,Paramètres!$A$1:$I$89,3,0)*VLOOKUP('Données projet'!$B$10,Paramètres!$A$1:$I$89,5,0)</f>
        <v>312.52975000000004</v>
      </c>
      <c r="AK80" s="13">
        <f t="shared" si="89"/>
        <v>73.796892500493684</v>
      </c>
      <c r="AL80" s="20">
        <f t="shared" si="58"/>
        <v>672.85223568835988</v>
      </c>
      <c r="AM80" s="59">
        <f t="shared" si="59"/>
        <v>966.18556902169325</v>
      </c>
      <c r="AN80" s="59">
        <f ca="1">AVERAGE(OFFSET($AM$3,0,0,'Données projet'!$E$10+1,1))-AVERAGE(OFFSET($H$3,0,0,'Données projet'!$E$10+1,1))</f>
        <v>294.45857786714919</v>
      </c>
      <c r="AO80" s="59">
        <f t="shared" si="90"/>
        <v>221.9773436301067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62.598855785308672</v>
      </c>
      <c r="AV80" s="21">
        <f>EXP(-LN(2)/25)*AV79+(1-EXP(-LN(2)/25))/(LN(2)/25)*Calculateur!AQ80*Calculateur!AS80*VLOOKUP('Données projet'!$B$10,Paramètres!$A$1:$I$89,3,0)*0.475*44/12</f>
        <v>13.281299213781773</v>
      </c>
      <c r="AW80" s="21">
        <f>EXP(-LN(2)/2)*AW79+(1-EXP(-LN(2)/2))/(LN(2)/2)*AQ80*AT80*VLOOKUP('Données projet'!$B$10,Paramètres!$A$1:$I$89,3,0)*0.475*44/12</f>
        <v>1.3076153634987622</v>
      </c>
      <c r="AX80" s="21">
        <f t="shared" si="60"/>
        <v>77.18777036258922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1.1368683772161603E-13</v>
      </c>
      <c r="BE80" s="13">
        <f>BD80*VLOOKUP('Données projet'!$B$11,Paramètres!$A$1:$I$89,3,0)*VLOOKUP('Données projet'!$B$11,Paramètres!$A$1:$I$89,5,0)</f>
        <v>6.3550942286383367E-14</v>
      </c>
      <c r="BF80" s="13">
        <f t="shared" si="91"/>
        <v>1.0064464192543978E-12</v>
      </c>
      <c r="BG80" s="20">
        <f t="shared" si="61"/>
        <v>1.8635787380168604E-12</v>
      </c>
      <c r="BH80" s="59">
        <f t="shared" si="62"/>
        <v>293.33333333333519</v>
      </c>
      <c r="BI80" s="59">
        <f ca="1">AVERAGE(OFFSET($BH$3,0,0,'Données projet'!$E$11+1,1))-AVERAGE(OFFSET($H$3,0,0,'Données projet'!$E$11+1,1))</f>
        <v>304.91676868833792</v>
      </c>
      <c r="BJ80" s="59">
        <f t="shared" si="92"/>
        <v>365.95065044620048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156.8693995594343</v>
      </c>
      <c r="BQ80" s="21">
        <f>EXP(-LN(2)/25)*BQ79+(1-EXP(-LN(2)/25))/(LN(2)/25)*Calculateur!BL80*Calculateur!BN80*VLOOKUP('Données projet'!$B$11,Paramètres!$A$1:$I$89,3,0)*0.475*44/12</f>
        <v>32.478405010579614</v>
      </c>
      <c r="BR80" s="21">
        <f>EXP(-LN(2)/2)*BR79+(1-EXP(-LN(2)/2))/(LN(2)/2)*BL80*BO80*VLOOKUP('Données projet'!$B$11,Paramètres!$A$1:$I$89,3,0)*0.475*44/12</f>
        <v>0.13274294006398735</v>
      </c>
      <c r="BS80" s="22">
        <f t="shared" si="63"/>
        <v>189.48054751007791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500.99999999999989</v>
      </c>
      <c r="BZ80" s="13">
        <f>BY80*VLOOKUP('Données projet'!$B$12,Paramètres!$A$1:$I$89,3,0)*VLOOKUP('Données projet'!$B$12,Paramètres!$A$1:$I$89,5,0)</f>
        <v>234.46799999999996</v>
      </c>
      <c r="CA80" s="13">
        <f t="shared" si="93"/>
        <v>57.247683153605394</v>
      </c>
      <c r="CB80" s="20">
        <f t="shared" si="64"/>
        <v>508.0714814925293</v>
      </c>
      <c r="CC80" s="59">
        <f t="shared" si="65"/>
        <v>801.40481482586256</v>
      </c>
      <c r="CD80" s="59">
        <f ca="1">AVERAGE(OFFSET($CC$3,0,0,'Données projet'!$E$12+1,1))-AVERAGE(OFFSET($H$3,0,0,'Données projet'!$E$12+1,1))</f>
        <v>259.87681411271632</v>
      </c>
      <c r="CE80" s="59">
        <f t="shared" si="94"/>
        <v>191.8684235641158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53.439599799303423</v>
      </c>
      <c r="CL80" s="21">
        <f>EXP(-LN(2)/25)*CL79+(1-EXP(-LN(2)/25))/(LN(2)/25)*Calculateur!CG80*Calculateur!CI80*VLOOKUP('Données projet'!$B$12,Paramètres!$A$1:$I$89,3,0)*0.475*44/12</f>
        <v>12.365599641650757</v>
      </c>
      <c r="CM80" s="21">
        <f>EXP(-LN(2)/2)*CM79+(1-EXP(-LN(2)/2))/(LN(2)/2)*CG80*CJ80*VLOOKUP('Données projet'!$B$12,Paramètres!$A$1:$I$89,3,0)*0.475*44/12</f>
        <v>0.59424080812359403</v>
      </c>
      <c r="CN80" s="22">
        <f t="shared" si="66"/>
        <v>66.399440249077784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7.6999999999999975</v>
      </c>
      <c r="CT80" s="12">
        <f>IF('Données projet'!$A$140&gt;35,CT79+CS80-DB79,IF(A80&lt;'Données projet'!$A$140,$CQ$205^A80,IF(A80='Données projet'!$A$140,'Données projet'!$B$140,CT79+CS80-DB79)))</f>
        <v>281.05775999999992</v>
      </c>
      <c r="CU80" s="17">
        <f>CT80*VLOOKUP('Données projet'!$B$13,Paramètres!$A$1:$I$89,3,0)*VLOOKUP('Données projet'!$B$13,Paramètres!$A$1:$I$89,5,0)</f>
        <v>131.53503167999997</v>
      </c>
      <c r="CV80" s="13">
        <f t="shared" si="95"/>
        <v>34.350817390303853</v>
      </c>
      <c r="CW80" s="20">
        <f t="shared" si="67"/>
        <v>288.91785379744584</v>
      </c>
      <c r="CX80" s="59">
        <f t="shared" si="68"/>
        <v>582.25118713077916</v>
      </c>
      <c r="CY80" s="59">
        <f ca="1">AVERAGE(OFFSET($CX$3,0,0,'Données projet'!$E$13+1,1))-AVERAGE(OFFSET($H$3,0,0,'Données projet'!$E$13+1,1))</f>
        <v>137.59122085719031</v>
      </c>
      <c r="CZ80" s="59">
        <f t="shared" si="96"/>
        <v>130.1134470448718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34.528462115571223</v>
      </c>
      <c r="DG80" s="21">
        <f>EXP(-LN(2)/25)*DG79+(1-EXP(-LN(2)/25))/(LN(2)/25)*Calculateur!DB80*Calculateur!DD80*VLOOKUP('Données projet'!$B$13,Paramètres!$A$1:$I$89,3,0)*0.475*44/12</f>
        <v>7.9504626391367399</v>
      </c>
      <c r="DH80" s="21">
        <f>EXP(-LN(2)/2)*DH79+(1-EXP(-LN(2)/2))/(LN(2)/2)*DB80*DE80*VLOOKUP('Données projet'!$B$13,Paramètres!$A$1:$I$89,3,0)*0.475*44/12</f>
        <v>0.36146261049239631</v>
      </c>
      <c r="DI80" s="22">
        <f t="shared" si="69"/>
        <v>42.840387365200357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7.5</v>
      </c>
      <c r="DO80" s="12">
        <f>IF('Données projet'!$A$166&gt;35,DO79+DN80-DW79,IF(A80&lt;'Données projet'!$A$166,$DL$205^A80,IF(A80='Données projet'!$A$166,'Données projet'!$B$166,DO79+DN80-DW79)))</f>
        <v>219.50000000000003</v>
      </c>
      <c r="DP80" s="17">
        <f>DO80*VLOOKUP('Données projet'!$B$14,Paramètres!$A$1:$I$89,3,0)*VLOOKUP('Données projet'!$B$14,Paramètres!$A$1:$I$89,5,0)</f>
        <v>222.57300000000004</v>
      </c>
      <c r="DQ80" s="13">
        <f t="shared" si="97"/>
        <v>54.673735551087475</v>
      </c>
      <c r="DR80" s="20">
        <f t="shared" si="70"/>
        <v>482.87139775147739</v>
      </c>
      <c r="DS80" s="59">
        <f t="shared" si="71"/>
        <v>776.20473108481065</v>
      </c>
      <c r="DT80" s="59">
        <f ca="1">AVERAGE(OFFSET($DS$3,0,0,'Données projet'!$E$14+1,1))-AVERAGE(OFFSET($H$3,0,0,'Données projet'!$E$14+1,1))</f>
        <v>313.90901812281373</v>
      </c>
      <c r="DU80" s="59">
        <f t="shared" si="98"/>
        <v>210.54265725995265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31.977288528754215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31.977288528754215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-5.6843418860808015E-14</v>
      </c>
      <c r="EK80" s="17">
        <f>EJ80*VLOOKUP('Données projet'!$B$15,Paramètres!$A$1:$I$89,3,0)*VLOOKUP('Données projet'!$B$15,Paramètres!$A$1:$I$89,5,0)</f>
        <v>-4.5224624045658861E-14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316.52407313312403</v>
      </c>
      <c r="EP80" s="59">
        <f t="shared" si="100"/>
        <v>340.55949748167382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154.04381188347321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154.04381188347321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-5.6843418860808015E-14</v>
      </c>
      <c r="FF80" s="17">
        <f>FE80*VLOOKUP('Données projet'!$B$16,Paramètres!$A$1:$I$89,3,0)*VLOOKUP('Données projet'!$B$16,Paramètres!$A$1:$I$89,5,0)</f>
        <v>-3.7243808037601412E-14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199.99826357281154</v>
      </c>
      <c r="FK80" s="59">
        <f t="shared" si="102"/>
        <v>214.67424457475136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66.616269035018647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66.616269035018647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284.60021367910457</v>
      </c>
      <c r="T81" s="59">
        <f t="shared" si="88"/>
        <v>301.41905904220812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155.63565995170953</v>
      </c>
      <c r="AA81" s="21">
        <f>EXP(-LN(2)/25)*AA80+(1-EXP(-LN(2)/25))/(LN(2)/25)*Calculateur!V81*Calculateur!X81*VLOOKUP('Données projet'!$B$9,Paramètres!$A$1:$I$89,3,0)*0.475*44/12</f>
        <v>32.526004499673107</v>
      </c>
      <c r="AB81" s="21">
        <f>EXP(-LN(2)/2)*AB80+(1-EXP(-LN(2)/2))/(LN(2)/2)*V81*Y81*VLOOKUP('Données projet'!$B$9,Paramètres!$A$1:$I$89,3,0)*0.475*44/12</f>
        <v>0.55542402728509144</v>
      </c>
      <c r="AC81" s="22">
        <f t="shared" si="57"/>
        <v>188.71708847866773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8.875</v>
      </c>
      <c r="AI81" s="13">
        <f>IF('Données projet'!$A$62&gt;35,AI80+AH81-AQ80,IF(A81&lt;'Données projet'!$A$62,$AF$205^A81,IF(A81='Données projet'!$A$62,'Données projet'!$B$62,AI80+AH81-AQ80)))</f>
        <v>531.5</v>
      </c>
      <c r="AJ81" s="13">
        <f>AI81*VLOOKUP('Données projet'!$B$10,Paramètres!$A$1:$I$89,3,0)*VLOOKUP('Données projet'!$B$10,Paramètres!$A$1:$I$89,5,0)</f>
        <v>317.83700000000005</v>
      </c>
      <c r="AK81" s="13">
        <f t="shared" si="89"/>
        <v>74.903121950927684</v>
      </c>
      <c r="AL81" s="20">
        <f t="shared" si="58"/>
        <v>684.0223790645324</v>
      </c>
      <c r="AM81" s="59">
        <f t="shared" si="59"/>
        <v>977.35571239786577</v>
      </c>
      <c r="AN81" s="59">
        <f ca="1">AVERAGE(OFFSET($AM$3,0,0,'Données projet'!$E$10+1,1))-AVERAGE(OFFSET($H$3,0,0,'Données projet'!$E$10+1,1))</f>
        <v>294.45857786714919</v>
      </c>
      <c r="AO81" s="59">
        <f t="shared" si="90"/>
        <v>221.9773436301067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61.371330404890685</v>
      </c>
      <c r="AV81" s="21">
        <f>EXP(-LN(2)/25)*AV80+(1-EXP(-LN(2)/25))/(LN(2)/25)*Calculateur!AQ81*Calculateur!AS81*VLOOKUP('Données projet'!$B$10,Paramètres!$A$1:$I$89,3,0)*0.475*44/12</f>
        <v>12.918121388347741</v>
      </c>
      <c r="AW81" s="21">
        <f>EXP(-LN(2)/2)*AW80+(1-EXP(-LN(2)/2))/(LN(2)/2)*AQ81*AT81*VLOOKUP('Données projet'!$B$10,Paramètres!$A$1:$I$89,3,0)*0.475*44/12</f>
        <v>0.92462369071368711</v>
      </c>
      <c r="AX81" s="21">
        <f t="shared" si="60"/>
        <v>75.214075483952115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1.1368683772161603E-13</v>
      </c>
      <c r="BE81" s="13">
        <f>BD81*VLOOKUP('Données projet'!$B$11,Paramètres!$A$1:$I$89,3,0)*VLOOKUP('Données projet'!$B$11,Paramètres!$A$1:$I$89,5,0)</f>
        <v>6.3550942286383367E-14</v>
      </c>
      <c r="BF81" s="13">
        <f t="shared" si="91"/>
        <v>1.0064464192543978E-12</v>
      </c>
      <c r="BG81" s="20">
        <f t="shared" si="61"/>
        <v>1.8635787380168604E-12</v>
      </c>
      <c r="BH81" s="59">
        <f t="shared" si="62"/>
        <v>293.33333333333519</v>
      </c>
      <c r="BI81" s="59">
        <f ca="1">AVERAGE(OFFSET($BH$3,0,0,'Données projet'!$E$11+1,1))-AVERAGE(OFFSET($H$3,0,0,'Données projet'!$E$11+1,1))</f>
        <v>304.91676868833792</v>
      </c>
      <c r="BJ81" s="59">
        <f t="shared" si="92"/>
        <v>365.95065044620048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153.79328631495983</v>
      </c>
      <c r="BQ81" s="21">
        <f>EXP(-LN(2)/25)*BQ80+(1-EXP(-LN(2)/25))/(LN(2)/25)*Calculateur!BL81*Calculateur!BN81*VLOOKUP('Données projet'!$B$11,Paramètres!$A$1:$I$89,3,0)*0.475*44/12</f>
        <v>31.590281317600226</v>
      </c>
      <c r="BR81" s="21">
        <f>EXP(-LN(2)/2)*BR80+(1-EXP(-LN(2)/2))/(LN(2)/2)*BL81*BO81*VLOOKUP('Données projet'!$B$11,Paramètres!$A$1:$I$89,3,0)*0.475*44/12</f>
        <v>9.3863433073884894E-2</v>
      </c>
      <c r="BS81" s="22">
        <f t="shared" si="63"/>
        <v>185.47743106563394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517.99999999999989</v>
      </c>
      <c r="BZ81" s="13">
        <f>BY81*VLOOKUP('Données projet'!$B$12,Paramètres!$A$1:$I$89,3,0)*VLOOKUP('Données projet'!$B$12,Paramètres!$A$1:$I$89,5,0)</f>
        <v>242.42399999999995</v>
      </c>
      <c r="CA81" s="13">
        <f t="shared" si="93"/>
        <v>58.960760467659711</v>
      </c>
      <c r="CB81" s="20">
        <f t="shared" si="64"/>
        <v>524.91179114784052</v>
      </c>
      <c r="CC81" s="59">
        <f t="shared" si="65"/>
        <v>818.24512448117389</v>
      </c>
      <c r="CD81" s="59">
        <f ca="1">AVERAGE(OFFSET($CC$3,0,0,'Données projet'!$E$12+1,1))-AVERAGE(OFFSET($H$3,0,0,'Données projet'!$E$12+1,1))</f>
        <v>259.87681411271632</v>
      </c>
      <c r="CE81" s="59">
        <f t="shared" si="94"/>
        <v>191.8684235641158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52.391681842176475</v>
      </c>
      <c r="CL81" s="21">
        <f>EXP(-LN(2)/25)*CL80+(1-EXP(-LN(2)/25))/(LN(2)/25)*Calculateur!CG81*Calculateur!CI81*VLOOKUP('Données projet'!$B$12,Paramètres!$A$1:$I$89,3,0)*0.475*44/12</f>
        <v>12.027461669171194</v>
      </c>
      <c r="CM81" s="21">
        <f>EXP(-LN(2)/2)*CM80+(1-EXP(-LN(2)/2))/(LN(2)/2)*CG81*CJ81*VLOOKUP('Données projet'!$B$12,Paramètres!$A$1:$I$89,3,0)*0.475*44/12</f>
        <v>0.4201917050819674</v>
      </c>
      <c r="CN81" s="22">
        <f t="shared" si="66"/>
        <v>64.839335216429632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7.6999999999999975</v>
      </c>
      <c r="CT81" s="12">
        <f>IF('Données projet'!$A$140&gt;35,CT80+CS81-DB80,IF(A81&lt;'Données projet'!$A$140,$CQ$205^A81,IF(A81='Données projet'!$A$140,'Données projet'!$B$140,CT80+CS81-DB80)))</f>
        <v>288.75775999999991</v>
      </c>
      <c r="CU81" s="17">
        <f>CT81*VLOOKUP('Données projet'!$B$13,Paramètres!$A$1:$I$89,3,0)*VLOOKUP('Données projet'!$B$13,Paramètres!$A$1:$I$89,5,0)</f>
        <v>135.13863167999995</v>
      </c>
      <c r="CV81" s="13">
        <f t="shared" si="95"/>
        <v>35.181053986279963</v>
      </c>
      <c r="CW81" s="20">
        <f t="shared" si="67"/>
        <v>296.64011920210413</v>
      </c>
      <c r="CX81" s="59">
        <f t="shared" si="68"/>
        <v>589.97345253543745</v>
      </c>
      <c r="CY81" s="59">
        <f ca="1">AVERAGE(OFFSET($CX$3,0,0,'Données projet'!$E$13+1,1))-AVERAGE(OFFSET($H$3,0,0,'Données projet'!$E$13+1,1))</f>
        <v>137.59122085719031</v>
      </c>
      <c r="CZ81" s="59">
        <f t="shared" si="96"/>
        <v>130.1134470448718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33.851380033767235</v>
      </c>
      <c r="DG81" s="21">
        <f>EXP(-LN(2)/25)*DG80+(1-EXP(-LN(2)/25))/(LN(2)/25)*Calculateur!DB81*Calculateur!DD81*VLOOKUP('Données projet'!$B$13,Paramètres!$A$1:$I$89,3,0)*0.475*44/12</f>
        <v>7.7330568201728864</v>
      </c>
      <c r="DH81" s="21">
        <f>EXP(-LN(2)/2)*DH80+(1-EXP(-LN(2)/2))/(LN(2)/2)*DB81*DE81*VLOOKUP('Données projet'!$B$13,Paramètres!$A$1:$I$89,3,0)*0.475*44/12</f>
        <v>0.25559266302456513</v>
      </c>
      <c r="DI81" s="22">
        <f t="shared" si="69"/>
        <v>41.840029516964684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>
        <f>VLOOKUP(A81,'Données projet'!$A$165:$I$185,2,0)</f>
        <v>227</v>
      </c>
      <c r="DM81" s="12">
        <f>VLOOKUP(A81,'Données projet'!$A$165:$I$185,9,0)</f>
        <v>7.5</v>
      </c>
      <c r="DN81" s="12">
        <f t="array" ref="DN81">INDEX(DM:DM,MIN(IF(ISNUMBER(DM81:DM277),ROW(DM81:DM277),"")))</f>
        <v>7.5</v>
      </c>
      <c r="DO81" s="12">
        <f>IF('Données projet'!$A$166&gt;35,DO80+DN81-DW80,IF(A81&lt;'Données projet'!$A$166,$DL$205^A81,IF(A81='Données projet'!$A$166,'Données projet'!$B$166,DO80+DN81-DW80)))</f>
        <v>227.00000000000003</v>
      </c>
      <c r="DP81" s="17">
        <f>DO81*VLOOKUP('Données projet'!$B$14,Paramètres!$A$1:$I$89,3,0)*VLOOKUP('Données projet'!$B$14,Paramètres!$A$1:$I$89,5,0)</f>
        <v>230.17800000000003</v>
      </c>
      <c r="DQ81" s="13">
        <f t="shared" si="97"/>
        <v>56.321167559725055</v>
      </c>
      <c r="DR81" s="20">
        <f t="shared" si="70"/>
        <v>498.98605016652118</v>
      </c>
      <c r="DS81" s="59">
        <f t="shared" si="71"/>
        <v>792.31938349985444</v>
      </c>
      <c r="DT81" s="59">
        <f ca="1">AVERAGE(OFFSET($DS$3,0,0,'Données projet'!$E$14+1,1))-AVERAGE(OFFSET($H$3,0,0,'Données projet'!$E$14+1,1))</f>
        <v>313.90901812281373</v>
      </c>
      <c r="DU81" s="59">
        <f t="shared" si="98"/>
        <v>210.54265725995265</v>
      </c>
      <c r="DV81" s="15">
        <f>IF(ISNA(VLOOKUP(A81,'Données projet'!$A$165:$I$185,3,0)),0,VLOOKUP(A81,'Données projet'!$A$165:$I$185,3,0))</f>
        <v>7</v>
      </c>
      <c r="DW81" s="15">
        <f>IF(ISNA(VLOOKUP(A81,'Données projet'!$A$165:$I$185,4,0)),0,VLOOKUP(A81,'Données projet'!$A$165:$I$185,4,0))</f>
        <v>42</v>
      </c>
      <c r="DX81" s="16">
        <f>IF(ISNA(VLOOKUP(A81,'Données projet'!$A$165:$I$185,5,0)),0%,VLOOKUP(A81,'Données projet'!$A$165:$I$185,5,0)*VLOOKUP('Données projet'!$B$14,Paramètres!$A$1:$I$89,7,0))</f>
        <v>0.30099999999999999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45.521244934513803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45.521244934513803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-5.6843418860808015E-14</v>
      </c>
      <c r="EK81" s="17">
        <f>EJ81*VLOOKUP('Données projet'!$B$15,Paramètres!$A$1:$I$89,3,0)*VLOOKUP('Données projet'!$B$15,Paramètres!$A$1:$I$89,5,0)</f>
        <v>-4.5224624045658861E-14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316.52407313312403</v>
      </c>
      <c r="EP81" s="59">
        <f t="shared" si="100"/>
        <v>340.55949748167382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151.02310668988602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151.02310668988602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-5.6843418860808015E-14</v>
      </c>
      <c r="FF81" s="17">
        <f>FE81*VLOOKUP('Données projet'!$B$16,Paramètres!$A$1:$I$89,3,0)*VLOOKUP('Données projet'!$B$16,Paramètres!$A$1:$I$89,5,0)</f>
        <v>-3.7243808037601412E-14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199.99826357281154</v>
      </c>
      <c r="FK81" s="59">
        <f t="shared" si="102"/>
        <v>214.67424457475136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65.309964631153974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65.309964631153974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284.60021367910457</v>
      </c>
      <c r="T82" s="59">
        <f t="shared" si="88"/>
        <v>301.41905904220812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152.58373958843566</v>
      </c>
      <c r="AA82" s="21">
        <f>EXP(-LN(2)/25)*AA81+(1-EXP(-LN(2)/25))/(LN(2)/25)*Calculateur!V82*Calculateur!X82*VLOOKUP('Données projet'!$B$9,Paramètres!$A$1:$I$89,3,0)*0.475*44/12</f>
        <v>31.636579196161307</v>
      </c>
      <c r="AB82" s="21">
        <f>EXP(-LN(2)/2)*AB81+(1-EXP(-LN(2)/2))/(LN(2)/2)*V82*Y82*VLOOKUP('Données projet'!$B$9,Paramètres!$A$1:$I$89,3,0)*0.475*44/12</f>
        <v>0.39274409612723016</v>
      </c>
      <c r="AC82" s="22">
        <f t="shared" si="57"/>
        <v>184.61306288072419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8.875</v>
      </c>
      <c r="AI82" s="13">
        <f>IF('Données projet'!$A$62&gt;35,AI81+AH82-AQ81,IF(A82&lt;'Données projet'!$A$62,$AF$205^A82,IF(A82='Données projet'!$A$62,'Données projet'!$B$62,AI81+AH82-AQ81)))</f>
        <v>540.375</v>
      </c>
      <c r="AJ82" s="13">
        <f>AI82*VLOOKUP('Données projet'!$B$10,Paramètres!$A$1:$I$89,3,0)*VLOOKUP('Données projet'!$B$10,Paramètres!$A$1:$I$89,5,0)</f>
        <v>323.14425000000006</v>
      </c>
      <c r="AK82" s="13">
        <f t="shared" si="89"/>
        <v>76.007203261088534</v>
      </c>
      <c r="AL82" s="20">
        <f t="shared" si="58"/>
        <v>695.18878109639593</v>
      </c>
      <c r="AM82" s="59">
        <f t="shared" si="59"/>
        <v>988.5221144297293</v>
      </c>
      <c r="AN82" s="59">
        <f ca="1">AVERAGE(OFFSET($AM$3,0,0,'Données projet'!$E$10+1,1))-AVERAGE(OFFSET($H$3,0,0,'Données projet'!$E$10+1,1))</f>
        <v>294.45857786714919</v>
      </c>
      <c r="AO82" s="59">
        <f t="shared" si="90"/>
        <v>221.9773436301067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60.167876048466141</v>
      </c>
      <c r="AV82" s="21">
        <f>EXP(-LN(2)/25)*AV81+(1-EXP(-LN(2)/25))/(LN(2)/25)*Calculateur!AQ82*Calculateur!AS82*VLOOKUP('Données projet'!$B$10,Paramètres!$A$1:$I$89,3,0)*0.475*44/12</f>
        <v>12.564874679648893</v>
      </c>
      <c r="AW82" s="21">
        <f>EXP(-LN(2)/2)*AW81+(1-EXP(-LN(2)/2))/(LN(2)/2)*AQ82*AT82*VLOOKUP('Données projet'!$B$10,Paramètres!$A$1:$I$89,3,0)*0.475*44/12</f>
        <v>0.6538076817493812</v>
      </c>
      <c r="AX82" s="21">
        <f t="shared" si="60"/>
        <v>73.386558409864421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1.1368683772161603E-13</v>
      </c>
      <c r="BE82" s="13">
        <f>BD82*VLOOKUP('Données projet'!$B$11,Paramètres!$A$1:$I$89,3,0)*VLOOKUP('Données projet'!$B$11,Paramètres!$A$1:$I$89,5,0)</f>
        <v>6.3550942286383367E-14</v>
      </c>
      <c r="BF82" s="13">
        <f t="shared" si="91"/>
        <v>1.0064464192543978E-12</v>
      </c>
      <c r="BG82" s="20">
        <f t="shared" si="61"/>
        <v>1.8635787380168604E-12</v>
      </c>
      <c r="BH82" s="59">
        <f t="shared" si="62"/>
        <v>293.33333333333519</v>
      </c>
      <c r="BI82" s="59">
        <f ca="1">AVERAGE(OFFSET($BH$3,0,0,'Données projet'!$E$11+1,1))-AVERAGE(OFFSET($H$3,0,0,'Données projet'!$E$11+1,1))</f>
        <v>304.91676868833792</v>
      </c>
      <c r="BJ82" s="59">
        <f t="shared" si="92"/>
        <v>365.95065044620048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150.77749377496568</v>
      </c>
      <c r="BQ82" s="21">
        <f>EXP(-LN(2)/25)*BQ81+(1-EXP(-LN(2)/25))/(LN(2)/25)*Calculateur!BL82*Calculateur!BN82*VLOOKUP('Données projet'!$B$11,Paramètres!$A$1:$I$89,3,0)*0.475*44/12</f>
        <v>30.726443413709752</v>
      </c>
      <c r="BR82" s="21">
        <f>EXP(-LN(2)/2)*BR81+(1-EXP(-LN(2)/2))/(LN(2)/2)*BL82*BO82*VLOOKUP('Données projet'!$B$11,Paramètres!$A$1:$I$89,3,0)*0.475*44/12</f>
        <v>6.6371470031993673E-2</v>
      </c>
      <c r="BS82" s="22">
        <f t="shared" si="63"/>
        <v>181.5703086587074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534.99999999999989</v>
      </c>
      <c r="BZ82" s="13">
        <f>BY82*VLOOKUP('Données projet'!$B$12,Paramètres!$A$1:$I$89,3,0)*VLOOKUP('Données projet'!$B$12,Paramètres!$A$1:$I$89,5,0)</f>
        <v>250.37999999999997</v>
      </c>
      <c r="CA82" s="13">
        <f t="shared" si="93"/>
        <v>60.667304938736663</v>
      </c>
      <c r="CB82" s="20">
        <f t="shared" si="64"/>
        <v>541.74072276829952</v>
      </c>
      <c r="CC82" s="59">
        <f t="shared" si="65"/>
        <v>835.07405610163278</v>
      </c>
      <c r="CD82" s="59">
        <f ca="1">AVERAGE(OFFSET($CC$3,0,0,'Données projet'!$E$12+1,1))-AVERAGE(OFFSET($H$3,0,0,'Données projet'!$E$12+1,1))</f>
        <v>259.87681411271632</v>
      </c>
      <c r="CE82" s="59">
        <f t="shared" si="94"/>
        <v>191.8684235641158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51.364312917021948</v>
      </c>
      <c r="CL82" s="21">
        <f>EXP(-LN(2)/25)*CL81+(1-EXP(-LN(2)/25))/(LN(2)/25)*Calculateur!CG82*Calculateur!CI82*VLOOKUP('Données projet'!$B$12,Paramètres!$A$1:$I$89,3,0)*0.475*44/12</f>
        <v>11.698570097330988</v>
      </c>
      <c r="CM82" s="21">
        <f>EXP(-LN(2)/2)*CM81+(1-EXP(-LN(2)/2))/(LN(2)/2)*CG82*CJ82*VLOOKUP('Données projet'!$B$12,Paramètres!$A$1:$I$89,3,0)*0.475*44/12</f>
        <v>0.29712040406179707</v>
      </c>
      <c r="CN82" s="22">
        <f t="shared" si="66"/>
        <v>63.360003418414735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7.6999999999999975</v>
      </c>
      <c r="CT82" s="12">
        <f>IF('Données projet'!$A$140&gt;35,CT81+CS82-DB81,IF(A82&lt;'Données projet'!$A$140,$CQ$205^A82,IF(A82='Données projet'!$A$140,'Données projet'!$B$140,CT81+CS82-DB81)))</f>
        <v>296.45775999999989</v>
      </c>
      <c r="CU82" s="17">
        <f>CT82*VLOOKUP('Données projet'!$B$13,Paramètres!$A$1:$I$89,3,0)*VLOOKUP('Données projet'!$B$13,Paramètres!$A$1:$I$89,5,0)</f>
        <v>138.74223167999995</v>
      </c>
      <c r="CV82" s="13">
        <f t="shared" si="95"/>
        <v>36.008717270083068</v>
      </c>
      <c r="CW82" s="20">
        <f t="shared" si="67"/>
        <v>304.35790275472783</v>
      </c>
      <c r="CX82" s="59">
        <f t="shared" si="68"/>
        <v>597.69123608806115</v>
      </c>
      <c r="CY82" s="59">
        <f ca="1">AVERAGE(OFFSET($CX$3,0,0,'Données projet'!$E$13+1,1))-AVERAGE(OFFSET($H$3,0,0,'Données projet'!$E$13+1,1))</f>
        <v>137.59122085719031</v>
      </c>
      <c r="CZ82" s="59">
        <f t="shared" si="96"/>
        <v>130.1134470448718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33.18757511860813</v>
      </c>
      <c r="DG82" s="21">
        <f>EXP(-LN(2)/25)*DG81+(1-EXP(-LN(2)/25))/(LN(2)/25)*Calculateur!DB82*Calculateur!DD82*VLOOKUP('Données projet'!$B$13,Paramètres!$A$1:$I$89,3,0)*0.475*44/12</f>
        <v>7.5215959747614747</v>
      </c>
      <c r="DH82" s="21">
        <f>EXP(-LN(2)/2)*DH81+(1-EXP(-LN(2)/2))/(LN(2)/2)*DB82*DE82*VLOOKUP('Données projet'!$B$13,Paramètres!$A$1:$I$89,3,0)*0.475*44/12</f>
        <v>0.18073130524619815</v>
      </c>
      <c r="DI82" s="22">
        <f t="shared" si="69"/>
        <v>40.889902398615803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6.4444444444444446</v>
      </c>
      <c r="DO82" s="12">
        <f>IF('Données projet'!$A$166&gt;35,DO81+DN82-DW81,IF(A82&lt;'Données projet'!$A$166,$DL$205^A82,IF(A82='Données projet'!$A$166,'Données projet'!$B$166,DO81+DN82-DW81)))</f>
        <v>191.44444444444449</v>
      </c>
      <c r="DP82" s="17">
        <f>DO82*VLOOKUP('Données projet'!$B$14,Paramètres!$A$1:$I$89,3,0)*VLOOKUP('Données projet'!$B$14,Paramètres!$A$1:$I$89,5,0)</f>
        <v>194.12466666666674</v>
      </c>
      <c r="DQ82" s="13">
        <f t="shared" si="97"/>
        <v>48.450715143379796</v>
      </c>
      <c r="DR82" s="20">
        <f t="shared" si="70"/>
        <v>422.4854566524977</v>
      </c>
      <c r="DS82" s="59">
        <f t="shared" si="71"/>
        <v>715.81878998583102</v>
      </c>
      <c r="DT82" s="59">
        <f ca="1">AVERAGE(OFFSET($DS$3,0,0,'Données projet'!$E$14+1,1))-AVERAGE(OFFSET($H$3,0,0,'Données projet'!$E$14+1,1))</f>
        <v>313.90901812281373</v>
      </c>
      <c r="DU82" s="59">
        <f t="shared" si="98"/>
        <v>210.54265725995265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44.628601086565808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44.628601086565808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-5.6843418860808015E-14</v>
      </c>
      <c r="EK82" s="17">
        <f>EJ82*VLOOKUP('Données projet'!$B$15,Paramètres!$A$1:$I$89,3,0)*VLOOKUP('Données projet'!$B$15,Paramètres!$A$1:$I$89,5,0)</f>
        <v>-4.5224624045658861E-14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316.52407313312403</v>
      </c>
      <c r="EP82" s="59">
        <f t="shared" si="100"/>
        <v>340.55949748167382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148.06163568269685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148.06163568269685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-5.6843418860808015E-14</v>
      </c>
      <c r="FF82" s="17">
        <f>FE82*VLOOKUP('Données projet'!$B$16,Paramètres!$A$1:$I$89,3,0)*VLOOKUP('Données projet'!$B$16,Paramètres!$A$1:$I$89,5,0)</f>
        <v>-3.7243808037601412E-14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199.99826357281154</v>
      </c>
      <c r="FK82" s="59">
        <f t="shared" si="102"/>
        <v>214.67424457475136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64.029276059882079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64.029276059882079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284.60021367910457</v>
      </c>
      <c r="T83" s="59">
        <f t="shared" si="88"/>
        <v>301.41905904220812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149.59166552199798</v>
      </c>
      <c r="AA83" s="21">
        <f>EXP(-LN(2)/25)*AA82+(1-EXP(-LN(2)/25))/(LN(2)/25)*Calculateur!V83*Calculateur!X83*VLOOKUP('Données projet'!$B$9,Paramètres!$A$1:$I$89,3,0)*0.475*44/12</f>
        <v>30.771475274346884</v>
      </c>
      <c r="AB83" s="21">
        <f>EXP(-LN(2)/2)*AB82+(1-EXP(-LN(2)/2))/(LN(2)/2)*V83*Y83*VLOOKUP('Données projet'!$B$9,Paramètres!$A$1:$I$89,3,0)*0.475*44/12</f>
        <v>0.27771201364254572</v>
      </c>
      <c r="AC83" s="22">
        <f t="shared" si="57"/>
        <v>180.64085280998739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8.875</v>
      </c>
      <c r="AI83" s="13">
        <f>IF('Données projet'!$A$62&gt;35,AI82+AH83-AQ82,IF(A83&lt;'Données projet'!$A$62,$AF$205^A83,IF(A83='Données projet'!$A$62,'Données projet'!$B$62,AI82+AH83-AQ82)))</f>
        <v>549.25</v>
      </c>
      <c r="AJ83" s="13">
        <f>AI83*VLOOKUP('Données projet'!$B$10,Paramètres!$A$1:$I$89,3,0)*VLOOKUP('Données projet'!$B$10,Paramètres!$A$1:$I$89,5,0)</f>
        <v>328.45150000000001</v>
      </c>
      <c r="AK83" s="13">
        <f t="shared" si="89"/>
        <v>77.109175784158708</v>
      </c>
      <c r="AL83" s="20">
        <f t="shared" si="58"/>
        <v>706.35151032407646</v>
      </c>
      <c r="AM83" s="59">
        <f t="shared" si="59"/>
        <v>999.68484365740983</v>
      </c>
      <c r="AN83" s="59">
        <f ca="1">AVERAGE(OFFSET($AM$3,0,0,'Données projet'!$E$10+1,1))-AVERAGE(OFFSET($H$3,0,0,'Données projet'!$E$10+1,1))</f>
        <v>294.45857786714919</v>
      </c>
      <c r="AO83" s="59">
        <f t="shared" si="90"/>
        <v>221.9773436301067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58.988020697936406</v>
      </c>
      <c r="AV83" s="21">
        <f>EXP(-LN(2)/25)*AV82+(1-EXP(-LN(2)/25))/(LN(2)/25)*Calculateur!AQ83*Calculateur!AS83*VLOOKUP('Données projet'!$B$10,Paramètres!$A$1:$I$89,3,0)*0.475*44/12</f>
        <v>12.221287520775853</v>
      </c>
      <c r="AW83" s="21">
        <f>EXP(-LN(2)/2)*AW82+(1-EXP(-LN(2)/2))/(LN(2)/2)*AQ83*AT83*VLOOKUP('Données projet'!$B$10,Paramètres!$A$1:$I$89,3,0)*0.475*44/12</f>
        <v>0.46231184535684361</v>
      </c>
      <c r="AX83" s="21">
        <f t="shared" si="60"/>
        <v>71.671620064069103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1.1368683772161603E-13</v>
      </c>
      <c r="BE83" s="13">
        <f>BD83*VLOOKUP('Données projet'!$B$11,Paramètres!$A$1:$I$89,3,0)*VLOOKUP('Données projet'!$B$11,Paramètres!$A$1:$I$89,5,0)</f>
        <v>6.3550942286383367E-14</v>
      </c>
      <c r="BF83" s="13">
        <f t="shared" si="91"/>
        <v>1.0064464192543978E-12</v>
      </c>
      <c r="BG83" s="20">
        <f t="shared" si="61"/>
        <v>1.8635787380168604E-12</v>
      </c>
      <c r="BH83" s="59">
        <f t="shared" si="62"/>
        <v>293.33333333333519</v>
      </c>
      <c r="BI83" s="59">
        <f ca="1">AVERAGE(OFFSET($BH$3,0,0,'Données projet'!$E$11+1,1))-AVERAGE(OFFSET($H$3,0,0,'Données projet'!$E$11+1,1))</f>
        <v>304.91676868833792</v>
      </c>
      <c r="BJ83" s="59">
        <f t="shared" si="92"/>
        <v>365.95065044620048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147.82083908722899</v>
      </c>
      <c r="BQ83" s="21">
        <f>EXP(-LN(2)/25)*BQ82+(1-EXP(-LN(2)/25))/(LN(2)/25)*Calculateur!BL83*Calculateur!BN83*VLOOKUP('Données projet'!$B$11,Paramètres!$A$1:$I$89,3,0)*0.475*44/12</f>
        <v>29.886227202728428</v>
      </c>
      <c r="BR83" s="21">
        <f>EXP(-LN(2)/2)*BR82+(1-EXP(-LN(2)/2))/(LN(2)/2)*BL83*BO83*VLOOKUP('Données projet'!$B$11,Paramètres!$A$1:$I$89,3,0)*0.475*44/12</f>
        <v>4.6931716536942447E-2</v>
      </c>
      <c r="BS83" s="22">
        <f t="shared" si="63"/>
        <v>177.75399800649436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552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551.99999999999989</v>
      </c>
      <c r="BZ83" s="13">
        <f>BY83*VLOOKUP('Données projet'!$B$12,Paramètres!$A$1:$I$89,3,0)*VLOOKUP('Données projet'!$B$12,Paramètres!$A$1:$I$89,5,0)</f>
        <v>258.33599999999996</v>
      </c>
      <c r="CA83" s="13">
        <f t="shared" si="93"/>
        <v>62.367547966451262</v>
      </c>
      <c r="CB83" s="20">
        <f t="shared" si="64"/>
        <v>558.55867937490245</v>
      </c>
      <c r="CC83" s="59">
        <f t="shared" si="65"/>
        <v>851.89201270823582</v>
      </c>
      <c r="CD83" s="59">
        <f ca="1">AVERAGE(OFFSET($CC$3,0,0,'Données projet'!$E$12+1,1))-AVERAGE(OFFSET($H$3,0,0,'Données projet'!$E$12+1,1))</f>
        <v>259.87681411271632</v>
      </c>
      <c r="CE83" s="59">
        <f t="shared" si="94"/>
        <v>191.8684235641158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110</v>
      </c>
      <c r="CH83" s="16">
        <f>IF(ISNA(VLOOKUP(A83,'Données projet'!$A$113:$I$133,5,0)),0%,VLOOKUP(A83,'Données projet'!$A$113:$I$133,5,0)*VLOOKUP('Données projet'!$B$12,Paramètres!$A$1:$I$89,7,0))</f>
        <v>0.38500000000000001</v>
      </c>
      <c r="CI83" s="16">
        <f>IF(ISNA(VLOOKUP(A83,'Données projet'!$A$113:$I$133,6,0)),0%,VLOOKUP(A83,'Données projet'!$A$113:$I$133,6,0)*VLOOKUP('Données projet'!$B$12,Paramètres!$A$1:$I$89,7,0))</f>
        <v>9.3500000000000014E-2</v>
      </c>
      <c r="CJ83" s="16">
        <f>IF(ISNA(VLOOKUP(A83,'Données projet'!$A$113:$I$133,7,0)),0%,VLOOKUP(A83,'Données projet'!$A$113:$I$133,7,0))</f>
        <v>0.13</v>
      </c>
      <c r="CK83" s="21">
        <f>EXP(-LN(2)/35)*CK82+(1-EXP(-LN(2)/35))/(LN(2)/35)*CG83*CH83*VLOOKUP('Données projet'!$B$12,Paramètres!$A$1:$I$89,3,0)*0.475*44/12</f>
        <v>76.649332263777126</v>
      </c>
      <c r="CL83" s="21">
        <f>EXP(-LN(2)/25)*CL82+(1-EXP(-LN(2)/25))/(LN(2)/25)*Calculateur!CG83*Calculateur!CI83*VLOOKUP('Données projet'!$B$12,Paramètres!$A$1:$I$89,3,0)*0.475*44/12</f>
        <v>17.738789704399103</v>
      </c>
      <c r="CM83" s="21">
        <f>EXP(-LN(2)/2)*CM82+(1-EXP(-LN(2)/2))/(LN(2)/2)*CG83*CJ83*VLOOKUP('Données projet'!$B$12,Paramètres!$A$1:$I$89,3,0)*0.475*44/12</f>
        <v>7.7874472805071049</v>
      </c>
      <c r="CN83" s="22">
        <f t="shared" si="66"/>
        <v>102.17556924868333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304.15775999999994</v>
      </c>
      <c r="CR83" s="12">
        <f>VLOOKUP(A83,'Données projet'!$A$139:$I$159,9,0)</f>
        <v>7.6999999999999975</v>
      </c>
      <c r="CS83" s="12">
        <f t="array" ref="CS83">INDEX(CR:CR,MIN(IF(ISNUMBER(CR83:CR279),ROW(CR83:CR279),"")))</f>
        <v>7.6999999999999975</v>
      </c>
      <c r="CT83" s="12">
        <f>IF('Données projet'!$A$140&gt;35,CT82+CS83-DB82,IF(A83&lt;'Données projet'!$A$140,$CQ$205^A83,IF(A83='Données projet'!$A$140,'Données projet'!$B$140,CT82+CS83-DB82)))</f>
        <v>304.15775999999988</v>
      </c>
      <c r="CU83" s="17">
        <f>CT83*VLOOKUP('Données projet'!$B$13,Paramètres!$A$1:$I$89,3,0)*VLOOKUP('Données projet'!$B$13,Paramètres!$A$1:$I$89,5,0)</f>
        <v>142.34583167999995</v>
      </c>
      <c r="CV83" s="13">
        <f t="shared" si="95"/>
        <v>36.83388176340587</v>
      </c>
      <c r="CW83" s="20">
        <f t="shared" si="67"/>
        <v>312.07133424726516</v>
      </c>
      <c r="CX83" s="59">
        <f t="shared" si="68"/>
        <v>605.40466758059847</v>
      </c>
      <c r="CY83" s="59">
        <f ca="1">AVERAGE(OFFSET($CX$3,0,0,'Données projet'!$E$13+1,1))-AVERAGE(OFFSET($H$3,0,0,'Données projet'!$E$13+1,1))</f>
        <v>137.59122085719031</v>
      </c>
      <c r="CZ83" s="59">
        <f t="shared" si="96"/>
        <v>130.1134470448718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60.831551999999988</v>
      </c>
      <c r="DC83" s="16">
        <f>IF(ISNA(VLOOKUP(A83,'Données projet'!$A$139:$I$159,5,0)),0%,VLOOKUP(A83,'Données projet'!$A$139:$I$159,5,0)*VLOOKUP('Données projet'!$B$13,Paramètres!$A$1:$I$89,7,0))</f>
        <v>0.38500000000000001</v>
      </c>
      <c r="DD83" s="16">
        <f>IF(ISNA(VLOOKUP(A83,'Données projet'!$A$139:$I$159,6,0)),0%,VLOOKUP(A83,'Données projet'!$A$139:$I$159,6,0)*VLOOKUP('Données projet'!$B$13,Paramètres!$A$1:$I$89,7,0))</f>
        <v>9.240000000000001E-2</v>
      </c>
      <c r="DE83" s="16">
        <f>IF(ISNA(VLOOKUP(A83,'Données projet'!$A$139:$I$159,7,0)),0%,VLOOKUP(A83,'Données projet'!$A$139:$I$159,7,0))</f>
        <v>0.13200000000000001</v>
      </c>
      <c r="DF83" s="21">
        <f>EXP(-LN(2)/35)*DF82+(1-EXP(-LN(2)/35))/(LN(2)/35)*DB83*DC83*VLOOKUP('Données projet'!$B$13,Paramètres!$A$1:$I$89,3,0)*0.475*44/12</f>
        <v>47.076767905827673</v>
      </c>
      <c r="DG83" s="21">
        <f>EXP(-LN(2)/25)*DG82+(1-EXP(-LN(2)/25))/(LN(2)/25)*Calculateur!DB83*Calculateur!DD83*VLOOKUP('Données projet'!$B$13,Paramètres!$A$1:$I$89,3,0)*0.475*44/12</f>
        <v>10.791773084791545</v>
      </c>
      <c r="DH83" s="21">
        <f>EXP(-LN(2)/2)*DH82+(1-EXP(-LN(2)/2))/(LN(2)/2)*DB83*DE83*VLOOKUP('Données projet'!$B$13,Paramètres!$A$1:$I$89,3,0)*0.475*44/12</f>
        <v>4.3826459999362379</v>
      </c>
      <c r="DI83" s="22">
        <f t="shared" si="69"/>
        <v>62.251186990555453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6.4444444444444446</v>
      </c>
      <c r="DO83" s="12">
        <f>IF('Données projet'!$A$166&gt;35,DO82+DN83-DW82,IF(A83&lt;'Données projet'!$A$166,$DL$205^A83,IF(A83='Données projet'!$A$166,'Données projet'!$B$166,DO82+DN83-DW82)))</f>
        <v>197.88888888888894</v>
      </c>
      <c r="DP83" s="17">
        <f>DO83*VLOOKUP('Données projet'!$B$14,Paramètres!$A$1:$I$89,3,0)*VLOOKUP('Données projet'!$B$14,Paramètres!$A$1:$I$89,5,0)</f>
        <v>200.65933333333342</v>
      </c>
      <c r="DQ83" s="13">
        <f t="shared" si="97"/>
        <v>49.889041468389436</v>
      </c>
      <c r="DR83" s="20">
        <f t="shared" si="70"/>
        <v>436.3717527796673</v>
      </c>
      <c r="DS83" s="59">
        <f t="shared" si="71"/>
        <v>729.70508611300056</v>
      </c>
      <c r="DT83" s="59">
        <f ca="1">AVERAGE(OFFSET($DS$3,0,0,'Données projet'!$E$14+1,1))-AVERAGE(OFFSET($H$3,0,0,'Données projet'!$E$14+1,1))</f>
        <v>313.90901812281373</v>
      </c>
      <c r="DU83" s="59">
        <f t="shared" si="98"/>
        <v>210.54265725995265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43.753461440017091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43.753461440017091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-5.6843418860808015E-14</v>
      </c>
      <c r="EK83" s="17">
        <f>EJ83*VLOOKUP('Données projet'!$B$15,Paramètres!$A$1:$I$89,3,0)*VLOOKUP('Données projet'!$B$15,Paramètres!$A$1:$I$89,5,0)</f>
        <v>-4.5224624045658861E-14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316.52407313312403</v>
      </c>
      <c r="EP83" s="59">
        <f t="shared" si="100"/>
        <v>340.55949748167382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145.1582373156397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145.1582373156397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-5.6843418860808015E-14</v>
      </c>
      <c r="FF83" s="17">
        <f>FE83*VLOOKUP('Données projet'!$B$16,Paramètres!$A$1:$I$89,3,0)*VLOOKUP('Données projet'!$B$16,Paramètres!$A$1:$I$89,5,0)</f>
        <v>-3.7243808037601412E-14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199.99826357281154</v>
      </c>
      <c r="FK83" s="59">
        <f t="shared" si="102"/>
        <v>214.67424457475136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62.773701010349924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62.773701010349924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284.60021367910457</v>
      </c>
      <c r="T84" s="59">
        <f t="shared" si="88"/>
        <v>301.41905904220812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146.65826420301818</v>
      </c>
      <c r="AA84" s="21">
        <f>EXP(-LN(2)/25)*AA83+(1-EXP(-LN(2)/25))/(LN(2)/25)*Calculateur!V84*Calculateur!X84*VLOOKUP('Données projet'!$B$9,Paramètres!$A$1:$I$89,3,0)*0.475*44/12</f>
        <v>29.930027664768314</v>
      </c>
      <c r="AB84" s="21">
        <f>EXP(-LN(2)/2)*AB83+(1-EXP(-LN(2)/2))/(LN(2)/2)*V84*Y84*VLOOKUP('Données projet'!$B$9,Paramètres!$A$1:$I$89,3,0)*0.475*44/12</f>
        <v>0.19637204806361508</v>
      </c>
      <c r="AC84" s="22">
        <f t="shared" si="57"/>
        <v>176.7846639158501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8.875</v>
      </c>
      <c r="AI84" s="13">
        <f>IF('Données projet'!$A$62&gt;35,AI83+AH84-AQ83,IF(A84&lt;'Données projet'!$A$62,$AF$205^A84,IF(A84='Données projet'!$A$62,'Données projet'!$B$62,AI83+AH84-AQ83)))</f>
        <v>558.125</v>
      </c>
      <c r="AJ84" s="13">
        <f>AI84*VLOOKUP('Données projet'!$B$10,Paramètres!$A$1:$I$89,3,0)*VLOOKUP('Données projet'!$B$10,Paramètres!$A$1:$I$89,5,0)</f>
        <v>333.75875000000002</v>
      </c>
      <c r="AK84" s="13">
        <f t="shared" si="89"/>
        <v>78.209077528625059</v>
      </c>
      <c r="AL84" s="20">
        <f t="shared" si="58"/>
        <v>717.5106329456886</v>
      </c>
      <c r="AM84" s="59">
        <f t="shared" si="59"/>
        <v>1010.843966279022</v>
      </c>
      <c r="AN84" s="59">
        <f ca="1">AVERAGE(OFFSET($AM$3,0,0,'Données projet'!$E$10+1,1))-AVERAGE(OFFSET($H$3,0,0,'Données projet'!$E$10+1,1))</f>
        <v>294.45857786714919</v>
      </c>
      <c r="AO84" s="59">
        <f t="shared" si="90"/>
        <v>221.9773436301067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57.831301591189856</v>
      </c>
      <c r="AV84" s="21">
        <f>EXP(-LN(2)/25)*AV83+(1-EXP(-LN(2)/25))/(LN(2)/25)*Calculateur!AQ84*Calculateur!AS84*VLOOKUP('Données projet'!$B$10,Paramètres!$A$1:$I$89,3,0)*0.475*44/12</f>
        <v>11.887095770830658</v>
      </c>
      <c r="AW84" s="21">
        <f>EXP(-LN(2)/2)*AW83+(1-EXP(-LN(2)/2))/(LN(2)/2)*AQ84*AT84*VLOOKUP('Données projet'!$B$10,Paramètres!$A$1:$I$89,3,0)*0.475*44/12</f>
        <v>0.32690384087469065</v>
      </c>
      <c r="AX84" s="21">
        <f t="shared" si="60"/>
        <v>70.045301202895203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6.3550942286383367E-14</v>
      </c>
      <c r="BF84" s="13">
        <f t="shared" si="91"/>
        <v>1.0064464192543978E-12</v>
      </c>
      <c r="BG84" s="20">
        <f t="shared" si="61"/>
        <v>1.8635787380168604E-12</v>
      </c>
      <c r="BH84" s="59">
        <f t="shared" si="62"/>
        <v>293.33333333333519</v>
      </c>
      <c r="BI84" s="59">
        <f ca="1">AVERAGE(OFFSET($BH$3,0,0,'Données projet'!$E$11+1,1))-AVERAGE(OFFSET($H$3,0,0,'Données projet'!$E$11+1,1))</f>
        <v>304.91676868833792</v>
      </c>
      <c r="BJ84" s="59">
        <f t="shared" si="92"/>
        <v>365.95065044620048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144.92216259453753</v>
      </c>
      <c r="BQ84" s="21">
        <f>EXP(-LN(2)/25)*BQ83+(1-EXP(-LN(2)/25))/(LN(2)/25)*Calculateur!BL84*Calculateur!BN84*VLOOKUP('Données projet'!$B$11,Paramètres!$A$1:$I$89,3,0)*0.475*44/12</f>
        <v>29.068986748221437</v>
      </c>
      <c r="BR84" s="21">
        <f>EXP(-LN(2)/2)*BR83+(1-EXP(-LN(2)/2))/(LN(2)/2)*BL84*BO84*VLOOKUP('Données projet'!$B$11,Paramètres!$A$1:$I$89,3,0)*0.475*44/12</f>
        <v>3.3185735015996837E-2</v>
      </c>
      <c r="BS84" s="22">
        <f t="shared" si="63"/>
        <v>174.02433507777496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17.399999999999999</v>
      </c>
      <c r="BY84" s="12">
        <f>IF('Données projet'!$A$114&gt;35,BY83+BX84-CG83,IF(A84&lt;'Données projet'!$A$114,$BV$205^A84,IF(A84='Données projet'!$A$114,'Données projet'!$B$114,BY83+BX84-CG83)))</f>
        <v>459.39999999999986</v>
      </c>
      <c r="BZ84" s="13">
        <f>BY84*VLOOKUP('Données projet'!$B$12,Paramètres!$A$1:$I$89,3,0)*VLOOKUP('Données projet'!$B$12,Paramètres!$A$1:$I$89,5,0)</f>
        <v>214.99919999999995</v>
      </c>
      <c r="CA84" s="13">
        <f t="shared" si="93"/>
        <v>53.026536335878575</v>
      </c>
      <c r="CB84" s="20">
        <f t="shared" si="64"/>
        <v>466.81149078498834</v>
      </c>
      <c r="CC84" s="59">
        <f t="shared" si="65"/>
        <v>760.14482411832159</v>
      </c>
      <c r="CD84" s="59">
        <f ca="1">AVERAGE(OFFSET($CC$3,0,0,'Données projet'!$E$12+1,1))-AVERAGE(OFFSET($H$3,0,0,'Données projet'!$E$12+1,1))</f>
        <v>259.87681411271632</v>
      </c>
      <c r="CE84" s="59">
        <f t="shared" si="94"/>
        <v>191.8684235641158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75.146285609560806</v>
      </c>
      <c r="CL84" s="21">
        <f>EXP(-LN(2)/25)*CL83+(1-EXP(-LN(2)/25))/(LN(2)/25)*Calculateur!CG84*Calculateur!CI84*VLOOKUP('Données projet'!$B$12,Paramètres!$A$1:$I$89,3,0)*0.475*44/12</f>
        <v>17.253721567089901</v>
      </c>
      <c r="CM84" s="21">
        <f>EXP(-LN(2)/2)*CM83+(1-EXP(-LN(2)/2))/(LN(2)/2)*CG84*CJ84*VLOOKUP('Données projet'!$B$12,Paramètres!$A$1:$I$89,3,0)*0.475*44/12</f>
        <v>5.506556780179312</v>
      </c>
      <c r="CN84" s="22">
        <f t="shared" si="66"/>
        <v>97.906563956830013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8.3000000000000007</v>
      </c>
      <c r="CT84" s="12">
        <f>IF('Données projet'!$A$140&gt;35,CT83+CS84-DB83,IF(A84&lt;'Données projet'!$A$140,$CQ$205^A84,IF(A84='Données projet'!$A$140,'Données projet'!$B$140,CT83+CS84-DB83)))</f>
        <v>251.62620799999991</v>
      </c>
      <c r="CU84" s="17">
        <f>CT84*VLOOKUP('Données projet'!$B$13,Paramètres!$A$1:$I$89,3,0)*VLOOKUP('Données projet'!$B$13,Paramètres!$A$1:$I$89,5,0)</f>
        <v>117.76106534399996</v>
      </c>
      <c r="CV84" s="13">
        <f t="shared" si="95"/>
        <v>31.152233534133693</v>
      </c>
      <c r="CW84" s="20">
        <f t="shared" si="67"/>
        <v>259.35732887941612</v>
      </c>
      <c r="CX84" s="59">
        <f t="shared" si="68"/>
        <v>552.69066221274943</v>
      </c>
      <c r="CY84" s="59">
        <f ca="1">AVERAGE(OFFSET($CX$3,0,0,'Données projet'!$E$13+1,1))-AVERAGE(OFFSET($H$3,0,0,'Données projet'!$E$13+1,1))</f>
        <v>137.59122085719031</v>
      </c>
      <c r="CZ84" s="59">
        <f t="shared" si="96"/>
        <v>130.1134470448718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46.153621201187541</v>
      </c>
      <c r="DG84" s="21">
        <f>EXP(-LN(2)/25)*DG83+(1-EXP(-LN(2)/25))/(LN(2)/25)*Calculateur!DB84*Calculateur!DD84*VLOOKUP('Données projet'!$B$13,Paramètres!$A$1:$I$89,3,0)*0.475*44/12</f>
        <v>10.496671482273239</v>
      </c>
      <c r="DH84" s="21">
        <f>EXP(-LN(2)/2)*DH83+(1-EXP(-LN(2)/2))/(LN(2)/2)*DB84*DE84*VLOOKUP('Données projet'!$B$13,Paramètres!$A$1:$I$89,3,0)*0.475*44/12</f>
        <v>3.0989987060950113</v>
      </c>
      <c r="DI84" s="22">
        <f t="shared" si="69"/>
        <v>59.749291389555786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6.4444444444444446</v>
      </c>
      <c r="DO84" s="12">
        <f>IF('Données projet'!$A$166&gt;35,DO83+DN84-DW83,IF(A84&lt;'Données projet'!$A$166,$DL$205^A84,IF(A84='Données projet'!$A$166,'Données projet'!$B$166,DO83+DN84-DW83)))</f>
        <v>204.3333333333334</v>
      </c>
      <c r="DP84" s="17">
        <f>DO84*VLOOKUP('Données projet'!$B$14,Paramètres!$A$1:$I$89,3,0)*VLOOKUP('Données projet'!$B$14,Paramètres!$A$1:$I$89,5,0)</f>
        <v>207.1940000000001</v>
      </c>
      <c r="DQ84" s="13">
        <f t="shared" si="97"/>
        <v>51.32192486382565</v>
      </c>
      <c r="DR84" s="20">
        <f t="shared" si="70"/>
        <v>450.24856913782986</v>
      </c>
      <c r="DS84" s="59">
        <f t="shared" si="71"/>
        <v>743.58190247116318</v>
      </c>
      <c r="DT84" s="59">
        <f ca="1">AVERAGE(OFFSET($DS$3,0,0,'Données projet'!$E$14+1,1))-AVERAGE(OFFSET($H$3,0,0,'Données projet'!$E$14+1,1))</f>
        <v>313.90901812281373</v>
      </c>
      <c r="DU84" s="59">
        <f t="shared" si="98"/>
        <v>210.54265725995265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42.895482748154713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42.895482748154713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-5.6843418860808015E-14</v>
      </c>
      <c r="EK84" s="17">
        <f>EJ84*VLOOKUP('Données projet'!$B$15,Paramètres!$A$1:$I$89,3,0)*VLOOKUP('Données projet'!$B$15,Paramètres!$A$1:$I$89,5,0)</f>
        <v>-4.5224624045658861E-14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316.52407313312403</v>
      </c>
      <c r="EP84" s="59">
        <f t="shared" si="100"/>
        <v>340.55949748167382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142.31177281966239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142.31177281966239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-5.6843418860808015E-14</v>
      </c>
      <c r="FF84" s="17">
        <f>FE84*VLOOKUP('Données projet'!$B$16,Paramètres!$A$1:$I$89,3,0)*VLOOKUP('Données projet'!$B$16,Paramètres!$A$1:$I$89,5,0)</f>
        <v>-3.7243808037601412E-14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199.99826357281154</v>
      </c>
      <c r="FK84" s="59">
        <f t="shared" si="102"/>
        <v>214.67424457475136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61.542747021713936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61.542747021713936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284.60021367910457</v>
      </c>
      <c r="T85" s="59">
        <f t="shared" si="88"/>
        <v>301.41905904220812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143.78238509470543</v>
      </c>
      <c r="AA85" s="21">
        <f>EXP(-LN(2)/25)*AA84+(1-EXP(-LN(2)/25))/(LN(2)/25)*Calculateur!V85*Calculateur!X85*VLOOKUP('Données projet'!$B$9,Paramètres!$A$1:$I$89,3,0)*0.475*44/12</f>
        <v>29.111589484323474</v>
      </c>
      <c r="AB85" s="21">
        <f>EXP(-LN(2)/2)*AB84+(1-EXP(-LN(2)/2))/(LN(2)/2)*V85*Y85*VLOOKUP('Données projet'!$B$9,Paramètres!$A$1:$I$89,3,0)*0.475*44/12</f>
        <v>0.13885600682127286</v>
      </c>
      <c r="AC85" s="22">
        <f t="shared" si="57"/>
        <v>173.03283058585018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567</v>
      </c>
      <c r="AG85" s="12">
        <f>VLOOKUP(A85,'Données projet'!$A$61:$I$81,9,0)</f>
        <v>8.875</v>
      </c>
      <c r="AH85" s="12">
        <f t="array" ref="AH85">INDEX(AG:AG,MIN(IF(ISNUMBER(AG85:AG281),ROW(AG85:AG281),"")))</f>
        <v>8.875</v>
      </c>
      <c r="AI85" s="13">
        <f>IF('Données projet'!$A$62&gt;35,AI84+AH85-AQ84,IF(A85&lt;'Données projet'!$A$62,$AF$205^A85,IF(A85='Données projet'!$A$62,'Données projet'!$B$62,AI84+AH85-AQ84)))</f>
        <v>567</v>
      </c>
      <c r="AJ85" s="13">
        <f>AI85*VLOOKUP('Données projet'!$B$10,Paramètres!$A$1:$I$89,3,0)*VLOOKUP('Données projet'!$B$10,Paramètres!$A$1:$I$89,5,0)</f>
        <v>339.06600000000003</v>
      </c>
      <c r="AK85" s="13">
        <f t="shared" si="89"/>
        <v>79.30694522486489</v>
      </c>
      <c r="AL85" s="20">
        <f t="shared" si="58"/>
        <v>728.66621293330627</v>
      </c>
      <c r="AM85" s="59">
        <f t="shared" si="59"/>
        <v>1021.9995462666395</v>
      </c>
      <c r="AN85" s="59">
        <f ca="1">AVERAGE(OFFSET($AM$3,0,0,'Données projet'!$E$10+1,1))-AVERAGE(OFFSET($H$3,0,0,'Données projet'!$E$10+1,1))</f>
        <v>294.45857786714919</v>
      </c>
      <c r="AO85" s="59">
        <f t="shared" si="90"/>
        <v>221.9773436301067</v>
      </c>
      <c r="AP85" s="15" t="str">
        <f>IF(ISNA(VLOOKUP(A85,'Données projet'!$A$61:$I$81,3,0)),0,VLOOKUP(A85,'Données projet'!$A$61:$I$81,3,0))</f>
        <v>CR</v>
      </c>
      <c r="AQ85" s="15">
        <f>IF(ISNA(VLOOKUP(A85,'Données projet'!$A$61:$I$81,4,0)),0,VLOOKUP(A85,'Données projet'!$A$61:$I$81,4,0))</f>
        <v>567</v>
      </c>
      <c r="AR85" s="16">
        <f>IF(ISNA(VLOOKUP(A85,'Données projet'!$A$61:$I$81,5,0)),0%,VLOOKUP(A85,'Données projet'!$A$61:$I$81,5,0)*VLOOKUP('Données projet'!$B$10,Paramètres!$A$1:$I$89,7,0))</f>
        <v>0.315</v>
      </c>
      <c r="AS85" s="16">
        <f>IF(ISNA(VLOOKUP(A85,'Données projet'!$A$61:$I$81,6,0)),0%,VLOOKUP(A85,'Données projet'!$A$61:$I$81,6,0)*VLOOKUP('Données projet'!$B$10,Paramètres!$A$1:$I$89,7,0))</f>
        <v>7.5600000000000001E-2</v>
      </c>
      <c r="AT85" s="16">
        <f>IF(ISNA(VLOOKUP(A85,'Données projet'!$A$61:$I$81,7,0)),0%,VLOOKUP(A85,'Données projet'!$A$61:$I$81,7,0))</f>
        <v>0.13200000000000001</v>
      </c>
      <c r="AU85" s="21">
        <f>EXP(-LN(2)/35)*AU84+(1-EXP(-LN(2)/35))/(LN(2)/35)*AQ85*AR85*VLOOKUP('Données projet'!$B$10,Paramètres!$A$1:$I$89,3,0)*0.475*44/12</f>
        <v>198.38202968973749</v>
      </c>
      <c r="AV85" s="21">
        <f>EXP(-LN(2)/25)*AV84+(1-EXP(-LN(2)/25))/(LN(2)/25)*Calculateur!AQ85*Calculateur!AS85*VLOOKUP('Données projet'!$B$10,Paramètres!$A$1:$I$89,3,0)*0.475*44/12</f>
        <v>45.432497970563325</v>
      </c>
      <c r="AW85" s="21">
        <f>EXP(-LN(2)/2)*AW84+(1-EXP(-LN(2)/2))/(LN(2)/2)*AQ85*AT85*VLOOKUP('Données projet'!$B$10,Paramètres!$A$1:$I$89,3,0)*0.475*44/12</f>
        <v>50.906150780168772</v>
      </c>
      <c r="AX85" s="21">
        <f t="shared" si="60"/>
        <v>294.72067844046961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6.3550942286383367E-14</v>
      </c>
      <c r="BF85" s="13">
        <f t="shared" si="91"/>
        <v>1.0064464192543978E-12</v>
      </c>
      <c r="BG85" s="20">
        <f t="shared" si="61"/>
        <v>1.8635787380168604E-12</v>
      </c>
      <c r="BH85" s="59">
        <f t="shared" si="62"/>
        <v>293.33333333333519</v>
      </c>
      <c r="BI85" s="59">
        <f ca="1">AVERAGE(OFFSET($BH$3,0,0,'Données projet'!$E$11+1,1))-AVERAGE(OFFSET($H$3,0,0,'Données projet'!$E$11+1,1))</f>
        <v>304.91676868833792</v>
      </c>
      <c r="BJ85" s="59">
        <f t="shared" si="92"/>
        <v>365.95065044620048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142.08032737984968</v>
      </c>
      <c r="BQ85" s="21">
        <f>EXP(-LN(2)/25)*BQ84+(1-EXP(-LN(2)/25))/(LN(2)/25)*Calculateur!BL85*Calculateur!BN85*VLOOKUP('Données projet'!$B$11,Paramètres!$A$1:$I$89,3,0)*0.475*44/12</f>
        <v>28.274093776919749</v>
      </c>
      <c r="BR85" s="21">
        <f>EXP(-LN(2)/2)*BR84+(1-EXP(-LN(2)/2))/(LN(2)/2)*BL85*BO85*VLOOKUP('Données projet'!$B$11,Paramètres!$A$1:$I$89,3,0)*0.475*44/12</f>
        <v>2.3465858268471224E-2</v>
      </c>
      <c r="BS85" s="22">
        <f t="shared" si="63"/>
        <v>170.37788701503791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17.399999999999999</v>
      </c>
      <c r="BY85" s="12">
        <f>IF('Données projet'!$A$114&gt;35,BY84+BX85-CG84,IF(A85&lt;'Données projet'!$A$114,$BV$205^A85,IF(A85='Données projet'!$A$114,'Données projet'!$B$114,BY84+BX85-CG84)))</f>
        <v>476.79999999999984</v>
      </c>
      <c r="BZ85" s="13">
        <f>BY85*VLOOKUP('Données projet'!$B$12,Paramètres!$A$1:$I$89,3,0)*VLOOKUP('Données projet'!$B$12,Paramètres!$A$1:$I$89,5,0)</f>
        <v>223.14239999999992</v>
      </c>
      <c r="CA85" s="13">
        <f t="shared" si="93"/>
        <v>54.797306059198448</v>
      </c>
      <c r="CB85" s="20">
        <f t="shared" si="64"/>
        <v>484.07832138643715</v>
      </c>
      <c r="CC85" s="59">
        <f t="shared" si="65"/>
        <v>777.41165471977047</v>
      </c>
      <c r="CD85" s="59">
        <f ca="1">AVERAGE(OFFSET($CC$3,0,0,'Données projet'!$E$12+1,1))-AVERAGE(OFFSET($H$3,0,0,'Données projet'!$E$12+1,1))</f>
        <v>259.87681411271632</v>
      </c>
      <c r="CE85" s="59">
        <f t="shared" si="94"/>
        <v>191.8684235641158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73.672712783465741</v>
      </c>
      <c r="CL85" s="21">
        <f>EXP(-LN(2)/25)*CL84+(1-EXP(-LN(2)/25))/(LN(2)/25)*Calculateur!CG85*Calculateur!CI85*VLOOKUP('Données projet'!$B$12,Paramètres!$A$1:$I$89,3,0)*0.475*44/12</f>
        <v>16.781917643504045</v>
      </c>
      <c r="CM85" s="21">
        <f>EXP(-LN(2)/2)*CM84+(1-EXP(-LN(2)/2))/(LN(2)/2)*CG85*CJ85*VLOOKUP('Données projet'!$B$12,Paramètres!$A$1:$I$89,3,0)*0.475*44/12</f>
        <v>3.8937236402535529</v>
      </c>
      <c r="CN85" s="22">
        <f t="shared" si="66"/>
        <v>94.34835406722334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8.3000000000000007</v>
      </c>
      <c r="CT85" s="12">
        <f>IF('Données projet'!$A$140&gt;35,CT84+CS85-DB84,IF(A85&lt;'Données projet'!$A$140,$CQ$205^A85,IF(A85='Données projet'!$A$140,'Données projet'!$B$140,CT84+CS85-DB84)))</f>
        <v>259.92620799999992</v>
      </c>
      <c r="CU85" s="17">
        <f>CT85*VLOOKUP('Données projet'!$B$13,Paramètres!$A$1:$I$89,3,0)*VLOOKUP('Données projet'!$B$13,Paramètres!$A$1:$I$89,5,0)</f>
        <v>121.64546534399996</v>
      </c>
      <c r="CV85" s="13">
        <f t="shared" si="95"/>
        <v>32.058472341491694</v>
      </c>
      <c r="CW85" s="20">
        <f t="shared" si="67"/>
        <v>267.7010248022313</v>
      </c>
      <c r="CX85" s="59">
        <f t="shared" si="68"/>
        <v>561.03435813556462</v>
      </c>
      <c r="CY85" s="59">
        <f ca="1">AVERAGE(OFFSET($CX$3,0,0,'Données projet'!$E$13+1,1))-AVERAGE(OFFSET($H$3,0,0,'Données projet'!$E$13+1,1))</f>
        <v>137.59122085719031</v>
      </c>
      <c r="CZ85" s="59">
        <f t="shared" si="96"/>
        <v>130.1134470448718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45.248576840361515</v>
      </c>
      <c r="DG85" s="21">
        <f>EXP(-LN(2)/25)*DG84+(1-EXP(-LN(2)/25))/(LN(2)/25)*Calculateur!DB85*Calculateur!DD85*VLOOKUP('Données projet'!$B$13,Paramètres!$A$1:$I$89,3,0)*0.475*44/12</f>
        <v>10.209639448594515</v>
      </c>
      <c r="DH85" s="21">
        <f>EXP(-LN(2)/2)*DH84+(1-EXP(-LN(2)/2))/(LN(2)/2)*DB85*DE85*VLOOKUP('Données projet'!$B$13,Paramètres!$A$1:$I$89,3,0)*0.475*44/12</f>
        <v>2.191322999968119</v>
      </c>
      <c r="DI85" s="22">
        <f t="shared" si="69"/>
        <v>57.649539288924153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6.4444444444444446</v>
      </c>
      <c r="DO85" s="12">
        <f>IF('Données projet'!$A$166&gt;35,DO84+DN85-DW84,IF(A85&lt;'Données projet'!$A$166,$DL$205^A85,IF(A85='Données projet'!$A$166,'Données projet'!$B$166,DO84+DN85-DW84)))</f>
        <v>210.77777777777786</v>
      </c>
      <c r="DP85" s="17">
        <f>DO85*VLOOKUP('Données projet'!$B$14,Paramètres!$A$1:$I$89,3,0)*VLOOKUP('Données projet'!$B$14,Paramètres!$A$1:$I$89,5,0)</f>
        <v>213.72866666666678</v>
      </c>
      <c r="DQ85" s="13">
        <f t="shared" si="97"/>
        <v>52.749556688301304</v>
      </c>
      <c r="DR85" s="20">
        <f t="shared" si="70"/>
        <v>464.1162390099027</v>
      </c>
      <c r="DS85" s="59">
        <f t="shared" si="71"/>
        <v>757.44957234323601</v>
      </c>
      <c r="DT85" s="59">
        <f ca="1">AVERAGE(OFFSET($DS$3,0,0,'Données projet'!$E$14+1,1))-AVERAGE(OFFSET($H$3,0,0,'Données projet'!$E$14+1,1))</f>
        <v>313.90901812281373</v>
      </c>
      <c r="DU85" s="59">
        <f t="shared" si="98"/>
        <v>210.54265725995265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42.05432849512443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42.05432849512443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-5.6843418860808015E-14</v>
      </c>
      <c r="EK85" s="17">
        <f>EJ85*VLOOKUP('Données projet'!$B$15,Paramètres!$A$1:$I$89,3,0)*VLOOKUP('Données projet'!$B$15,Paramètres!$A$1:$I$89,5,0)</f>
        <v>-4.5224624045658861E-14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316.52407313312403</v>
      </c>
      <c r="EP85" s="59">
        <f t="shared" si="100"/>
        <v>340.55949748167382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139.52112575627928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139.52112575627928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-5.6843418860808015E-14</v>
      </c>
      <c r="FF85" s="17">
        <f>FE85*VLOOKUP('Données projet'!$B$16,Paramètres!$A$1:$I$89,3,0)*VLOOKUP('Données projet'!$B$16,Paramètres!$A$1:$I$89,5,0)</f>
        <v>-3.7243808037601412E-14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199.99826357281154</v>
      </c>
      <c r="FK85" s="59">
        <f t="shared" si="102"/>
        <v>214.67424457475136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60.3359312899873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60.3359312899873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284.60021367910457</v>
      </c>
      <c r="T86" s="59">
        <f t="shared" si="88"/>
        <v>301.41905904220812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140.96290022159366</v>
      </c>
      <c r="AA86" s="21">
        <f>EXP(-LN(2)/25)*AA85+(1-EXP(-LN(2)/25))/(LN(2)/25)*Calculateur!V86*Calculateur!X86*VLOOKUP('Données projet'!$B$9,Paramètres!$A$1:$I$89,3,0)*0.475*44/12</f>
        <v>28.315531538962695</v>
      </c>
      <c r="AB86" s="21">
        <f>EXP(-LN(2)/2)*AB85+(1-EXP(-LN(2)/2))/(LN(2)/2)*V86*Y86*VLOOKUP('Données projet'!$B$9,Paramètres!$A$1:$I$89,3,0)*0.475*44/12</f>
        <v>9.8186024031807539E-2</v>
      </c>
      <c r="AC86" s="22">
        <f t="shared" si="57"/>
        <v>169.37661778458815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294.45857786714919</v>
      </c>
      <c r="AO86" s="59">
        <f t="shared" si="90"/>
        <v>221.9773436301067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194.491879088612</v>
      </c>
      <c r="AV86" s="21">
        <f>EXP(-LN(2)/25)*AV85+(1-EXP(-LN(2)/25))/(LN(2)/25)*Calculateur!AQ86*Calculateur!AS86*VLOOKUP('Données projet'!$B$10,Paramètres!$A$1:$I$89,3,0)*0.475*44/12</f>
        <v>44.190143924367042</v>
      </c>
      <c r="AW86" s="21">
        <f>EXP(-LN(2)/2)*AW85+(1-EXP(-LN(2)/2))/(LN(2)/2)*AQ86*AT86*VLOOKUP('Données projet'!$B$10,Paramètres!$A$1:$I$89,3,0)*0.475*44/12</f>
        <v>35.996084420762202</v>
      </c>
      <c r="AX86" s="21">
        <f t="shared" si="60"/>
        <v>274.67810743374127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6.3550942286383367E-14</v>
      </c>
      <c r="BF86" s="13">
        <f t="shared" si="91"/>
        <v>1.0064464192543978E-12</v>
      </c>
      <c r="BG86" s="20">
        <f t="shared" si="61"/>
        <v>1.8635787380168604E-12</v>
      </c>
      <c r="BH86" s="59">
        <f t="shared" si="62"/>
        <v>293.33333333333519</v>
      </c>
      <c r="BI86" s="59">
        <f ca="1">AVERAGE(OFFSET($BH$3,0,0,'Données projet'!$E$11+1,1))-AVERAGE(OFFSET($H$3,0,0,'Données projet'!$E$11+1,1))</f>
        <v>304.91676868833792</v>
      </c>
      <c r="BJ86" s="59">
        <f t="shared" si="92"/>
        <v>365.95065044620048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139.29421882037352</v>
      </c>
      <c r="BQ86" s="21">
        <f>EXP(-LN(2)/25)*BQ85+(1-EXP(-LN(2)/25))/(LN(2)/25)*Calculateur!BL86*Calculateur!BN86*VLOOKUP('Données projet'!$B$11,Paramètres!$A$1:$I$89,3,0)*0.475*44/12</f>
        <v>27.500937195719906</v>
      </c>
      <c r="BR86" s="21">
        <f>EXP(-LN(2)/2)*BR85+(1-EXP(-LN(2)/2))/(LN(2)/2)*BL86*BO86*VLOOKUP('Données projet'!$B$11,Paramètres!$A$1:$I$89,3,0)*0.475*44/12</f>
        <v>1.6592867507998418E-2</v>
      </c>
      <c r="BS86" s="22">
        <f t="shared" si="63"/>
        <v>166.81174888360141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17.399999999999999</v>
      </c>
      <c r="BY86" s="12">
        <f>IF('Données projet'!$A$114&gt;35,BY85+BX86-CG85,IF(A86&lt;'Données projet'!$A$114,$BV$205^A86,IF(A86='Données projet'!$A$114,'Données projet'!$B$114,BY85+BX86-CG85)))</f>
        <v>494.19999999999982</v>
      </c>
      <c r="BZ86" s="13">
        <f>BY86*VLOOKUP('Données projet'!$B$12,Paramètres!$A$1:$I$89,3,0)*VLOOKUP('Données projet'!$B$12,Paramètres!$A$1:$I$89,5,0)</f>
        <v>231.2855999999999</v>
      </c>
      <c r="CA86" s="13">
        <f t="shared" si="93"/>
        <v>56.560568066643818</v>
      </c>
      <c r="CB86" s="20">
        <f t="shared" si="64"/>
        <v>501.33207604940441</v>
      </c>
      <c r="CC86" s="59">
        <f t="shared" si="65"/>
        <v>794.66540938273772</v>
      </c>
      <c r="CD86" s="59">
        <f ca="1">AVERAGE(OFFSET($CC$3,0,0,'Données projet'!$E$12+1,1))-AVERAGE(OFFSET($H$3,0,0,'Données projet'!$E$12+1,1))</f>
        <v>259.87681411271632</v>
      </c>
      <c r="CE86" s="59">
        <f t="shared" si="94"/>
        <v>191.8684235641158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72.22803582169972</v>
      </c>
      <c r="CL86" s="21">
        <f>EXP(-LN(2)/25)*CL85+(1-EXP(-LN(2)/25))/(LN(2)/25)*Calculateur!CG86*Calculateur!CI86*VLOOKUP('Données projet'!$B$12,Paramètres!$A$1:$I$89,3,0)*0.475*44/12</f>
        <v>16.323015223019734</v>
      </c>
      <c r="CM86" s="21">
        <f>EXP(-LN(2)/2)*CM85+(1-EXP(-LN(2)/2))/(LN(2)/2)*CG86*CJ86*VLOOKUP('Données projet'!$B$12,Paramètres!$A$1:$I$89,3,0)*0.475*44/12</f>
        <v>2.7532783900896565</v>
      </c>
      <c r="CN86" s="22">
        <f t="shared" si="66"/>
        <v>91.304329434809119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8.3000000000000007</v>
      </c>
      <c r="CT86" s="12">
        <f>IF('Données projet'!$A$140&gt;35,CT85+CS86-DB85,IF(A86&lt;'Données projet'!$A$140,$CQ$205^A86,IF(A86='Données projet'!$A$140,'Données projet'!$B$140,CT85+CS86-DB85)))</f>
        <v>268.22620799999993</v>
      </c>
      <c r="CU86" s="17">
        <f>CT86*VLOOKUP('Données projet'!$B$13,Paramètres!$A$1:$I$89,3,0)*VLOOKUP('Données projet'!$B$13,Paramètres!$A$1:$I$89,5,0)</f>
        <v>125.52986534399996</v>
      </c>
      <c r="CV86" s="13">
        <f t="shared" si="95"/>
        <v>32.961348397351031</v>
      </c>
      <c r="CW86" s="20">
        <f t="shared" si="67"/>
        <v>276.03886393285296</v>
      </c>
      <c r="CX86" s="59">
        <f t="shared" si="68"/>
        <v>569.37219726618628</v>
      </c>
      <c r="CY86" s="59">
        <f ca="1">AVERAGE(OFFSET($CX$3,0,0,'Données projet'!$E$13+1,1))-AVERAGE(OFFSET($H$3,0,0,'Données projet'!$E$13+1,1))</f>
        <v>137.59122085719031</v>
      </c>
      <c r="CZ86" s="59">
        <f t="shared" si="96"/>
        <v>130.1134470448718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44.361279847428733</v>
      </c>
      <c r="DG86" s="21">
        <f>EXP(-LN(2)/25)*DG85+(1-EXP(-LN(2)/25))/(LN(2)/25)*Calculateur!DB86*Calculateur!DD86*VLOOKUP('Données projet'!$B$13,Paramètres!$A$1:$I$89,3,0)*0.475*44/12</f>
        <v>9.9304563209710945</v>
      </c>
      <c r="DH86" s="21">
        <f>EXP(-LN(2)/2)*DH85+(1-EXP(-LN(2)/2))/(LN(2)/2)*DB86*DE86*VLOOKUP('Données projet'!$B$13,Paramètres!$A$1:$I$89,3,0)*0.475*44/12</f>
        <v>1.5494993530475056</v>
      </c>
      <c r="DI86" s="22">
        <f t="shared" si="69"/>
        <v>55.841235521447338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6.4444444444444446</v>
      </c>
      <c r="DO86" s="12">
        <f>IF('Données projet'!$A$166&gt;35,DO85+DN86-DW85,IF(A86&lt;'Données projet'!$A$166,$DL$205^A86,IF(A86='Données projet'!$A$166,'Données projet'!$B$166,DO85+DN86-DW85)))</f>
        <v>217.22222222222231</v>
      </c>
      <c r="DP86" s="17">
        <f>DO86*VLOOKUP('Données projet'!$B$14,Paramètres!$A$1:$I$89,3,0)*VLOOKUP('Données projet'!$B$14,Paramètres!$A$1:$I$89,5,0)</f>
        <v>220.26333333333346</v>
      </c>
      <c r="DQ86" s="13">
        <f t="shared" si="97"/>
        <v>54.172115934149581</v>
      </c>
      <c r="DR86" s="20">
        <f t="shared" si="70"/>
        <v>477.97507414086618</v>
      </c>
      <c r="DS86" s="59">
        <f t="shared" si="71"/>
        <v>771.3084074741995</v>
      </c>
      <c r="DT86" s="59">
        <f ca="1">AVERAGE(OFFSET($DS$3,0,0,'Données projet'!$E$14+1,1))-AVERAGE(OFFSET($H$3,0,0,'Données projet'!$E$14+1,1))</f>
        <v>313.90901812281373</v>
      </c>
      <c r="DU86" s="59">
        <f t="shared" si="98"/>
        <v>210.54265725995265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41.229668763942634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41.229668763942634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-5.6843418860808015E-14</v>
      </c>
      <c r="EK86" s="17">
        <f>EJ86*VLOOKUP('Données projet'!$B$15,Paramètres!$A$1:$I$89,3,0)*VLOOKUP('Données projet'!$B$15,Paramètres!$A$1:$I$89,5,0)</f>
        <v>-4.5224624045658861E-14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316.52407313312403</v>
      </c>
      <c r="EP86" s="59">
        <f t="shared" si="100"/>
        <v>340.55949748167382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136.78520157968248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136.78520157968248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-5.6843418860808015E-14</v>
      </c>
      <c r="FF86" s="17">
        <f>FE86*VLOOKUP('Données projet'!$B$16,Paramètres!$A$1:$I$89,3,0)*VLOOKUP('Données projet'!$B$16,Paramètres!$A$1:$I$89,5,0)</f>
        <v>-3.7243808037601412E-14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199.99826357281154</v>
      </c>
      <c r="FK86" s="59">
        <f t="shared" si="102"/>
        <v>214.67424457475136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59.152780478674913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59.152780478674913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284.60021367910457</v>
      </c>
      <c r="T87" s="59">
        <f t="shared" si="88"/>
        <v>301.41905904220812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138.19870372712762</v>
      </c>
      <c r="AA87" s="21">
        <f>EXP(-LN(2)/25)*AA86+(1-EXP(-LN(2)/25))/(LN(2)/25)*Calculateur!V87*Calculateur!X87*VLOOKUP('Données projet'!$B$9,Paramètres!$A$1:$I$89,3,0)*0.475*44/12</f>
        <v>27.541241839980671</v>
      </c>
      <c r="AB87" s="21">
        <f>EXP(-LN(2)/2)*AB86+(1-EXP(-LN(2)/2))/(LN(2)/2)*V87*Y87*VLOOKUP('Données projet'!$B$9,Paramètres!$A$1:$I$89,3,0)*0.475*44/12</f>
        <v>6.942800341063643E-2</v>
      </c>
      <c r="AC87" s="22">
        <f t="shared" si="57"/>
        <v>165.80937357051894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294.45857786714919</v>
      </c>
      <c r="AO87" s="59">
        <f t="shared" si="90"/>
        <v>221.9773436301067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190.67801196801699</v>
      </c>
      <c r="AV87" s="21">
        <f>EXP(-LN(2)/25)*AV86+(1-EXP(-LN(2)/25))/(LN(2)/25)*Calculateur!AQ87*Calculateur!AS87*VLOOKUP('Données projet'!$B$10,Paramètres!$A$1:$I$89,3,0)*0.475*44/12</f>
        <v>42.981762114896554</v>
      </c>
      <c r="AW87" s="21">
        <f>EXP(-LN(2)/2)*AW86+(1-EXP(-LN(2)/2))/(LN(2)/2)*AQ87*AT87*VLOOKUP('Données projet'!$B$10,Paramètres!$A$1:$I$89,3,0)*0.475*44/12</f>
        <v>25.453075390084393</v>
      </c>
      <c r="AX87" s="21">
        <f t="shared" si="60"/>
        <v>259.11284947299794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6.3550942286383367E-14</v>
      </c>
      <c r="BF87" s="13">
        <f t="shared" si="91"/>
        <v>1.0064464192543978E-12</v>
      </c>
      <c r="BG87" s="20">
        <f t="shared" si="61"/>
        <v>1.8635787380168604E-12</v>
      </c>
      <c r="BH87" s="59">
        <f t="shared" si="62"/>
        <v>293.33333333333519</v>
      </c>
      <c r="BI87" s="59">
        <f ca="1">AVERAGE(OFFSET($BH$3,0,0,'Données projet'!$E$11+1,1))-AVERAGE(OFFSET($H$3,0,0,'Données projet'!$E$11+1,1))</f>
        <v>304.91676868833792</v>
      </c>
      <c r="BJ87" s="59">
        <f t="shared" si="92"/>
        <v>365.95065044620048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136.56274415039027</v>
      </c>
      <c r="BQ87" s="21">
        <f>EXP(-LN(2)/25)*BQ86+(1-EXP(-LN(2)/25))/(LN(2)/25)*Calculateur!BL87*Calculateur!BN87*VLOOKUP('Données projet'!$B$11,Paramètres!$A$1:$I$89,3,0)*0.475*44/12</f>
        <v>26.748922621891513</v>
      </c>
      <c r="BR87" s="21">
        <f>EXP(-LN(2)/2)*BR86+(1-EXP(-LN(2)/2))/(LN(2)/2)*BL87*BO87*VLOOKUP('Données projet'!$B$11,Paramètres!$A$1:$I$89,3,0)*0.475*44/12</f>
        <v>1.1732929134235612E-2</v>
      </c>
      <c r="BS87" s="22">
        <f t="shared" si="63"/>
        <v>163.32339970141604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17.399999999999999</v>
      </c>
      <c r="BY87" s="12">
        <f>IF('Données projet'!$A$114&gt;35,BY86+BX87-CG86,IF(A87&lt;'Données projet'!$A$114,$BV$205^A87,IF(A87='Données projet'!$A$114,'Données projet'!$B$114,BY86+BX87-CG86)))</f>
        <v>511.5999999999998</v>
      </c>
      <c r="BZ87" s="13">
        <f>BY87*VLOOKUP('Données projet'!$B$12,Paramètres!$A$1:$I$89,3,0)*VLOOKUP('Données projet'!$B$12,Paramètres!$A$1:$I$89,5,0)</f>
        <v>239.42879999999991</v>
      </c>
      <c r="CA87" s="13">
        <f t="shared" si="93"/>
        <v>58.316616981453002</v>
      </c>
      <c r="CB87" s="20">
        <f t="shared" si="64"/>
        <v>518.57326790936384</v>
      </c>
      <c r="CC87" s="59">
        <f t="shared" si="65"/>
        <v>811.90660124269721</v>
      </c>
      <c r="CD87" s="59">
        <f ca="1">AVERAGE(OFFSET($CC$3,0,0,'Données projet'!$E$12+1,1))-AVERAGE(OFFSET($H$3,0,0,'Données projet'!$E$12+1,1))</f>
        <v>259.87681411271632</v>
      </c>
      <c r="CE87" s="59">
        <f t="shared" si="94"/>
        <v>191.8684235641158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70.811688093987996</v>
      </c>
      <c r="CL87" s="21">
        <f>EXP(-LN(2)/25)*CL86+(1-EXP(-LN(2)/25))/(LN(2)/25)*Calculateur!CG87*Calculateur!CI87*VLOOKUP('Données projet'!$B$12,Paramètres!$A$1:$I$89,3,0)*0.475*44/12</f>
        <v>15.876661513356195</v>
      </c>
      <c r="CM87" s="21">
        <f>EXP(-LN(2)/2)*CM86+(1-EXP(-LN(2)/2))/(LN(2)/2)*CG87*CJ87*VLOOKUP('Données projet'!$B$12,Paramètres!$A$1:$I$89,3,0)*0.475*44/12</f>
        <v>1.9468618201267767</v>
      </c>
      <c r="CN87" s="22">
        <f t="shared" si="66"/>
        <v>88.635211427470963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8.3000000000000007</v>
      </c>
      <c r="CT87" s="12">
        <f>IF('Données projet'!$A$140&gt;35,CT86+CS87-DB86,IF(A87&lt;'Données projet'!$A$140,$CQ$205^A87,IF(A87='Données projet'!$A$140,'Données projet'!$B$140,CT86+CS87-DB86)))</f>
        <v>276.52620799999994</v>
      </c>
      <c r="CU87" s="17">
        <f>CT87*VLOOKUP('Données projet'!$B$13,Paramètres!$A$1:$I$89,3,0)*VLOOKUP('Données projet'!$B$13,Paramètres!$A$1:$I$89,5,0)</f>
        <v>129.41426534399997</v>
      </c>
      <c r="CV87" s="13">
        <f t="shared" si="95"/>
        <v>33.860977699635647</v>
      </c>
      <c r="CW87" s="20">
        <f t="shared" si="67"/>
        <v>284.37104830099867</v>
      </c>
      <c r="CX87" s="59">
        <f t="shared" si="68"/>
        <v>577.70438163433198</v>
      </c>
      <c r="CY87" s="59">
        <f ca="1">AVERAGE(OFFSET($CX$3,0,0,'Données projet'!$E$13+1,1))-AVERAGE(OFFSET($H$3,0,0,'Données projet'!$E$13+1,1))</f>
        <v>137.59122085719031</v>
      </c>
      <c r="CZ87" s="59">
        <f t="shared" si="96"/>
        <v>130.1134470448718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43.491382207329636</v>
      </c>
      <c r="DG87" s="21">
        <f>EXP(-LN(2)/25)*DG86+(1-EXP(-LN(2)/25))/(LN(2)/25)*Calculateur!DB87*Calculateur!DD87*VLOOKUP('Données projet'!$B$13,Paramètres!$A$1:$I$89,3,0)*0.475*44/12</f>
        <v>9.6589074706541389</v>
      </c>
      <c r="DH87" s="21">
        <f>EXP(-LN(2)/2)*DH86+(1-EXP(-LN(2)/2))/(LN(2)/2)*DB87*DE87*VLOOKUP('Données projet'!$B$13,Paramètres!$A$1:$I$89,3,0)*0.475*44/12</f>
        <v>1.0956614999840595</v>
      </c>
      <c r="DI87" s="22">
        <f t="shared" si="69"/>
        <v>54.245951177967839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6.4444444444444446</v>
      </c>
      <c r="DO87" s="12">
        <f>IF('Données projet'!$A$166&gt;35,DO86+DN87-DW86,IF(A87&lt;'Données projet'!$A$166,$DL$205^A87,IF(A87='Données projet'!$A$166,'Données projet'!$B$166,DO86+DN87-DW86)))</f>
        <v>223.66666666666677</v>
      </c>
      <c r="DP87" s="17">
        <f>DO87*VLOOKUP('Données projet'!$B$14,Paramètres!$A$1:$I$89,3,0)*VLOOKUP('Données projet'!$B$14,Paramètres!$A$1:$I$89,5,0)</f>
        <v>226.79800000000012</v>
      </c>
      <c r="DQ87" s="13">
        <f t="shared" si="97"/>
        <v>55.589770369467921</v>
      </c>
      <c r="DR87" s="20">
        <f t="shared" si="70"/>
        <v>491.82536672682346</v>
      </c>
      <c r="DS87" s="59">
        <f t="shared" si="71"/>
        <v>785.15870006015678</v>
      </c>
      <c r="DT87" s="59">
        <f ca="1">AVERAGE(OFFSET($DS$3,0,0,'Données projet'!$E$14+1,1))-AVERAGE(OFFSET($H$3,0,0,'Données projet'!$E$14+1,1))</f>
        <v>313.90901812281373</v>
      </c>
      <c r="DU87" s="59">
        <f t="shared" si="98"/>
        <v>210.54265725995265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40.421180107096546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40.421180107096546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-5.6843418860808015E-14</v>
      </c>
      <c r="EK87" s="17">
        <f>EJ87*VLOOKUP('Données projet'!$B$15,Paramètres!$A$1:$I$89,3,0)*VLOOKUP('Données projet'!$B$15,Paramètres!$A$1:$I$89,5,0)</f>
        <v>-4.5224624045658861E-14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316.52407313312403</v>
      </c>
      <c r="EP87" s="59">
        <f t="shared" si="100"/>
        <v>340.55949748167382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134.10292720743976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134.10292720743976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-5.6843418860808015E-14</v>
      </c>
      <c r="FF87" s="17">
        <f>FE87*VLOOKUP('Données projet'!$B$16,Paramètres!$A$1:$I$89,3,0)*VLOOKUP('Données projet'!$B$16,Paramètres!$A$1:$I$89,5,0)</f>
        <v>-3.7243808037601412E-14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199.99826357281154</v>
      </c>
      <c r="FK87" s="59">
        <f t="shared" si="102"/>
        <v>214.67424457475136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57.992830533121619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57.992830533121619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284.60021367910457</v>
      </c>
      <c r="T88" s="59">
        <f t="shared" si="88"/>
        <v>301.41905904220812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135.48871143992469</v>
      </c>
      <c r="AA88" s="21">
        <f>EXP(-LN(2)/25)*AA87+(1-EXP(-LN(2)/25))/(LN(2)/25)*Calculateur!V88*Calculateur!X88*VLOOKUP('Données projet'!$B$9,Paramètres!$A$1:$I$89,3,0)*0.475*44/12</f>
        <v>26.788125133535438</v>
      </c>
      <c r="AB88" s="21">
        <f>EXP(-LN(2)/2)*AB87+(1-EXP(-LN(2)/2))/(LN(2)/2)*V88*Y88*VLOOKUP('Données projet'!$B$9,Paramètres!$A$1:$I$89,3,0)*0.475*44/12</f>
        <v>4.909301201590377E-2</v>
      </c>
      <c r="AC88" s="22">
        <f t="shared" si="57"/>
        <v>162.32592958547602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294.45857786714919</v>
      </c>
      <c r="AO88" s="59">
        <f t="shared" si="90"/>
        <v>221.9773436301067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186.93893245542759</v>
      </c>
      <c r="AV88" s="21">
        <f>EXP(-LN(2)/25)*AV87+(1-EXP(-LN(2)/25))/(LN(2)/25)*Calculateur!AQ88*Calculateur!AS88*VLOOKUP('Données projet'!$B$10,Paramètres!$A$1:$I$89,3,0)*0.475*44/12</f>
        <v>41.806423569552074</v>
      </c>
      <c r="AW88" s="21">
        <f>EXP(-LN(2)/2)*AW87+(1-EXP(-LN(2)/2))/(LN(2)/2)*AQ88*AT88*VLOOKUP('Données projet'!$B$10,Paramètres!$A$1:$I$89,3,0)*0.475*44/12</f>
        <v>17.998042210381104</v>
      </c>
      <c r="AX88" s="21">
        <f t="shared" si="60"/>
        <v>246.74339823536076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6.3550942286383367E-14</v>
      </c>
      <c r="BF88" s="13">
        <f t="shared" si="91"/>
        <v>1.0064464192543978E-12</v>
      </c>
      <c r="BG88" s="20">
        <f t="shared" si="61"/>
        <v>1.8635787380168604E-12</v>
      </c>
      <c r="BH88" s="59">
        <f t="shared" si="62"/>
        <v>293.33333333333519</v>
      </c>
      <c r="BI88" s="59">
        <f ca="1">AVERAGE(OFFSET($BH$3,0,0,'Données projet'!$E$11+1,1))-AVERAGE(OFFSET($H$3,0,0,'Données projet'!$E$11+1,1))</f>
        <v>304.91676868833792</v>
      </c>
      <c r="BJ88" s="59">
        <f t="shared" si="92"/>
        <v>365.95065044620048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133.88483203265034</v>
      </c>
      <c r="BQ88" s="21">
        <f>EXP(-LN(2)/25)*BQ87+(1-EXP(-LN(2)/25))/(LN(2)/25)*Calculateur!BL88*Calculateur!BN88*VLOOKUP('Données projet'!$B$11,Paramètres!$A$1:$I$89,3,0)*0.475*44/12</f>
        <v>26.017471926131183</v>
      </c>
      <c r="BR88" s="21">
        <f>EXP(-LN(2)/2)*BR87+(1-EXP(-LN(2)/2))/(LN(2)/2)*BL88*BO88*VLOOKUP('Données projet'!$B$11,Paramètres!$A$1:$I$89,3,0)*0.475*44/12</f>
        <v>8.2964337539992092E-3</v>
      </c>
      <c r="BS88" s="22">
        <f t="shared" si="63"/>
        <v>159.91060039253551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17.399999999999999</v>
      </c>
      <c r="BY88" s="12">
        <f>IF('Données projet'!$A$114&gt;35,BY87+BX88-CG87,IF(A88&lt;'Données projet'!$A$114,$BV$205^A88,IF(A88='Données projet'!$A$114,'Données projet'!$B$114,BY87+BX88-CG87)))</f>
        <v>528.99999999999977</v>
      </c>
      <c r="BZ88" s="13">
        <f>BY88*VLOOKUP('Données projet'!$B$12,Paramètres!$A$1:$I$89,3,0)*VLOOKUP('Données projet'!$B$12,Paramètres!$A$1:$I$89,5,0)</f>
        <v>247.57199999999989</v>
      </c>
      <c r="CA88" s="13">
        <f t="shared" si="93"/>
        <v>60.065726249156526</v>
      </c>
      <c r="CB88" s="20">
        <f t="shared" si="64"/>
        <v>535.80237321728066</v>
      </c>
      <c r="CC88" s="59">
        <f t="shared" si="65"/>
        <v>829.13570655061403</v>
      </c>
      <c r="CD88" s="59">
        <f ca="1">AVERAGE(OFFSET($CC$3,0,0,'Données projet'!$E$12+1,1))-AVERAGE(OFFSET($H$3,0,0,'Données projet'!$E$12+1,1))</f>
        <v>259.87681411271632</v>
      </c>
      <c r="CE88" s="59">
        <f t="shared" si="94"/>
        <v>191.8684235641158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69.423114081329885</v>
      </c>
      <c r="CL88" s="21">
        <f>EXP(-LN(2)/25)*CL87+(1-EXP(-LN(2)/25))/(LN(2)/25)*Calculateur!CG88*Calculateur!CI88*VLOOKUP('Données projet'!$B$12,Paramètres!$A$1:$I$89,3,0)*0.475*44/12</f>
        <v>15.442513369356128</v>
      </c>
      <c r="CM88" s="21">
        <f>EXP(-LN(2)/2)*CM87+(1-EXP(-LN(2)/2))/(LN(2)/2)*CG88*CJ88*VLOOKUP('Données projet'!$B$12,Paramètres!$A$1:$I$89,3,0)*0.475*44/12</f>
        <v>1.3766391950448285</v>
      </c>
      <c r="CN88" s="22">
        <f t="shared" si="66"/>
        <v>86.242266645730851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8.3000000000000007</v>
      </c>
      <c r="CT88" s="12">
        <f>IF('Données projet'!$A$140&gt;35,CT87+CS88-DB87,IF(A88&lt;'Données projet'!$A$140,$CQ$205^A88,IF(A88='Données projet'!$A$140,'Données projet'!$B$140,CT87+CS88-DB87)))</f>
        <v>284.82620799999995</v>
      </c>
      <c r="CU88" s="17">
        <f>CT88*VLOOKUP('Données projet'!$B$13,Paramètres!$A$1:$I$89,3,0)*VLOOKUP('Données projet'!$B$13,Paramètres!$A$1:$I$89,5,0)</f>
        <v>133.29866534399997</v>
      </c>
      <c r="CV88" s="13">
        <f t="shared" si="95"/>
        <v>34.757468887097112</v>
      </c>
      <c r="CW88" s="20">
        <f t="shared" si="67"/>
        <v>292.69776711916074</v>
      </c>
      <c r="CX88" s="59">
        <f t="shared" si="68"/>
        <v>586.031100452494</v>
      </c>
      <c r="CY88" s="59">
        <f ca="1">AVERAGE(OFFSET($CX$3,0,0,'Données projet'!$E$13+1,1))-AVERAGE(OFFSET($H$3,0,0,'Données projet'!$E$13+1,1))</f>
        <v>137.59122085719031</v>
      </c>
      <c r="CZ88" s="59">
        <f t="shared" si="96"/>
        <v>130.1134470448718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42.638542729367714</v>
      </c>
      <c r="DG88" s="21">
        <f>EXP(-LN(2)/25)*DG87+(1-EXP(-LN(2)/25))/(LN(2)/25)*Calculateur!DB88*Calculateur!DD88*VLOOKUP('Données projet'!$B$13,Paramètres!$A$1:$I$89,3,0)*0.475*44/12</f>
        <v>9.3947841379292338</v>
      </c>
      <c r="DH88" s="21">
        <f>EXP(-LN(2)/2)*DH87+(1-EXP(-LN(2)/2))/(LN(2)/2)*DB88*DE88*VLOOKUP('Données projet'!$B$13,Paramètres!$A$1:$I$89,3,0)*0.475*44/12</f>
        <v>0.77474967652375282</v>
      </c>
      <c r="DI88" s="22">
        <f t="shared" si="69"/>
        <v>52.808076543820704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6.4444444444444446</v>
      </c>
      <c r="DO88" s="12">
        <f>IF('Données projet'!$A$166&gt;35,DO87+DN88-DW87,IF(A88&lt;'Données projet'!$A$166,$DL$205^A88,IF(A88='Données projet'!$A$166,'Données projet'!$B$166,DO87+DN88-DW87)))</f>
        <v>230.11111111111123</v>
      </c>
      <c r="DP88" s="17">
        <f>DO88*VLOOKUP('Données projet'!$B$14,Paramètres!$A$1:$I$89,3,0)*VLOOKUP('Données projet'!$B$14,Paramètres!$A$1:$I$89,5,0)</f>
        <v>233.3326666666668</v>
      </c>
      <c r="DQ88" s="13">
        <f t="shared" si="97"/>
        <v>57.002677544840836</v>
      </c>
      <c r="DR88" s="20">
        <f t="shared" si="70"/>
        <v>505.66739116837579</v>
      </c>
      <c r="DS88" s="59">
        <f t="shared" si="71"/>
        <v>799.0007245017091</v>
      </c>
      <c r="DT88" s="59">
        <f ca="1">AVERAGE(OFFSET($DS$3,0,0,'Données projet'!$E$14+1,1))-AVERAGE(OFFSET($H$3,0,0,'Données projet'!$E$14+1,1))</f>
        <v>313.90901812281373</v>
      </c>
      <c r="DU88" s="59">
        <f t="shared" si="98"/>
        <v>210.54265725995265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39.628545419681821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39.628545419681821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-5.6843418860808015E-14</v>
      </c>
      <c r="EK88" s="17">
        <f>EJ88*VLOOKUP('Données projet'!$B$15,Paramètres!$A$1:$I$89,3,0)*VLOOKUP('Données projet'!$B$15,Paramètres!$A$1:$I$89,5,0)</f>
        <v>-4.5224624045658861E-14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316.52407313312403</v>
      </c>
      <c r="EP88" s="59">
        <f t="shared" si="100"/>
        <v>340.55949748167382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131.47325059961091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131.47325059961091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-5.6843418860808015E-14</v>
      </c>
      <c r="FF88" s="17">
        <f>FE88*VLOOKUP('Données projet'!$B$16,Paramètres!$A$1:$I$89,3,0)*VLOOKUP('Données projet'!$B$16,Paramètres!$A$1:$I$89,5,0)</f>
        <v>-3.7243808037601412E-14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199.99826357281154</v>
      </c>
      <c r="FK88" s="59">
        <f t="shared" si="102"/>
        <v>214.67424457475136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56.855626498501024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56.855626498501024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284.60021367910457</v>
      </c>
      <c r="T89" s="59">
        <f t="shared" si="88"/>
        <v>301.41905904220812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132.83186044854173</v>
      </c>
      <c r="AA89" s="21">
        <f>EXP(-LN(2)/25)*AA88+(1-EXP(-LN(2)/25))/(LN(2)/25)*Calculateur!V89*Calculateur!X89*VLOOKUP('Données projet'!$B$9,Paramètres!$A$1:$I$89,3,0)*0.475*44/12</f>
        <v>26.055602443032637</v>
      </c>
      <c r="AB89" s="21">
        <f>EXP(-LN(2)/2)*AB88+(1-EXP(-LN(2)/2))/(LN(2)/2)*V89*Y89*VLOOKUP('Données projet'!$B$9,Paramètres!$A$1:$I$89,3,0)*0.475*44/12</f>
        <v>3.4714001705318215E-2</v>
      </c>
      <c r="AC89" s="22">
        <f t="shared" si="57"/>
        <v>158.92217689327967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294.45857786714919</v>
      </c>
      <c r="AO89" s="59">
        <f t="shared" si="90"/>
        <v>221.9773436301067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183.27317401146678</v>
      </c>
      <c r="AV89" s="21">
        <f>EXP(-LN(2)/25)*AV88+(1-EXP(-LN(2)/25))/(LN(2)/25)*Calculateur!AQ89*Calculateur!AS89*VLOOKUP('Données projet'!$B$10,Paramètres!$A$1:$I$89,3,0)*0.475*44/12</f>
        <v>40.663224718538409</v>
      </c>
      <c r="AW89" s="21">
        <f>EXP(-LN(2)/2)*AW88+(1-EXP(-LN(2)/2))/(LN(2)/2)*AQ89*AT89*VLOOKUP('Données projet'!$B$10,Paramètres!$A$1:$I$89,3,0)*0.475*44/12</f>
        <v>12.726537695042198</v>
      </c>
      <c r="AX89" s="21">
        <f t="shared" si="60"/>
        <v>236.66293642504738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6.3550942286383367E-14</v>
      </c>
      <c r="BF89" s="13">
        <f t="shared" si="91"/>
        <v>1.0064464192543978E-12</v>
      </c>
      <c r="BG89" s="20">
        <f t="shared" si="61"/>
        <v>1.8635787380168604E-12</v>
      </c>
      <c r="BH89" s="59">
        <f t="shared" si="62"/>
        <v>293.33333333333519</v>
      </c>
      <c r="BI89" s="59">
        <f ca="1">AVERAGE(OFFSET($BH$3,0,0,'Données projet'!$E$11+1,1))-AVERAGE(OFFSET($H$3,0,0,'Données projet'!$E$11+1,1))</f>
        <v>304.91676868833792</v>
      </c>
      <c r="BJ89" s="59">
        <f t="shared" si="92"/>
        <v>365.95065044620048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131.25943213817419</v>
      </c>
      <c r="BQ89" s="21">
        <f>EXP(-LN(2)/25)*BQ88+(1-EXP(-LN(2)/25))/(LN(2)/25)*Calculateur!BL89*Calculateur!BN89*VLOOKUP('Données projet'!$B$11,Paramètres!$A$1:$I$89,3,0)*0.475*44/12</f>
        <v>25.30602278811174</v>
      </c>
      <c r="BR89" s="21">
        <f>EXP(-LN(2)/2)*BR88+(1-EXP(-LN(2)/2))/(LN(2)/2)*BL89*BO89*VLOOKUP('Données projet'!$B$11,Paramètres!$A$1:$I$89,3,0)*0.475*44/12</f>
        <v>5.8664645671178059E-3</v>
      </c>
      <c r="BS89" s="22">
        <f t="shared" si="63"/>
        <v>156.57132139085303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17.399999999999999</v>
      </c>
      <c r="BY89" s="12">
        <f>IF('Données projet'!$A$114&gt;35,BY88+BX89-CG88,IF(A89&lt;'Données projet'!$A$114,$BV$205^A89,IF(A89='Données projet'!$A$114,'Données projet'!$B$114,BY88+BX89-CG88)))</f>
        <v>546.39999999999975</v>
      </c>
      <c r="BZ89" s="13">
        <f>BY89*VLOOKUP('Données projet'!$B$12,Paramètres!$A$1:$I$89,3,0)*VLOOKUP('Données projet'!$B$12,Paramètres!$A$1:$I$89,5,0)</f>
        <v>255.71519999999987</v>
      </c>
      <c r="CA89" s="13">
        <f t="shared" si="93"/>
        <v>61.808150305854021</v>
      </c>
      <c r="CB89" s="20">
        <f t="shared" si="64"/>
        <v>553.01983511602884</v>
      </c>
      <c r="CC89" s="59">
        <f t="shared" si="65"/>
        <v>846.3531684493621</v>
      </c>
      <c r="CD89" s="59">
        <f ca="1">AVERAGE(OFFSET($CC$3,0,0,'Données projet'!$E$12+1,1))-AVERAGE(OFFSET($H$3,0,0,'Données projet'!$E$12+1,1))</f>
        <v>259.87681411271632</v>
      </c>
      <c r="CE89" s="59">
        <f t="shared" si="94"/>
        <v>191.8684235641158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68.061769158113478</v>
      </c>
      <c r="CL89" s="21">
        <f>EXP(-LN(2)/25)*CL88+(1-EXP(-LN(2)/25))/(LN(2)/25)*Calculateur!CG89*Calculateur!CI89*VLOOKUP('Données projet'!$B$12,Paramètres!$A$1:$I$89,3,0)*0.475*44/12</f>
        <v>15.020237029184601</v>
      </c>
      <c r="CM89" s="21">
        <f>EXP(-LN(2)/2)*CM88+(1-EXP(-LN(2)/2))/(LN(2)/2)*CG89*CJ89*VLOOKUP('Données projet'!$B$12,Paramètres!$A$1:$I$89,3,0)*0.475*44/12</f>
        <v>0.97343091006338855</v>
      </c>
      <c r="CN89" s="22">
        <f t="shared" si="66"/>
        <v>84.055437097361462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8.3000000000000007</v>
      </c>
      <c r="CT89" s="12">
        <f>IF('Données projet'!$A$140&gt;35,CT88+CS89-DB88,IF(A89&lt;'Données projet'!$A$140,$CQ$205^A89,IF(A89='Données projet'!$A$140,'Données projet'!$B$140,CT88+CS89-DB88)))</f>
        <v>293.12620799999996</v>
      </c>
      <c r="CU89" s="17">
        <f>CT89*VLOOKUP('Données projet'!$B$13,Paramètres!$A$1:$I$89,3,0)*VLOOKUP('Données projet'!$B$13,Paramètres!$A$1:$I$89,5,0)</f>
        <v>137.18306534399997</v>
      </c>
      <c r="CV89" s="13">
        <f t="shared" si="95"/>
        <v>35.650923906879761</v>
      </c>
      <c r="CW89" s="20">
        <f t="shared" si="67"/>
        <v>301.0191979452822</v>
      </c>
      <c r="CX89" s="59">
        <f t="shared" si="68"/>
        <v>594.35253127861552</v>
      </c>
      <c r="CY89" s="59">
        <f ca="1">AVERAGE(OFFSET($CX$3,0,0,'Données projet'!$E$13+1,1))-AVERAGE(OFFSET($H$3,0,0,'Données projet'!$E$13+1,1))</f>
        <v>137.59122085719031</v>
      </c>
      <c r="CZ89" s="59">
        <f t="shared" si="96"/>
        <v>130.1134470448718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41.802426913387905</v>
      </c>
      <c r="DG89" s="21">
        <f>EXP(-LN(2)/25)*DG88+(1-EXP(-LN(2)/25))/(LN(2)/25)*Calculateur!DB89*Calculateur!DD89*VLOOKUP('Données projet'!$B$13,Paramètres!$A$1:$I$89,3,0)*0.475*44/12</f>
        <v>9.1378832716273326</v>
      </c>
      <c r="DH89" s="21">
        <f>EXP(-LN(2)/2)*DH88+(1-EXP(-LN(2)/2))/(LN(2)/2)*DB89*DE89*VLOOKUP('Données projet'!$B$13,Paramètres!$A$1:$I$89,3,0)*0.475*44/12</f>
        <v>0.54783074999202974</v>
      </c>
      <c r="DI89" s="22">
        <f t="shared" si="69"/>
        <v>51.488140935007266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6.4444444444444446</v>
      </c>
      <c r="DO89" s="12">
        <f>IF('Données projet'!$A$166&gt;35,DO88+DN89-DW88,IF(A89&lt;'Données projet'!$A$166,$DL$205^A89,IF(A89='Données projet'!$A$166,'Données projet'!$B$166,DO88+DN89-DW88)))</f>
        <v>236.55555555555569</v>
      </c>
      <c r="DP89" s="17">
        <f>DO89*VLOOKUP('Données projet'!$B$14,Paramètres!$A$1:$I$89,3,0)*VLOOKUP('Données projet'!$B$14,Paramètres!$A$1:$I$89,5,0)</f>
        <v>239.86733333333348</v>
      </c>
      <c r="DQ89" s="13">
        <f t="shared" si="97"/>
        <v>58.41098568411676</v>
      </c>
      <c r="DR89" s="20">
        <f t="shared" si="70"/>
        <v>519.50140562205922</v>
      </c>
      <c r="DS89" s="59">
        <f t="shared" si="71"/>
        <v>812.8347389553926</v>
      </c>
      <c r="DT89" s="59">
        <f ca="1">AVERAGE(OFFSET($DS$3,0,0,'Données projet'!$E$14+1,1))-AVERAGE(OFFSET($H$3,0,0,'Données projet'!$E$14+1,1))</f>
        <v>313.90901812281373</v>
      </c>
      <c r="DU89" s="59">
        <f t="shared" si="98"/>
        <v>210.54265725995265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38.851453815027874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38.851453815027874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-5.6843418860808015E-14</v>
      </c>
      <c r="EK89" s="17">
        <f>EJ89*VLOOKUP('Données projet'!$B$15,Paramètres!$A$1:$I$89,3,0)*VLOOKUP('Données projet'!$B$15,Paramètres!$A$1:$I$89,5,0)</f>
        <v>-4.5224624045658861E-14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316.52407313312403</v>
      </c>
      <c r="EP89" s="59">
        <f t="shared" si="100"/>
        <v>340.55949748167382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128.89514034611722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128.89514034611722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-5.6843418860808015E-14</v>
      </c>
      <c r="FF89" s="17">
        <f>FE89*VLOOKUP('Données projet'!$B$16,Paramètres!$A$1:$I$89,3,0)*VLOOKUP('Données projet'!$B$16,Paramètres!$A$1:$I$89,5,0)</f>
        <v>-3.7243808037601412E-14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199.99826357281154</v>
      </c>
      <c r="FK89" s="59">
        <f t="shared" si="102"/>
        <v>214.67424457475136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55.740722341373363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55.740722341373363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284.60021367910457</v>
      </c>
      <c r="T90" s="59">
        <f t="shared" si="88"/>
        <v>301.41905904220812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130.22710868458068</v>
      </c>
      <c r="AA90" s="21">
        <f>EXP(-LN(2)/25)*AA89+(1-EXP(-LN(2)/25))/(LN(2)/25)*Calculateur!V90*Calculateur!X90*VLOOKUP('Données projet'!$B$9,Paramètres!$A$1:$I$89,3,0)*0.475*44/12</f>
        <v>25.343110624023328</v>
      </c>
      <c r="AB90" s="21">
        <f>EXP(-LN(2)/2)*AB89+(1-EXP(-LN(2)/2))/(LN(2)/2)*V90*Y90*VLOOKUP('Données projet'!$B$9,Paramètres!$A$1:$I$89,3,0)*0.475*44/12</f>
        <v>2.4546506007951885E-2</v>
      </c>
      <c r="AC90" s="22">
        <f t="shared" si="57"/>
        <v>155.59476581461197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294.45857786714919</v>
      </c>
      <c r="AO90" s="59">
        <f t="shared" si="90"/>
        <v>221.9773436301067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179.67929885470016</v>
      </c>
      <c r="AV90" s="21">
        <f>EXP(-LN(2)/25)*AV89+(1-EXP(-LN(2)/25))/(LN(2)/25)*Calculateur!AQ90*Calculateur!AS90*VLOOKUP('Données projet'!$B$10,Paramètres!$A$1:$I$89,3,0)*0.475*44/12</f>
        <v>39.551286700223926</v>
      </c>
      <c r="AW90" s="21">
        <f>EXP(-LN(2)/2)*AW89+(1-EXP(-LN(2)/2))/(LN(2)/2)*AQ90*AT90*VLOOKUP('Données projet'!$B$10,Paramètres!$A$1:$I$89,3,0)*0.475*44/12</f>
        <v>8.999021105190554</v>
      </c>
      <c r="AX90" s="21">
        <f t="shared" si="60"/>
        <v>228.22960666011465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6.3550942286383367E-14</v>
      </c>
      <c r="BF90" s="13">
        <f t="shared" si="91"/>
        <v>1.0064464192543978E-12</v>
      </c>
      <c r="BG90" s="20">
        <f t="shared" si="61"/>
        <v>1.8635787380168604E-12</v>
      </c>
      <c r="BH90" s="59">
        <f t="shared" si="62"/>
        <v>293.33333333333519</v>
      </c>
      <c r="BI90" s="59">
        <f ca="1">AVERAGE(OFFSET($BH$3,0,0,'Données projet'!$E$11+1,1))-AVERAGE(OFFSET($H$3,0,0,'Données projet'!$E$11+1,1))</f>
        <v>304.91676868833792</v>
      </c>
      <c r="BJ90" s="59">
        <f t="shared" si="92"/>
        <v>365.95065044620048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128.68551473429289</v>
      </c>
      <c r="BQ90" s="21">
        <f>EXP(-LN(2)/25)*BQ89+(1-EXP(-LN(2)/25))/(LN(2)/25)*Calculateur!BL90*Calculateur!BN90*VLOOKUP('Données projet'!$B$11,Paramètres!$A$1:$I$89,3,0)*0.475*44/12</f>
        <v>24.614028264184924</v>
      </c>
      <c r="BR90" s="21">
        <f>EXP(-LN(2)/2)*BR89+(1-EXP(-LN(2)/2))/(LN(2)/2)*BL90*BO90*VLOOKUP('Données projet'!$B$11,Paramètres!$A$1:$I$89,3,0)*0.475*44/12</f>
        <v>4.1482168769996046E-3</v>
      </c>
      <c r="BS90" s="22">
        <f t="shared" si="63"/>
        <v>153.30369121535483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17.399999999999999</v>
      </c>
      <c r="BY90" s="12">
        <f>IF('Données projet'!$A$114&gt;35,BY89+BX90-CG89,IF(A90&lt;'Données projet'!$A$114,$BV$205^A90,IF(A90='Données projet'!$A$114,'Données projet'!$B$114,BY89+BX90-CG89)))</f>
        <v>563.79999999999973</v>
      </c>
      <c r="BZ90" s="13">
        <f>BY90*VLOOKUP('Données projet'!$B$12,Paramètres!$A$1:$I$89,3,0)*VLOOKUP('Données projet'!$B$12,Paramètres!$A$1:$I$89,5,0)</f>
        <v>263.8583999999999</v>
      </c>
      <c r="CA90" s="13">
        <f t="shared" si="93"/>
        <v>63.544126462537939</v>
      </c>
      <c r="CB90" s="20">
        <f t="shared" si="64"/>
        <v>570.22606692225338</v>
      </c>
      <c r="CC90" s="59">
        <f t="shared" si="65"/>
        <v>863.55940025558675</v>
      </c>
      <c r="CD90" s="59">
        <f ca="1">AVERAGE(OFFSET($CC$3,0,0,'Données projet'!$E$12+1,1))-AVERAGE(OFFSET($H$3,0,0,'Données projet'!$E$12+1,1))</f>
        <v>259.87681411271632</v>
      </c>
      <c r="CE90" s="59">
        <f t="shared" si="94"/>
        <v>191.8684235641158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66.727119378502934</v>
      </c>
      <c r="CL90" s="21">
        <f>EXP(-LN(2)/25)*CL89+(1-EXP(-LN(2)/25))/(LN(2)/25)*Calculateur!CG90*Calculateur!CI90*VLOOKUP('Données projet'!$B$12,Paramètres!$A$1:$I$89,3,0)*0.475*44/12</f>
        <v>14.609507857741612</v>
      </c>
      <c r="CM90" s="21">
        <f>EXP(-LN(2)/2)*CM89+(1-EXP(-LN(2)/2))/(LN(2)/2)*CG90*CJ90*VLOOKUP('Données projet'!$B$12,Paramètres!$A$1:$I$89,3,0)*0.475*44/12</f>
        <v>0.68831959752241434</v>
      </c>
      <c r="CN90" s="22">
        <f t="shared" si="66"/>
        <v>82.024946833766947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8.3000000000000007</v>
      </c>
      <c r="CT90" s="12">
        <f>IF('Données projet'!$A$140&gt;35,CT89+CS90-DB89,IF(A90&lt;'Données projet'!$A$140,$CQ$205^A90,IF(A90='Données projet'!$A$140,'Données projet'!$B$140,CT89+CS90-DB89)))</f>
        <v>301.42620799999997</v>
      </c>
      <c r="CU90" s="17">
        <f>CT90*VLOOKUP('Données projet'!$B$13,Paramètres!$A$1:$I$89,3,0)*VLOOKUP('Données projet'!$B$13,Paramètres!$A$1:$I$89,5,0)</f>
        <v>141.067465344</v>
      </c>
      <c r="CV90" s="13">
        <f t="shared" si="95"/>
        <v>36.541438604350773</v>
      </c>
      <c r="CW90" s="20">
        <f t="shared" si="67"/>
        <v>309.33550771004423</v>
      </c>
      <c r="CX90" s="59">
        <f t="shared" si="68"/>
        <v>602.6688410433776</v>
      </c>
      <c r="CY90" s="59">
        <f ca="1">AVERAGE(OFFSET($CX$3,0,0,'Données projet'!$E$13+1,1))-AVERAGE(OFFSET($H$3,0,0,'Données projet'!$E$13+1,1))</f>
        <v>137.59122085719031</v>
      </c>
      <c r="CZ90" s="59">
        <f t="shared" si="96"/>
        <v>130.1134470448718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40.982706818579167</v>
      </c>
      <c r="DG90" s="21">
        <f>EXP(-LN(2)/25)*DG89+(1-EXP(-LN(2)/25))/(LN(2)/25)*Calculateur!DB90*Calculateur!DD90*VLOOKUP('Données projet'!$B$13,Paramètres!$A$1:$I$89,3,0)*0.475*44/12</f>
        <v>8.888007373024287</v>
      </c>
      <c r="DH90" s="21">
        <f>EXP(-LN(2)/2)*DH89+(1-EXP(-LN(2)/2))/(LN(2)/2)*DB90*DE90*VLOOKUP('Données projet'!$B$13,Paramètres!$A$1:$I$89,3,0)*0.475*44/12</f>
        <v>0.38737483826187641</v>
      </c>
      <c r="DI90" s="22">
        <f t="shared" si="69"/>
        <v>50.258089029865332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243</v>
      </c>
      <c r="DM90" s="12">
        <f>VLOOKUP(A90,'Données projet'!$A$165:$I$185,9,0)</f>
        <v>6.4444444444444446</v>
      </c>
      <c r="DN90" s="12">
        <f t="array" ref="DN90">INDEX(DM:DM,MIN(IF(ISNUMBER(DM90:DM286),ROW(DM90:DM286),"")))</f>
        <v>6.4444444444444446</v>
      </c>
      <c r="DO90" s="12">
        <f>IF('Données projet'!$A$166&gt;35,DO89+DN90-DW89,IF(A90&lt;'Données projet'!$A$166,$DL$205^A90,IF(A90='Données projet'!$A$166,'Données projet'!$B$166,DO89+DN90-DW89)))</f>
        <v>243.00000000000014</v>
      </c>
      <c r="DP90" s="17">
        <f>DO90*VLOOKUP('Données projet'!$B$14,Paramètres!$A$1:$I$89,3,0)*VLOOKUP('Données projet'!$B$14,Paramètres!$A$1:$I$89,5,0)</f>
        <v>246.40200000000016</v>
      </c>
      <c r="DQ90" s="13">
        <f t="shared" si="97"/>
        <v>59.814834475385524</v>
      </c>
      <c r="DR90" s="20">
        <f t="shared" si="70"/>
        <v>533.32765337796343</v>
      </c>
      <c r="DS90" s="59">
        <f t="shared" si="71"/>
        <v>826.6609867112968</v>
      </c>
      <c r="DT90" s="59">
        <f ca="1">AVERAGE(OFFSET($DS$3,0,0,'Données projet'!$E$14+1,1))-AVERAGE(OFFSET($H$3,0,0,'Données projet'!$E$14+1,1))</f>
        <v>313.90901812281373</v>
      </c>
      <c r="DU90" s="59">
        <f t="shared" si="98"/>
        <v>210.54265725995265</v>
      </c>
      <c r="DV90" s="15">
        <f>IF(ISNA(VLOOKUP(A90,'Données projet'!$A$165:$I$185,3,0)),0,VLOOKUP(A90,'Données projet'!$A$165:$I$185,3,0))</f>
        <v>8</v>
      </c>
      <c r="DW90" s="15">
        <f>IF(ISNA(VLOOKUP(A90,'Données projet'!$A$165:$I$185,4,0)),0,VLOOKUP(A90,'Données projet'!$A$165:$I$185,4,0))</f>
        <v>39</v>
      </c>
      <c r="DX90" s="16">
        <f>IF(ISNA(VLOOKUP(A90,'Données projet'!$A$165:$I$185,5,0)),0%,VLOOKUP(A90,'Données projet'!$A$165:$I$185,5,0)*VLOOKUP('Données projet'!$B$14,Paramètres!$A$1:$I$89,7,0))</f>
        <v>0.38700000000000001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55.008053043189008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55.008053043189008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-5.6843418860808015E-14</v>
      </c>
      <c r="EK90" s="17">
        <f>EJ90*VLOOKUP('Données projet'!$B$15,Paramètres!$A$1:$I$89,3,0)*VLOOKUP('Données projet'!$B$15,Paramètres!$A$1:$I$89,5,0)</f>
        <v>-4.5224624045658861E-14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316.52407313312403</v>
      </c>
      <c r="EP90" s="59">
        <f t="shared" si="100"/>
        <v>340.55949748167382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126.36758526220255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126.36758526220255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-5.6843418860808015E-14</v>
      </c>
      <c r="FF90" s="17">
        <f>FE90*VLOOKUP('Données projet'!$B$16,Paramètres!$A$1:$I$89,3,0)*VLOOKUP('Données projet'!$B$16,Paramètres!$A$1:$I$89,5,0)</f>
        <v>-3.7243808037601412E-14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199.99826357281154</v>
      </c>
      <c r="FK90" s="59">
        <f t="shared" si="102"/>
        <v>214.67424457475136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54.647680774742589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54.647680774742589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284.60021367910457</v>
      </c>
      <c r="T91" s="59">
        <f t="shared" si="88"/>
        <v>301.41905904220812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127.67343451396923</v>
      </c>
      <c r="AA91" s="21">
        <f>EXP(-LN(2)/25)*AA90+(1-EXP(-LN(2)/25))/(LN(2)/25)*Calculateur!V91*Calculateur!X91*VLOOKUP('Données projet'!$B$9,Paramètres!$A$1:$I$89,3,0)*0.475*44/12</f>
        <v>24.650101931273145</v>
      </c>
      <c r="AB91" s="21">
        <f>EXP(-LN(2)/2)*AB90+(1-EXP(-LN(2)/2))/(LN(2)/2)*V91*Y91*VLOOKUP('Données projet'!$B$9,Paramètres!$A$1:$I$89,3,0)*0.475*44/12</f>
        <v>1.7357000852659107E-2</v>
      </c>
      <c r="AC91" s="22">
        <f t="shared" si="57"/>
        <v>152.34089344609504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294.45857786714919</v>
      </c>
      <c r="AO91" s="59">
        <f t="shared" si="90"/>
        <v>221.9773436301067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176.15589739771033</v>
      </c>
      <c r="AV91" s="21">
        <f>EXP(-LN(2)/25)*AV90+(1-EXP(-LN(2)/25))/(LN(2)/25)*Calculateur!AQ91*Calculateur!AS91*VLOOKUP('Données projet'!$B$10,Paramètres!$A$1:$I$89,3,0)*0.475*44/12</f>
        <v>38.469754685494529</v>
      </c>
      <c r="AW91" s="21">
        <f>EXP(-LN(2)/2)*AW90+(1-EXP(-LN(2)/2))/(LN(2)/2)*AQ91*AT91*VLOOKUP('Données projet'!$B$10,Paramètres!$A$1:$I$89,3,0)*0.475*44/12</f>
        <v>6.363268847521101</v>
      </c>
      <c r="AX91" s="21">
        <f t="shared" si="60"/>
        <v>220.98892093072598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6.3550942286383367E-14</v>
      </c>
      <c r="BF91" s="13">
        <f t="shared" si="91"/>
        <v>1.0064464192543978E-12</v>
      </c>
      <c r="BG91" s="20">
        <f t="shared" si="61"/>
        <v>1.8635787380168604E-12</v>
      </c>
      <c r="BH91" s="59">
        <f t="shared" si="62"/>
        <v>293.33333333333519</v>
      </c>
      <c r="BI91" s="59">
        <f ca="1">AVERAGE(OFFSET($BH$3,0,0,'Données projet'!$E$11+1,1))-AVERAGE(OFFSET($H$3,0,0,'Données projet'!$E$11+1,1))</f>
        <v>304.91676868833792</v>
      </c>
      <c r="BJ91" s="59">
        <f t="shared" si="92"/>
        <v>365.95065044620048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126.16207028076711</v>
      </c>
      <c r="BQ91" s="21">
        <f>EXP(-LN(2)/25)*BQ90+(1-EXP(-LN(2)/25))/(LN(2)/25)*Calculateur!BL91*Calculateur!BN91*VLOOKUP('Données projet'!$B$11,Paramètres!$A$1:$I$89,3,0)*0.475*44/12</f>
        <v>23.940956366905297</v>
      </c>
      <c r="BR91" s="21">
        <f>EXP(-LN(2)/2)*BR90+(1-EXP(-LN(2)/2))/(LN(2)/2)*BL91*BO91*VLOOKUP('Données projet'!$B$11,Paramètres!$A$1:$I$89,3,0)*0.475*44/12</f>
        <v>2.9332322835589029E-3</v>
      </c>
      <c r="BS91" s="22">
        <f t="shared" si="63"/>
        <v>150.10595987995598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17.399999999999999</v>
      </c>
      <c r="BY91" s="12">
        <f>IF('Données projet'!$A$114&gt;35,BY90+BX91-CG90,IF(A91&lt;'Données projet'!$A$114,$BV$205^A91,IF(A91='Données projet'!$A$114,'Données projet'!$B$114,BY90+BX91-CG90)))</f>
        <v>581.1999999999997</v>
      </c>
      <c r="BZ91" s="13">
        <f>BY91*VLOOKUP('Données projet'!$B$12,Paramètres!$A$1:$I$89,3,0)*VLOOKUP('Données projet'!$B$12,Paramètres!$A$1:$I$89,5,0)</f>
        <v>272.00159999999988</v>
      </c>
      <c r="CA91" s="13">
        <f t="shared" si="93"/>
        <v>65.273876550266948</v>
      </c>
      <c r="CB91" s="20">
        <f t="shared" si="64"/>
        <v>587.42145499171477</v>
      </c>
      <c r="CC91" s="59">
        <f t="shared" si="65"/>
        <v>880.75478832504814</v>
      </c>
      <c r="CD91" s="59">
        <f ca="1">AVERAGE(OFFSET($CC$3,0,0,'Données projet'!$E$12+1,1))-AVERAGE(OFFSET($H$3,0,0,'Données projet'!$E$12+1,1))</f>
        <v>259.87681411271632</v>
      </c>
      <c r="CE91" s="59">
        <f t="shared" si="94"/>
        <v>191.8684235641158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65.418641267014564</v>
      </c>
      <c r="CL91" s="21">
        <f>EXP(-LN(2)/25)*CL90+(1-EXP(-LN(2)/25))/(LN(2)/25)*Calculateur!CG91*Calculateur!CI91*VLOOKUP('Données projet'!$B$12,Paramètres!$A$1:$I$89,3,0)*0.475*44/12</f>
        <v>14.21001009709104</v>
      </c>
      <c r="CM91" s="21">
        <f>EXP(-LN(2)/2)*CM90+(1-EXP(-LN(2)/2))/(LN(2)/2)*CG91*CJ91*VLOOKUP('Données projet'!$B$12,Paramètres!$A$1:$I$89,3,0)*0.475*44/12</f>
        <v>0.48671545503169433</v>
      </c>
      <c r="CN91" s="22">
        <f t="shared" si="66"/>
        <v>80.115366819137307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8.3000000000000007</v>
      </c>
      <c r="CT91" s="12">
        <f>IF('Données projet'!$A$140&gt;35,CT90+CS91-DB90,IF(A91&lt;'Données projet'!$A$140,$CQ$205^A91,IF(A91='Données projet'!$A$140,'Données projet'!$B$140,CT90+CS91-DB90)))</f>
        <v>309.72620799999999</v>
      </c>
      <c r="CU91" s="17">
        <f>CT91*VLOOKUP('Données projet'!$B$13,Paramètres!$A$1:$I$89,3,0)*VLOOKUP('Données projet'!$B$13,Paramètres!$A$1:$I$89,5,0)</f>
        <v>144.951865344</v>
      </c>
      <c r="CV91" s="13">
        <f t="shared" si="95"/>
        <v>37.429103246137991</v>
      </c>
      <c r="CW91" s="20">
        <f t="shared" si="67"/>
        <v>317.64685362782365</v>
      </c>
      <c r="CX91" s="59">
        <f t="shared" si="68"/>
        <v>610.98018696115696</v>
      </c>
      <c r="CY91" s="59">
        <f ca="1">AVERAGE(OFFSET($CX$3,0,0,'Données projet'!$E$13+1,1))-AVERAGE(OFFSET($H$3,0,0,'Données projet'!$E$13+1,1))</f>
        <v>137.59122085719031</v>
      </c>
      <c r="CZ91" s="59">
        <f t="shared" si="96"/>
        <v>130.1134470448718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40.179060934849744</v>
      </c>
      <c r="DG91" s="21">
        <f>EXP(-LN(2)/25)*DG90+(1-EXP(-LN(2)/25))/(LN(2)/25)*Calculateur!DB91*Calculateur!DD91*VLOOKUP('Données projet'!$B$13,Paramètres!$A$1:$I$89,3,0)*0.475*44/12</f>
        <v>8.6449643440089439</v>
      </c>
      <c r="DH91" s="21">
        <f>EXP(-LN(2)/2)*DH90+(1-EXP(-LN(2)/2))/(LN(2)/2)*DB91*DE91*VLOOKUP('Données projet'!$B$13,Paramètres!$A$1:$I$89,3,0)*0.475*44/12</f>
        <v>0.27391537499601487</v>
      </c>
      <c r="DI91" s="22">
        <f t="shared" si="69"/>
        <v>49.0979406538547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6.1</v>
      </c>
      <c r="DO91" s="12">
        <f>IF('Données projet'!$A$166&gt;35,DO90+DN91-DW90,IF(A91&lt;'Données projet'!$A$166,$DL$205^A91,IF(A91='Données projet'!$A$166,'Données projet'!$B$166,DO90+DN91-DW90)))</f>
        <v>210.10000000000014</v>
      </c>
      <c r="DP91" s="17">
        <f>DO91*VLOOKUP('Données projet'!$B$14,Paramètres!$A$1:$I$89,3,0)*VLOOKUP('Données projet'!$B$14,Paramètres!$A$1:$I$89,5,0)</f>
        <v>213.04140000000012</v>
      </c>
      <c r="DQ91" s="13">
        <f t="shared" si="97"/>
        <v>52.599650903414478</v>
      </c>
      <c r="DR91" s="20">
        <f t="shared" si="70"/>
        <v>462.65816365678046</v>
      </c>
      <c r="DS91" s="59">
        <f t="shared" si="71"/>
        <v>755.99149699011377</v>
      </c>
      <c r="DT91" s="59">
        <f ca="1">AVERAGE(OFFSET($DS$3,0,0,'Données projet'!$E$14+1,1))-AVERAGE(OFFSET($H$3,0,0,'Données projet'!$E$14+1,1))</f>
        <v>313.90901812281373</v>
      </c>
      <c r="DU91" s="59">
        <f t="shared" si="98"/>
        <v>210.54265725995265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53.929378674611485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53.929378674611485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-5.6843418860808015E-14</v>
      </c>
      <c r="EK91" s="17">
        <f>EJ91*VLOOKUP('Données projet'!$B$15,Paramètres!$A$1:$I$89,3,0)*VLOOKUP('Données projet'!$B$15,Paramètres!$A$1:$I$89,5,0)</f>
        <v>-4.5224624045658861E-14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316.52407313312403</v>
      </c>
      <c r="EP91" s="59">
        <f t="shared" si="100"/>
        <v>340.55949748167382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123.88959399182708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123.88959399182708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-5.6843418860808015E-14</v>
      </c>
      <c r="FF91" s="17">
        <f>FE91*VLOOKUP('Données projet'!$B$16,Paramètres!$A$1:$I$89,3,0)*VLOOKUP('Données projet'!$B$16,Paramètres!$A$1:$I$89,5,0)</f>
        <v>-3.7243808037601412E-14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199.99826357281154</v>
      </c>
      <c r="FK91" s="59">
        <f t="shared" si="102"/>
        <v>214.67424457475136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53.576073086543921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53.576073086543921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284.60021367910457</v>
      </c>
      <c r="T92" s="59">
        <f t="shared" si="88"/>
        <v>301.41905904220812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125.16983633625601</v>
      </c>
      <c r="AA92" s="21">
        <f>EXP(-LN(2)/25)*AA91+(1-EXP(-LN(2)/25))/(LN(2)/25)*Calculateur!V92*Calculateur!X92*VLOOKUP('Données projet'!$B$9,Paramètres!$A$1:$I$89,3,0)*0.475*44/12</f>
        <v>23.97604359766996</v>
      </c>
      <c r="AB92" s="21">
        <f>EXP(-LN(2)/2)*AB91+(1-EXP(-LN(2)/2))/(LN(2)/2)*V92*Y92*VLOOKUP('Données projet'!$B$9,Paramètres!$A$1:$I$89,3,0)*0.475*44/12</f>
        <v>1.2273253003975942E-2</v>
      </c>
      <c r="AC92" s="22">
        <f t="shared" si="57"/>
        <v>149.15815318692995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294.45857786714919</v>
      </c>
      <c r="AO92" s="59">
        <f t="shared" si="90"/>
        <v>221.9773436301067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172.70158769422937</v>
      </c>
      <c r="AV92" s="21">
        <f>EXP(-LN(2)/25)*AV91+(1-EXP(-LN(2)/25))/(LN(2)/25)*Calculateur!AQ92*Calculateur!AS92*VLOOKUP('Données projet'!$B$10,Paramètres!$A$1:$I$89,3,0)*0.475*44/12</f>
        <v>37.417797220583203</v>
      </c>
      <c r="AW92" s="21">
        <f>EXP(-LN(2)/2)*AW91+(1-EXP(-LN(2)/2))/(LN(2)/2)*AQ92*AT92*VLOOKUP('Données projet'!$B$10,Paramètres!$A$1:$I$89,3,0)*0.475*44/12</f>
        <v>4.4995105525952779</v>
      </c>
      <c r="AX92" s="21">
        <f t="shared" si="60"/>
        <v>214.61889546740784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6.3550942286383367E-14</v>
      </c>
      <c r="BF92" s="13">
        <f t="shared" si="91"/>
        <v>1.0064464192543978E-12</v>
      </c>
      <c r="BG92" s="20">
        <f t="shared" si="61"/>
        <v>1.8635787380168604E-12</v>
      </c>
      <c r="BH92" s="59">
        <f t="shared" si="62"/>
        <v>293.33333333333519</v>
      </c>
      <c r="BI92" s="59">
        <f ca="1">AVERAGE(OFFSET($BH$3,0,0,'Données projet'!$E$11+1,1))-AVERAGE(OFFSET($H$3,0,0,'Données projet'!$E$11+1,1))</f>
        <v>304.91676868833792</v>
      </c>
      <c r="BJ92" s="59">
        <f t="shared" si="92"/>
        <v>365.95065044620048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123.68810903382584</v>
      </c>
      <c r="BQ92" s="21">
        <f>EXP(-LN(2)/25)*BQ91+(1-EXP(-LN(2)/25))/(LN(2)/25)*Calculateur!BL92*Calculateur!BN92*VLOOKUP('Données projet'!$B$11,Paramètres!$A$1:$I$89,3,0)*0.475*44/12</f>
        <v>23.286289656052094</v>
      </c>
      <c r="BR92" s="21">
        <f>EXP(-LN(2)/2)*BR91+(1-EXP(-LN(2)/2))/(LN(2)/2)*BL92*BO92*VLOOKUP('Données projet'!$B$11,Paramètres!$A$1:$I$89,3,0)*0.475*44/12</f>
        <v>2.0741084384998023E-3</v>
      </c>
      <c r="BS92" s="22">
        <f t="shared" si="63"/>
        <v>146.97647279831645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17.399999999999999</v>
      </c>
      <c r="BY92" s="12">
        <f>IF('Données projet'!$A$114&gt;35,BY91+BX92-CG91,IF(A92&lt;'Données projet'!$A$114,$BV$205^A92,IF(A92='Données projet'!$A$114,'Données projet'!$B$114,BY91+BX92-CG91)))</f>
        <v>598.59999999999968</v>
      </c>
      <c r="BZ92" s="13">
        <f>BY92*VLOOKUP('Données projet'!$B$12,Paramètres!$A$1:$I$89,3,0)*VLOOKUP('Données projet'!$B$12,Paramètres!$A$1:$I$89,5,0)</f>
        <v>280.14479999999986</v>
      </c>
      <c r="CA92" s="13">
        <f t="shared" si="93"/>
        <v>66.997608362790359</v>
      </c>
      <c r="CB92" s="20">
        <f t="shared" si="64"/>
        <v>604.60636123185952</v>
      </c>
      <c r="CC92" s="59">
        <f t="shared" si="65"/>
        <v>897.93969456519289</v>
      </c>
      <c r="CD92" s="59">
        <f ca="1">AVERAGE(OFFSET($CC$3,0,0,'Données projet'!$E$12+1,1))-AVERAGE(OFFSET($H$3,0,0,'Données projet'!$E$12+1,1))</f>
        <v>259.87681411271632</v>
      </c>
      <c r="CE92" s="59">
        <f t="shared" si="94"/>
        <v>191.8684235641158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64.135821613199639</v>
      </c>
      <c r="CL92" s="21">
        <f>EXP(-LN(2)/25)*CL91+(1-EXP(-LN(2)/25))/(LN(2)/25)*Calculateur!CG92*Calculateur!CI92*VLOOKUP('Données projet'!$B$12,Paramètres!$A$1:$I$89,3,0)*0.475*44/12</f>
        <v>13.821436623714131</v>
      </c>
      <c r="CM92" s="21">
        <f>EXP(-LN(2)/2)*CM91+(1-EXP(-LN(2)/2))/(LN(2)/2)*CG92*CJ92*VLOOKUP('Données projet'!$B$12,Paramètres!$A$1:$I$89,3,0)*0.475*44/12</f>
        <v>0.34415979876120723</v>
      </c>
      <c r="CN92" s="22">
        <f t="shared" si="66"/>
        <v>78.301418035674985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8.3000000000000007</v>
      </c>
      <c r="CT92" s="12">
        <f>IF('Données projet'!$A$140&gt;35,CT91+CS92-DB91,IF(A92&lt;'Données projet'!$A$140,$CQ$205^A92,IF(A92='Données projet'!$A$140,'Données projet'!$B$140,CT91+CS92-DB91)))</f>
        <v>318.026208</v>
      </c>
      <c r="CU92" s="17">
        <f>CT92*VLOOKUP('Données projet'!$B$13,Paramètres!$A$1:$I$89,3,0)*VLOOKUP('Données projet'!$B$13,Paramètres!$A$1:$I$89,5,0)</f>
        <v>148.836265344</v>
      </c>
      <c r="CV92" s="13">
        <f t="shared" si="95"/>
        <v>38.314002985525832</v>
      </c>
      <c r="CW92" s="20">
        <f t="shared" si="67"/>
        <v>325.95338400725745</v>
      </c>
      <c r="CX92" s="59">
        <f t="shared" si="68"/>
        <v>619.28671734059071</v>
      </c>
      <c r="CY92" s="59">
        <f ca="1">AVERAGE(OFFSET($CX$3,0,0,'Données projet'!$E$13+1,1))-AVERAGE(OFFSET($H$3,0,0,'Données projet'!$E$13+1,1))</f>
        <v>137.59122085719031</v>
      </c>
      <c r="CZ92" s="59">
        <f t="shared" si="96"/>
        <v>130.1134470448718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39.391174056724665</v>
      </c>
      <c r="DG92" s="21">
        <f>EXP(-LN(2)/25)*DG91+(1-EXP(-LN(2)/25))/(LN(2)/25)*Calculateur!DB92*Calculateur!DD92*VLOOKUP('Données projet'!$B$13,Paramètres!$A$1:$I$89,3,0)*0.475*44/12</f>
        <v>8.4085673394031026</v>
      </c>
      <c r="DH92" s="21">
        <f>EXP(-LN(2)/2)*DH91+(1-EXP(-LN(2)/2))/(LN(2)/2)*DB92*DE92*VLOOKUP('Données projet'!$B$13,Paramètres!$A$1:$I$89,3,0)*0.475*44/12</f>
        <v>0.1936874191309382</v>
      </c>
      <c r="DI92" s="22">
        <f t="shared" si="69"/>
        <v>47.99342881525871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6.1</v>
      </c>
      <c r="DO92" s="12">
        <f>IF('Données projet'!$A$166&gt;35,DO91+DN92-DW91,IF(A92&lt;'Données projet'!$A$166,$DL$205^A92,IF(A92='Données projet'!$A$166,'Données projet'!$B$166,DO91+DN92-DW91)))</f>
        <v>216.20000000000013</v>
      </c>
      <c r="DP92" s="17">
        <f>DO92*VLOOKUP('Données projet'!$B$14,Paramètres!$A$1:$I$89,3,0)*VLOOKUP('Données projet'!$B$14,Paramètres!$A$1:$I$89,5,0)</f>
        <v>219.22680000000014</v>
      </c>
      <c r="DQ92" s="13">
        <f t="shared" si="97"/>
        <v>53.946800101493466</v>
      </c>
      <c r="DR92" s="20">
        <f t="shared" si="70"/>
        <v>475.77735351010136</v>
      </c>
      <c r="DS92" s="59">
        <f t="shared" si="71"/>
        <v>769.11068684343468</v>
      </c>
      <c r="DT92" s="59">
        <f ca="1">AVERAGE(OFFSET($DS$3,0,0,'Données projet'!$E$14+1,1))-AVERAGE(OFFSET($H$3,0,0,'Données projet'!$E$14+1,1))</f>
        <v>313.90901812281373</v>
      </c>
      <c r="DU92" s="59">
        <f t="shared" si="98"/>
        <v>210.54265725995265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52.871856452475363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52.871856452475363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-5.6843418860808015E-14</v>
      </c>
      <c r="EK92" s="17">
        <f>EJ92*VLOOKUP('Données projet'!$B$15,Paramètres!$A$1:$I$89,3,0)*VLOOKUP('Données projet'!$B$15,Paramètres!$A$1:$I$89,5,0)</f>
        <v>-4.5224624045658861E-14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316.52407313312403</v>
      </c>
      <c r="EP92" s="59">
        <f t="shared" si="100"/>
        <v>340.55949748167382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121.46019461883824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121.46019461883824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-5.6843418860808015E-14</v>
      </c>
      <c r="FF92" s="17">
        <f>FE92*VLOOKUP('Données projet'!$B$16,Paramètres!$A$1:$I$89,3,0)*VLOOKUP('Données projet'!$B$16,Paramètres!$A$1:$I$89,5,0)</f>
        <v>-3.7243808037601412E-14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199.99826357281154</v>
      </c>
      <c r="FK92" s="59">
        <f t="shared" si="102"/>
        <v>214.67424457475136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52.525478971494678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52.525478971494678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284.60021367910457</v>
      </c>
      <c r="T93" s="59">
        <f t="shared" si="88"/>
        <v>301.41905904220812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122.71533219176365</v>
      </c>
      <c r="AA93" s="21">
        <f>EXP(-LN(2)/25)*AA92+(1-EXP(-LN(2)/25))/(LN(2)/25)*Calculateur!V93*Calculateur!X93*VLOOKUP('Données projet'!$B$9,Paramètres!$A$1:$I$89,3,0)*0.475*44/12</f>
        <v>23.32041742464634</v>
      </c>
      <c r="AB93" s="21">
        <f>EXP(-LN(2)/2)*AB92+(1-EXP(-LN(2)/2))/(LN(2)/2)*V93*Y93*VLOOKUP('Données projet'!$B$9,Paramètres!$A$1:$I$89,3,0)*0.475*44/12</f>
        <v>8.6785004263295537E-3</v>
      </c>
      <c r="AC93" s="22">
        <f t="shared" si="57"/>
        <v>146.04442811683631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294.45857786714919</v>
      </c>
      <c r="AO93" s="59">
        <f t="shared" si="90"/>
        <v>221.9773436301067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169.3150148971128</v>
      </c>
      <c r="AV93" s="21">
        <f>EXP(-LN(2)/25)*AV92+(1-EXP(-LN(2)/25))/(LN(2)/25)*Calculateur!AQ93*Calculateur!AS93*VLOOKUP('Données projet'!$B$10,Paramètres!$A$1:$I$89,3,0)*0.475*44/12</f>
        <v>36.394605587869918</v>
      </c>
      <c r="AW93" s="21">
        <f>EXP(-LN(2)/2)*AW92+(1-EXP(-LN(2)/2))/(LN(2)/2)*AQ93*AT93*VLOOKUP('Données projet'!$B$10,Paramètres!$A$1:$I$89,3,0)*0.475*44/12</f>
        <v>3.1816344237605509</v>
      </c>
      <c r="AX93" s="21">
        <f t="shared" si="60"/>
        <v>208.89125490874329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6.3550942286383367E-14</v>
      </c>
      <c r="BF93" s="13">
        <f t="shared" si="91"/>
        <v>1.0064464192543978E-12</v>
      </c>
      <c r="BG93" s="20">
        <f t="shared" si="61"/>
        <v>1.8635787380168604E-12</v>
      </c>
      <c r="BH93" s="59">
        <f t="shared" si="62"/>
        <v>293.33333333333519</v>
      </c>
      <c r="BI93" s="59">
        <f ca="1">AVERAGE(OFFSET($BH$3,0,0,'Données projet'!$E$11+1,1))-AVERAGE(OFFSET($H$3,0,0,'Données projet'!$E$11+1,1))</f>
        <v>304.91676868833792</v>
      </c>
      <c r="BJ93" s="59">
        <f t="shared" si="92"/>
        <v>365.95065044620048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121.26266065796972</v>
      </c>
      <c r="BQ93" s="21">
        <f>EXP(-LN(2)/25)*BQ92+(1-EXP(-LN(2)/25))/(LN(2)/25)*Calculateur!BL93*Calculateur!BN93*VLOOKUP('Données projet'!$B$11,Paramètres!$A$1:$I$89,3,0)*0.475*44/12</f>
        <v>22.649524840834598</v>
      </c>
      <c r="BR93" s="21">
        <f>EXP(-LN(2)/2)*BR92+(1-EXP(-LN(2)/2))/(LN(2)/2)*BL93*BO93*VLOOKUP('Données projet'!$B$11,Paramètres!$A$1:$I$89,3,0)*0.475*44/12</f>
        <v>1.4666161417794515E-3</v>
      </c>
      <c r="BS93" s="22">
        <f t="shared" si="63"/>
        <v>143.9136521149461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616</v>
      </c>
      <c r="BW93" s="12">
        <f>VLOOKUP(A93,'Données projet'!$A$113:$I$133,9,0)</f>
        <v>17.399999999999999</v>
      </c>
      <c r="BX93" s="12">
        <f t="array" ref="BX93">INDEX(BW:BW,MIN(IF(ISNUMBER(BW93:BW289),ROW(BW93:BW289),"")))</f>
        <v>17.399999999999999</v>
      </c>
      <c r="BY93" s="12">
        <f>IF('Données projet'!$A$114&gt;35,BY92+BX93-CG92,IF(A93&lt;'Données projet'!$A$114,$BV$205^A93,IF(A93='Données projet'!$A$114,'Données projet'!$B$114,BY92+BX93-CG92)))</f>
        <v>615.99999999999966</v>
      </c>
      <c r="BZ93" s="13">
        <f>BY93*VLOOKUP('Données projet'!$B$12,Paramètres!$A$1:$I$89,3,0)*VLOOKUP('Données projet'!$B$12,Paramètres!$A$1:$I$89,5,0)</f>
        <v>288.28799999999984</v>
      </c>
      <c r="CA93" s="13">
        <f t="shared" si="93"/>
        <v>68.715516926722387</v>
      </c>
      <c r="CB93" s="20">
        <f t="shared" si="64"/>
        <v>621.78112531404122</v>
      </c>
      <c r="CC93" s="59">
        <f t="shared" si="65"/>
        <v>915.11445864737448</v>
      </c>
      <c r="CD93" s="59">
        <f ca="1">AVERAGE(OFFSET($CC$3,0,0,'Données projet'!$E$12+1,1))-AVERAGE(OFFSET($H$3,0,0,'Données projet'!$E$12+1,1))</f>
        <v>259.87681411271632</v>
      </c>
      <c r="CE93" s="59">
        <f t="shared" si="94"/>
        <v>191.8684235641158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123</v>
      </c>
      <c r="CH93" s="16">
        <f>IF(ISNA(VLOOKUP(A93,'Données projet'!$A$113:$I$133,5,0)),0%,VLOOKUP(A93,'Données projet'!$A$113:$I$133,5,0)*VLOOKUP('Données projet'!$B$12,Paramètres!$A$1:$I$89,7,0))</f>
        <v>0.38500000000000001</v>
      </c>
      <c r="CI93" s="16">
        <f>IF(ISNA(VLOOKUP(A93,'Données projet'!$A$113:$I$133,6,0)),0%,VLOOKUP(A93,'Données projet'!$A$113:$I$133,6,0)*VLOOKUP('Données projet'!$B$12,Paramètres!$A$1:$I$89,7,0))</f>
        <v>9.3500000000000014E-2</v>
      </c>
      <c r="CJ93" s="16">
        <f>IF(ISNA(VLOOKUP(A93,'Données projet'!$A$113:$I$133,7,0)),0%,VLOOKUP(A93,'Données projet'!$A$113:$I$133,7,0))</f>
        <v>0.13</v>
      </c>
      <c r="CK93" s="21">
        <f>EXP(-LN(2)/35)*CK92+(1-EXP(-LN(2)/35))/(LN(2)/35)*CG93*CH93*VLOOKUP('Données projet'!$B$12,Paramètres!$A$1:$I$89,3,0)*0.475*44/12</f>
        <v>92.277664450828155</v>
      </c>
      <c r="CL93" s="21">
        <f>EXP(-LN(2)/25)*CL92+(1-EXP(-LN(2)/25))/(LN(2)/25)*Calculateur!CG93*Calculateur!CI93*VLOOKUP('Données projet'!$B$12,Paramètres!$A$1:$I$89,3,0)*0.475*44/12</f>
        <v>20.555256598350226</v>
      </c>
      <c r="CM93" s="21">
        <f>EXP(-LN(2)/2)*CM92+(1-EXP(-LN(2)/2))/(LN(2)/2)*CG93*CJ93*VLOOKUP('Données projet'!$B$12,Paramètres!$A$1:$I$89,3,0)*0.475*44/12</f>
        <v>8.7162143242415997</v>
      </c>
      <c r="CN93" s="22">
        <f t="shared" si="66"/>
        <v>121.54913537341999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326.32620799999995</v>
      </c>
      <c r="CR93" s="12">
        <f>VLOOKUP(A93,'Données projet'!$A$139:$I$159,9,0)</f>
        <v>8.3000000000000007</v>
      </c>
      <c r="CS93" s="12">
        <f t="array" ref="CS93">INDEX(CR:CR,MIN(IF(ISNUMBER(CR93:CR289),ROW(CR93:CR289),"")))</f>
        <v>8.3000000000000007</v>
      </c>
      <c r="CT93" s="12">
        <f>IF('Données projet'!$A$140&gt;35,CT92+CS93-DB92,IF(A93&lt;'Données projet'!$A$140,$CQ$205^A93,IF(A93='Données projet'!$A$140,'Données projet'!$B$140,CT92+CS93-DB92)))</f>
        <v>326.32620800000001</v>
      </c>
      <c r="CU93" s="17">
        <f>CT93*VLOOKUP('Données projet'!$B$13,Paramètres!$A$1:$I$89,3,0)*VLOOKUP('Données projet'!$B$13,Paramètres!$A$1:$I$89,5,0)</f>
        <v>152.720665344</v>
      </c>
      <c r="CV93" s="13">
        <f t="shared" si="95"/>
        <v>39.19621827789986</v>
      </c>
      <c r="CW93" s="20">
        <f t="shared" si="67"/>
        <v>334.25523897480889</v>
      </c>
      <c r="CX93" s="59">
        <f t="shared" si="68"/>
        <v>627.58857230814215</v>
      </c>
      <c r="CY93" s="59">
        <f ca="1">AVERAGE(OFFSET($CX$3,0,0,'Données projet'!$E$13+1,1))-AVERAGE(OFFSET($H$3,0,0,'Données projet'!$E$13+1,1))</f>
        <v>137.59122085719031</v>
      </c>
      <c r="CZ93" s="59">
        <f t="shared" si="96"/>
        <v>130.1134470448718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65.265241599999996</v>
      </c>
      <c r="DC93" s="16">
        <f>IF(ISNA(VLOOKUP(A93,'Données projet'!$A$139:$I$159,5,0)),0%,VLOOKUP(A93,'Données projet'!$A$139:$I$159,5,0)*VLOOKUP('Données projet'!$B$13,Paramètres!$A$1:$I$89,7,0))</f>
        <v>0.38500000000000001</v>
      </c>
      <c r="DD93" s="16">
        <f>IF(ISNA(VLOOKUP(A93,'Données projet'!$A$139:$I$159,6,0)),0%,VLOOKUP(A93,'Données projet'!$A$139:$I$159,6,0)*VLOOKUP('Données projet'!$B$13,Paramètres!$A$1:$I$89,7,0))</f>
        <v>9.240000000000001E-2</v>
      </c>
      <c r="DE93" s="16">
        <f>IF(ISNA(VLOOKUP(A93,'Données projet'!$A$139:$I$159,7,0)),0%,VLOOKUP(A93,'Données projet'!$A$139:$I$159,7,0))</f>
        <v>0.13200000000000001</v>
      </c>
      <c r="DF93" s="21">
        <f>EXP(-LN(2)/35)*DF92+(1-EXP(-LN(2)/35))/(LN(2)/35)*DB93*DC93*VLOOKUP('Données projet'!$B$13,Paramètres!$A$1:$I$89,3,0)*0.475*44/12</f>
        <v>54.218460241461003</v>
      </c>
      <c r="DG93" s="21">
        <f>EXP(-LN(2)/25)*DG92+(1-EXP(-LN(2)/25))/(LN(2)/25)*Calculateur!DB93*Calculateur!DD93*VLOOKUP('Données projet'!$B$13,Paramètres!$A$1:$I$89,3,0)*0.475*44/12</f>
        <v>11.907826870042571</v>
      </c>
      <c r="DH93" s="21">
        <f>EXP(-LN(2)/2)*DH92+(1-EXP(-LN(2)/2))/(LN(2)/2)*DB93*DE93*VLOOKUP('Données projet'!$B$13,Paramètres!$A$1:$I$89,3,0)*0.475*44/12</f>
        <v>4.7019208102762891</v>
      </c>
      <c r="DI93" s="22">
        <f t="shared" si="69"/>
        <v>70.828207921779864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6.1</v>
      </c>
      <c r="DO93" s="12">
        <f>IF('Données projet'!$A$166&gt;35,DO92+DN93-DW92,IF(A93&lt;'Données projet'!$A$166,$DL$205^A93,IF(A93='Données projet'!$A$166,'Données projet'!$B$166,DO92+DN93-DW92)))</f>
        <v>222.30000000000013</v>
      </c>
      <c r="DP93" s="17">
        <f>DO93*VLOOKUP('Données projet'!$B$14,Paramètres!$A$1:$I$89,3,0)*VLOOKUP('Données projet'!$B$14,Paramètres!$A$1:$I$89,5,0)</f>
        <v>225.41220000000015</v>
      </c>
      <c r="DQ93" s="13">
        <f t="shared" si="97"/>
        <v>55.289531655139754</v>
      </c>
      <c r="DR93" s="20">
        <f t="shared" si="70"/>
        <v>488.88884929936859</v>
      </c>
      <c r="DS93" s="59">
        <f t="shared" si="71"/>
        <v>782.2221826327019</v>
      </c>
      <c r="DT93" s="59">
        <f ca="1">AVERAGE(OFFSET($DS$3,0,0,'Données projet'!$E$14+1,1))-AVERAGE(OFFSET($H$3,0,0,'Données projet'!$E$14+1,1))</f>
        <v>313.90901812281373</v>
      </c>
      <c r="DU93" s="59">
        <f t="shared" si="98"/>
        <v>210.54265725995265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51.835071596090465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51.835071596090465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-5.6843418860808015E-14</v>
      </c>
      <c r="EK93" s="17">
        <f>EJ93*VLOOKUP('Données projet'!$B$15,Paramètres!$A$1:$I$89,3,0)*VLOOKUP('Données projet'!$B$15,Paramètres!$A$1:$I$89,5,0)</f>
        <v>-4.5224624045658861E-14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316.52407313312403</v>
      </c>
      <c r="EP93" s="59">
        <f t="shared" si="100"/>
        <v>340.55949748167382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119.07843428576642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119.07843428576642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-5.6843418860808015E-14</v>
      </c>
      <c r="FF93" s="17">
        <f>FE93*VLOOKUP('Données projet'!$B$16,Paramètres!$A$1:$I$89,3,0)*VLOOKUP('Données projet'!$B$16,Paramètres!$A$1:$I$89,5,0)</f>
        <v>-3.7243808037601412E-14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199.99826357281154</v>
      </c>
      <c r="FK93" s="59">
        <f t="shared" si="102"/>
        <v>214.67424457475136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51.49548636624241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51.49548636624241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284.60021367910457</v>
      </c>
      <c r="T94" s="59">
        <f t="shared" si="88"/>
        <v>301.41905904220812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120.30895937644507</v>
      </c>
      <c r="AA94" s="21">
        <f>EXP(-LN(2)/25)*AA93+(1-EXP(-LN(2)/25))/(LN(2)/25)*Calculateur!V94*Calculateur!X94*VLOOKUP('Données projet'!$B$9,Paramètres!$A$1:$I$89,3,0)*0.475*44/12</f>
        <v>22.682719383801935</v>
      </c>
      <c r="AB94" s="21">
        <f>EXP(-LN(2)/2)*AB93+(1-EXP(-LN(2)/2))/(LN(2)/2)*V94*Y94*VLOOKUP('Données projet'!$B$9,Paramètres!$A$1:$I$89,3,0)*0.475*44/12</f>
        <v>6.1366265019879712E-3</v>
      </c>
      <c r="AC94" s="22">
        <f t="shared" si="57"/>
        <v>142.99781538674898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294.45857786714919</v>
      </c>
      <c r="AO94" s="59">
        <f t="shared" si="90"/>
        <v>221.9773436301067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165.99485072694225</v>
      </c>
      <c r="AV94" s="21">
        <f>EXP(-LN(2)/25)*AV93+(1-EXP(-LN(2)/25))/(LN(2)/25)*Calculateur!AQ94*Calculateur!AS94*VLOOKUP('Données projet'!$B$10,Paramètres!$A$1:$I$89,3,0)*0.475*44/12</f>
        <v>35.399393184160488</v>
      </c>
      <c r="AW94" s="21">
        <f>EXP(-LN(2)/2)*AW93+(1-EXP(-LN(2)/2))/(LN(2)/2)*AQ94*AT94*VLOOKUP('Données projet'!$B$10,Paramètres!$A$1:$I$89,3,0)*0.475*44/12</f>
        <v>2.2497552762976394</v>
      </c>
      <c r="AX94" s="21">
        <f t="shared" si="60"/>
        <v>203.64399918740037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6.3550942286383367E-14</v>
      </c>
      <c r="BF94" s="13">
        <f t="shared" si="91"/>
        <v>1.0064464192543978E-12</v>
      </c>
      <c r="BG94" s="20">
        <f t="shared" si="61"/>
        <v>1.8635787380168604E-12</v>
      </c>
      <c r="BH94" s="59">
        <f t="shared" si="62"/>
        <v>293.33333333333519</v>
      </c>
      <c r="BI94" s="59">
        <f ca="1">AVERAGE(OFFSET($BH$3,0,0,'Données projet'!$E$11+1,1))-AVERAGE(OFFSET($H$3,0,0,'Données projet'!$E$11+1,1))</f>
        <v>304.91676868833792</v>
      </c>
      <c r="BJ94" s="59">
        <f t="shared" si="92"/>
        <v>365.95065044620048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118.8847738453867</v>
      </c>
      <c r="BQ94" s="21">
        <f>EXP(-LN(2)/25)*BQ93+(1-EXP(-LN(2)/25))/(LN(2)/25)*Calculateur!BL94*Calculateur!BN94*VLOOKUP('Données projet'!$B$11,Paramètres!$A$1:$I$89,3,0)*0.475*44/12</f>
        <v>22.030172392975231</v>
      </c>
      <c r="BR94" s="21">
        <f>EXP(-LN(2)/2)*BR93+(1-EXP(-LN(2)/2))/(LN(2)/2)*BL94*BO94*VLOOKUP('Données projet'!$B$11,Paramètres!$A$1:$I$89,3,0)*0.475*44/12</f>
        <v>1.0370542192499011E-3</v>
      </c>
      <c r="BS94" s="22">
        <f t="shared" si="63"/>
        <v>140.91598329258119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511.49999999999966</v>
      </c>
      <c r="BZ94" s="13">
        <f>BY94*VLOOKUP('Données projet'!$B$12,Paramètres!$A$1:$I$89,3,0)*VLOOKUP('Données projet'!$B$12,Paramètres!$A$1:$I$89,5,0)</f>
        <v>239.38199999999983</v>
      </c>
      <c r="CA94" s="13">
        <f t="shared" si="93"/>
        <v>58.306544825667132</v>
      </c>
      <c r="CB94" s="20">
        <f t="shared" si="64"/>
        <v>518.47421557137</v>
      </c>
      <c r="CC94" s="59">
        <f t="shared" si="65"/>
        <v>811.80754890470325</v>
      </c>
      <c r="CD94" s="59">
        <f ca="1">AVERAGE(OFFSET($CC$3,0,0,'Données projet'!$E$12+1,1))-AVERAGE(OFFSET($H$3,0,0,'Données projet'!$E$12+1,1))</f>
        <v>259.87681411271632</v>
      </c>
      <c r="CE94" s="59">
        <f t="shared" si="94"/>
        <v>191.8684235641158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90.468155734765162</v>
      </c>
      <c r="CL94" s="21">
        <f>EXP(-LN(2)/25)*CL93+(1-EXP(-LN(2)/25))/(LN(2)/25)*Calculateur!CG94*Calculateur!CI94*VLOOKUP('Données projet'!$B$12,Paramètres!$A$1:$I$89,3,0)*0.475*44/12</f>
        <v>19.993172025714376</v>
      </c>
      <c r="CM94" s="21">
        <f>EXP(-LN(2)/2)*CM93+(1-EXP(-LN(2)/2))/(LN(2)/2)*CG94*CJ94*VLOOKUP('Données projet'!$B$12,Paramètres!$A$1:$I$89,3,0)*0.475*44/12</f>
        <v>6.1632942549465568</v>
      </c>
      <c r="CN94" s="22">
        <f t="shared" si="66"/>
        <v>116.6246220154261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8.3000000000000007</v>
      </c>
      <c r="CT94" s="12">
        <f>IF('Données projet'!$A$140&gt;35,CT93+CS94-DB93,IF(A94&lt;'Données projet'!$A$140,$CQ$205^A94,IF(A94='Données projet'!$A$140,'Données projet'!$B$140,CT93+CS94-DB93)))</f>
        <v>269.36096640000005</v>
      </c>
      <c r="CU94" s="17">
        <f>CT94*VLOOKUP('Données projet'!$B$13,Paramètres!$A$1:$I$89,3,0)*VLOOKUP('Données projet'!$B$13,Paramètres!$A$1:$I$89,5,0)</f>
        <v>126.06093227520002</v>
      </c>
      <c r="CV94" s="13">
        <f t="shared" si="95"/>
        <v>33.084532906036983</v>
      </c>
      <c r="CW94" s="20">
        <f t="shared" si="67"/>
        <v>277.1783518573211</v>
      </c>
      <c r="CX94" s="59">
        <f t="shared" si="68"/>
        <v>570.51168519065436</v>
      </c>
      <c r="CY94" s="59">
        <f ca="1">AVERAGE(OFFSET($CX$3,0,0,'Données projet'!$E$13+1,1))-AVERAGE(OFFSET($H$3,0,0,'Données projet'!$E$13+1,1))</f>
        <v>137.59122085719031</v>
      </c>
      <c r="CZ94" s="59">
        <f t="shared" si="96"/>
        <v>130.1134470448718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53.155269306121312</v>
      </c>
      <c r="DG94" s="21">
        <f>EXP(-LN(2)/25)*DG93+(1-EXP(-LN(2)/25))/(LN(2)/25)*Calculateur!DB94*Calculateur!DD94*VLOOKUP('Données projet'!$B$13,Paramètres!$A$1:$I$89,3,0)*0.475*44/12</f>
        <v>11.582206718075858</v>
      </c>
      <c r="DH94" s="21">
        <f>EXP(-LN(2)/2)*DH93+(1-EXP(-LN(2)/2))/(LN(2)/2)*DB94*DE94*VLOOKUP('Données projet'!$B$13,Paramètres!$A$1:$I$89,3,0)*0.475*44/12</f>
        <v>3.3247600895485103</v>
      </c>
      <c r="DI94" s="22">
        <f t="shared" si="69"/>
        <v>68.062236113745669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6.1</v>
      </c>
      <c r="DO94" s="12">
        <f>IF('Données projet'!$A$166&gt;35,DO93+DN94-DW93,IF(A94&lt;'Données projet'!$A$166,$DL$205^A94,IF(A94='Données projet'!$A$166,'Données projet'!$B$166,DO93+DN94-DW93)))</f>
        <v>228.40000000000012</v>
      </c>
      <c r="DP94" s="17">
        <f>DO94*VLOOKUP('Données projet'!$B$14,Paramètres!$A$1:$I$89,3,0)*VLOOKUP('Données projet'!$B$14,Paramètres!$A$1:$I$89,5,0)</f>
        <v>231.59760000000014</v>
      </c>
      <c r="DQ94" s="13">
        <f t="shared" si="97"/>
        <v>56.627980714948201</v>
      </c>
      <c r="DR94" s="20">
        <f t="shared" si="70"/>
        <v>501.99288641186837</v>
      </c>
      <c r="DS94" s="59">
        <f t="shared" si="71"/>
        <v>795.32621974520168</v>
      </c>
      <c r="DT94" s="59">
        <f ca="1">AVERAGE(OFFSET($DS$3,0,0,'Données projet'!$E$14+1,1))-AVERAGE(OFFSET($H$3,0,0,'Données projet'!$E$14+1,1))</f>
        <v>313.90901812281373</v>
      </c>
      <c r="DU94" s="59">
        <f t="shared" si="98"/>
        <v>210.54265725995265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50.818617458362958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50.818617458362958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-5.6843418860808015E-14</v>
      </c>
      <c r="EK94" s="17">
        <f>EJ94*VLOOKUP('Données projet'!$B$15,Paramètres!$A$1:$I$89,3,0)*VLOOKUP('Données projet'!$B$15,Paramètres!$A$1:$I$89,5,0)</f>
        <v>-4.5224624045658861E-14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316.52407313312403</v>
      </c>
      <c r="EP94" s="59">
        <f t="shared" si="100"/>
        <v>340.55949748167382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116.74337882009577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116.74337882009577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-5.6843418860808015E-14</v>
      </c>
      <c r="FF94" s="17">
        <f>FE94*VLOOKUP('Données projet'!$B$16,Paramètres!$A$1:$I$89,3,0)*VLOOKUP('Données projet'!$B$16,Paramètres!$A$1:$I$89,5,0)</f>
        <v>-3.7243808037601412E-14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199.99826357281154</v>
      </c>
      <c r="FK94" s="59">
        <f t="shared" si="102"/>
        <v>214.67424457475136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50.485691287745688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50.485691287745688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284.60021367910457</v>
      </c>
      <c r="T95" s="59">
        <f t="shared" si="88"/>
        <v>301.41905904220812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117.94977406429241</v>
      </c>
      <c r="AA95" s="21">
        <f>EXP(-LN(2)/25)*AA94+(1-EXP(-LN(2)/25))/(LN(2)/25)*Calculateur!V95*Calculateur!X95*VLOOKUP('Données projet'!$B$9,Paramètres!$A$1:$I$89,3,0)*0.475*44/12</f>
        <v>22.062459229419499</v>
      </c>
      <c r="AB95" s="21">
        <f>EXP(-LN(2)/2)*AB94+(1-EXP(-LN(2)/2))/(LN(2)/2)*V95*Y95*VLOOKUP('Données projet'!$B$9,Paramètres!$A$1:$I$89,3,0)*0.475*44/12</f>
        <v>4.3392502131647769E-3</v>
      </c>
      <c r="AC95" s="22">
        <f t="shared" si="57"/>
        <v>140.01657254392509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294.45857786714919</v>
      </c>
      <c r="AO95" s="59">
        <f t="shared" si="90"/>
        <v>221.9773436301067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162.73979295104854</v>
      </c>
      <c r="AV95" s="21">
        <f>EXP(-LN(2)/25)*AV94+(1-EXP(-LN(2)/25))/(LN(2)/25)*Calculateur!AQ95*Calculateur!AS95*VLOOKUP('Données projet'!$B$10,Paramètres!$A$1:$I$89,3,0)*0.475*44/12</f>
        <v>34.431394915966436</v>
      </c>
      <c r="AW95" s="21">
        <f>EXP(-LN(2)/2)*AW94+(1-EXP(-LN(2)/2))/(LN(2)/2)*AQ95*AT95*VLOOKUP('Données projet'!$B$10,Paramètres!$A$1:$I$89,3,0)*0.475*44/12</f>
        <v>1.5908172118802757</v>
      </c>
      <c r="AX95" s="21">
        <f t="shared" si="60"/>
        <v>198.76200507889524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6.3550942286383367E-14</v>
      </c>
      <c r="BF95" s="13">
        <f t="shared" si="91"/>
        <v>1.0064464192543978E-12</v>
      </c>
      <c r="BG95" s="20">
        <f t="shared" si="61"/>
        <v>1.8635787380168604E-12</v>
      </c>
      <c r="BH95" s="59">
        <f t="shared" si="62"/>
        <v>293.33333333333519</v>
      </c>
      <c r="BI95" s="59">
        <f ca="1">AVERAGE(OFFSET($BH$3,0,0,'Données projet'!$E$11+1,1))-AVERAGE(OFFSET($H$3,0,0,'Données projet'!$E$11+1,1))</f>
        <v>304.91676868833792</v>
      </c>
      <c r="BJ95" s="59">
        <f t="shared" si="92"/>
        <v>365.95065044620048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116.5535159428307</v>
      </c>
      <c r="BQ95" s="21">
        <f>EXP(-LN(2)/25)*BQ94+(1-EXP(-LN(2)/25))/(LN(2)/25)*Calculateur!BL95*Calculateur!BN95*VLOOKUP('Données projet'!$B$11,Paramètres!$A$1:$I$89,3,0)*0.475*44/12</f>
        <v>21.427756170372909</v>
      </c>
      <c r="BR95" s="21">
        <f>EXP(-LN(2)/2)*BR94+(1-EXP(-LN(2)/2))/(LN(2)/2)*BL95*BO95*VLOOKUP('Données projet'!$B$11,Paramètres!$A$1:$I$89,3,0)*0.475*44/12</f>
        <v>7.3330807088972574E-4</v>
      </c>
      <c r="BS95" s="22">
        <f t="shared" si="63"/>
        <v>137.98200542127449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529.99999999999966</v>
      </c>
      <c r="BZ95" s="13">
        <f>BY95*VLOOKUP('Données projet'!$B$12,Paramètres!$A$1:$I$89,3,0)*VLOOKUP('Données projet'!$B$12,Paramètres!$A$1:$I$89,5,0)</f>
        <v>248.03999999999985</v>
      </c>
      <c r="CA95" s="13">
        <f t="shared" si="93"/>
        <v>60.166044284441391</v>
      </c>
      <c r="CB95" s="20">
        <f t="shared" si="64"/>
        <v>536.79219379540177</v>
      </c>
      <c r="CC95" s="59">
        <f t="shared" si="65"/>
        <v>830.12552712873503</v>
      </c>
      <c r="CD95" s="59">
        <f ca="1">AVERAGE(OFFSET($CC$3,0,0,'Données projet'!$E$12+1,1))-AVERAGE(OFFSET($H$3,0,0,'Données projet'!$E$12+1,1))</f>
        <v>259.87681411271632</v>
      </c>
      <c r="CE95" s="59">
        <f t="shared" si="94"/>
        <v>191.8684235641158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88.694130380932833</v>
      </c>
      <c r="CL95" s="21">
        <f>EXP(-LN(2)/25)*CL94+(1-EXP(-LN(2)/25))/(LN(2)/25)*Calculateur!CG95*Calculateur!CI95*VLOOKUP('Données projet'!$B$12,Paramètres!$A$1:$I$89,3,0)*0.475*44/12</f>
        <v>19.446457685275995</v>
      </c>
      <c r="CM95" s="21">
        <f>EXP(-LN(2)/2)*CM94+(1-EXP(-LN(2)/2))/(LN(2)/2)*CG95*CJ95*VLOOKUP('Données projet'!$B$12,Paramètres!$A$1:$I$89,3,0)*0.475*44/12</f>
        <v>4.3581071621208007</v>
      </c>
      <c r="CN95" s="22">
        <f t="shared" si="66"/>
        <v>112.49869522832964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8.3000000000000007</v>
      </c>
      <c r="CT95" s="12">
        <f>IF('Données projet'!$A$140&gt;35,CT94+CS95-DB94,IF(A95&lt;'Données projet'!$A$140,$CQ$205^A95,IF(A95='Données projet'!$A$140,'Données projet'!$B$140,CT94+CS95-DB94)))</f>
        <v>277.66096640000006</v>
      </c>
      <c r="CU95" s="17">
        <f>CT95*VLOOKUP('Données projet'!$B$13,Paramètres!$A$1:$I$89,3,0)*VLOOKUP('Données projet'!$B$13,Paramètres!$A$1:$I$89,5,0)</f>
        <v>129.94533227520003</v>
      </c>
      <c r="CV95" s="13">
        <f t="shared" si="95"/>
        <v>33.983726917021798</v>
      </c>
      <c r="CW95" s="20">
        <f t="shared" si="67"/>
        <v>285.50977809311968</v>
      </c>
      <c r="CX95" s="59">
        <f t="shared" si="68"/>
        <v>578.84311142645299</v>
      </c>
      <c r="CY95" s="59">
        <f ca="1">AVERAGE(OFFSET($CX$3,0,0,'Données projet'!$E$13+1,1))-AVERAGE(OFFSET($H$3,0,0,'Données projet'!$E$13+1,1))</f>
        <v>137.59122085719031</v>
      </c>
      <c r="CZ95" s="59">
        <f t="shared" si="96"/>
        <v>130.1134470448718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52.11292689654119</v>
      </c>
      <c r="DG95" s="21">
        <f>EXP(-LN(2)/25)*DG94+(1-EXP(-LN(2)/25))/(LN(2)/25)*Calculateur!DB95*Calculateur!DD95*VLOOKUP('Données projet'!$B$13,Paramètres!$A$1:$I$89,3,0)*0.475*44/12</f>
        <v>11.265490666288294</v>
      </c>
      <c r="DH95" s="21">
        <f>EXP(-LN(2)/2)*DH94+(1-EXP(-LN(2)/2))/(LN(2)/2)*DB95*DE95*VLOOKUP('Données projet'!$B$13,Paramètres!$A$1:$I$89,3,0)*0.475*44/12</f>
        <v>2.350960405138145</v>
      </c>
      <c r="DI95" s="22">
        <f t="shared" si="69"/>
        <v>65.729377967967622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6.1</v>
      </c>
      <c r="DO95" s="12">
        <f>IF('Données projet'!$A$166&gt;35,DO94+DN95-DW94,IF(A95&lt;'Données projet'!$A$166,$DL$205^A95,IF(A95='Données projet'!$A$166,'Données projet'!$B$166,DO94+DN95-DW94)))</f>
        <v>234.50000000000011</v>
      </c>
      <c r="DP95" s="17">
        <f>DO95*VLOOKUP('Données projet'!$B$14,Paramètres!$A$1:$I$89,3,0)*VLOOKUP('Données projet'!$B$14,Paramètres!$A$1:$I$89,5,0)</f>
        <v>237.7830000000001</v>
      </c>
      <c r="DQ95" s="13">
        <f t="shared" si="97"/>
        <v>57.962274801408675</v>
      </c>
      <c r="DR95" s="20">
        <f t="shared" si="70"/>
        <v>515.08968694578687</v>
      </c>
      <c r="DS95" s="59">
        <f t="shared" si="71"/>
        <v>808.42302027912024</v>
      </c>
      <c r="DT95" s="59">
        <f ca="1">AVERAGE(OFFSET($DS$3,0,0,'Données projet'!$E$14+1,1))-AVERAGE(OFFSET($H$3,0,0,'Données projet'!$E$14+1,1))</f>
        <v>313.90901812281373</v>
      </c>
      <c r="DU95" s="59">
        <f t="shared" si="98"/>
        <v>210.54265725995265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49.822095366300481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49.822095366300481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-5.6843418860808015E-14</v>
      </c>
      <c r="EK95" s="17">
        <f>EJ95*VLOOKUP('Données projet'!$B$15,Paramètres!$A$1:$I$89,3,0)*VLOOKUP('Données projet'!$B$15,Paramètres!$A$1:$I$89,5,0)</f>
        <v>-4.5224624045658861E-14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316.52407313312403</v>
      </c>
      <c r="EP95" s="59">
        <f t="shared" si="100"/>
        <v>340.55949748167382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114.45411236786371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114.45411236786371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-5.6843418860808015E-14</v>
      </c>
      <c r="FF95" s="17">
        <f>FE95*VLOOKUP('Données projet'!$B$16,Paramètres!$A$1:$I$89,3,0)*VLOOKUP('Données projet'!$B$16,Paramètres!$A$1:$I$89,5,0)</f>
        <v>-3.7243808037601412E-14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199.99826357281154</v>
      </c>
      <c r="FK95" s="59">
        <f t="shared" si="102"/>
        <v>214.67424457475136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49.4956976748241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49.4956976748241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284.60021367910457</v>
      </c>
      <c r="T96" s="59">
        <f t="shared" si="88"/>
        <v>301.41905904220812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115.63685093715011</v>
      </c>
      <c r="AA96" s="21">
        <f>EXP(-LN(2)/25)*AA95+(1-EXP(-LN(2)/25))/(LN(2)/25)*Calculateur!V96*Calculateur!X96*VLOOKUP('Données projet'!$B$9,Paramètres!$A$1:$I$89,3,0)*0.475*44/12</f>
        <v>21.459160121576716</v>
      </c>
      <c r="AB96" s="21">
        <f>EXP(-LN(2)/2)*AB95+(1-EXP(-LN(2)/2))/(LN(2)/2)*V96*Y96*VLOOKUP('Données projet'!$B$9,Paramètres!$A$1:$I$89,3,0)*0.475*44/12</f>
        <v>3.0683132509939856E-3</v>
      </c>
      <c r="AC96" s="22">
        <f t="shared" si="57"/>
        <v>137.09907937197784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294.45857786714919</v>
      </c>
      <c r="AO96" s="59">
        <f t="shared" si="90"/>
        <v>221.9773436301067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159.54856487275092</v>
      </c>
      <c r="AV96" s="21">
        <f>EXP(-LN(2)/25)*AV95+(1-EXP(-LN(2)/25))/(LN(2)/25)*Calculateur!AQ96*Calculateur!AS96*VLOOKUP('Données projet'!$B$10,Paramètres!$A$1:$I$89,3,0)*0.475*44/12</f>
        <v>33.48986661132097</v>
      </c>
      <c r="AW96" s="21">
        <f>EXP(-LN(2)/2)*AW95+(1-EXP(-LN(2)/2))/(LN(2)/2)*AQ96*AT96*VLOOKUP('Données projet'!$B$10,Paramètres!$A$1:$I$89,3,0)*0.475*44/12</f>
        <v>1.1248776381488197</v>
      </c>
      <c r="AX96" s="21">
        <f t="shared" si="60"/>
        <v>194.16330912222071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6.3550942286383367E-14</v>
      </c>
      <c r="BF96" s="13">
        <f t="shared" si="91"/>
        <v>1.0064464192543978E-12</v>
      </c>
      <c r="BG96" s="20">
        <f t="shared" si="61"/>
        <v>1.8635787380168604E-12</v>
      </c>
      <c r="BH96" s="59">
        <f t="shared" si="62"/>
        <v>293.33333333333519</v>
      </c>
      <c r="BI96" s="59">
        <f ca="1">AVERAGE(OFFSET($BH$3,0,0,'Données projet'!$E$11+1,1))-AVERAGE(OFFSET($H$3,0,0,'Données projet'!$E$11+1,1))</f>
        <v>304.91676868833792</v>
      </c>
      <c r="BJ96" s="59">
        <f t="shared" si="92"/>
        <v>365.95065044620048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114.26797258581689</v>
      </c>
      <c r="BQ96" s="21">
        <f>EXP(-LN(2)/25)*BQ95+(1-EXP(-LN(2)/25))/(LN(2)/25)*Calculateur!BL96*Calculateur!BN96*VLOOKUP('Données projet'!$B$11,Paramètres!$A$1:$I$89,3,0)*0.475*44/12</f>
        <v>20.84181305105734</v>
      </c>
      <c r="BR96" s="21">
        <f>EXP(-LN(2)/2)*BR95+(1-EXP(-LN(2)/2))/(LN(2)/2)*BL96*BO96*VLOOKUP('Données projet'!$B$11,Paramètres!$A$1:$I$89,3,0)*0.475*44/12</f>
        <v>5.1852710962495057E-4</v>
      </c>
      <c r="BS96" s="22">
        <f t="shared" si="63"/>
        <v>135.11030416398384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548.49999999999966</v>
      </c>
      <c r="BZ96" s="13">
        <f>BY96*VLOOKUP('Données projet'!$B$12,Paramètres!$A$1:$I$89,3,0)*VLOOKUP('Données projet'!$B$12,Paramètres!$A$1:$I$89,5,0)</f>
        <v>256.69799999999981</v>
      </c>
      <c r="CA96" s="13">
        <f t="shared" si="93"/>
        <v>62.018002271741132</v>
      </c>
      <c r="CB96" s="20">
        <f t="shared" si="64"/>
        <v>555.09703728994884</v>
      </c>
      <c r="CC96" s="59">
        <f t="shared" si="65"/>
        <v>848.43037062328222</v>
      </c>
      <c r="CD96" s="59">
        <f ca="1">AVERAGE(OFFSET($CC$3,0,0,'Données projet'!$E$12+1,1))-AVERAGE(OFFSET($H$3,0,0,'Données projet'!$E$12+1,1))</f>
        <v>259.87681411271632</v>
      </c>
      <c r="CE96" s="59">
        <f t="shared" si="94"/>
        <v>191.8684235641158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86.954892582240532</v>
      </c>
      <c r="CL96" s="21">
        <f>EXP(-LN(2)/25)*CL95+(1-EXP(-LN(2)/25))/(LN(2)/25)*Calculateur!CG96*Calculateur!CI96*VLOOKUP('Données projet'!$B$12,Paramètres!$A$1:$I$89,3,0)*0.475*44/12</f>
        <v>18.914693277227357</v>
      </c>
      <c r="CM96" s="21">
        <f>EXP(-LN(2)/2)*CM95+(1-EXP(-LN(2)/2))/(LN(2)/2)*CG96*CJ96*VLOOKUP('Données projet'!$B$12,Paramètres!$A$1:$I$89,3,0)*0.475*44/12</f>
        <v>3.0816471274732788</v>
      </c>
      <c r="CN96" s="22">
        <f t="shared" si="66"/>
        <v>108.95123298694116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8.3000000000000007</v>
      </c>
      <c r="CT96" s="12">
        <f>IF('Données projet'!$A$140&gt;35,CT95+CS96-DB95,IF(A96&lt;'Données projet'!$A$140,$CQ$205^A96,IF(A96='Données projet'!$A$140,'Données projet'!$B$140,CT95+CS96-DB95)))</f>
        <v>285.96096640000007</v>
      </c>
      <c r="CU96" s="17">
        <f>CT96*VLOOKUP('Données projet'!$B$13,Paramètres!$A$1:$I$89,3,0)*VLOOKUP('Données projet'!$B$13,Paramètres!$A$1:$I$89,5,0)</f>
        <v>133.82973227520003</v>
      </c>
      <c r="CV96" s="13">
        <f t="shared" si="95"/>
        <v>34.879797132127493</v>
      </c>
      <c r="CW96" s="20">
        <f t="shared" si="67"/>
        <v>293.83576371776206</v>
      </c>
      <c r="CX96" s="59">
        <f t="shared" si="68"/>
        <v>587.16909705109538</v>
      </c>
      <c r="CY96" s="59">
        <f ca="1">AVERAGE(OFFSET($CX$3,0,0,'Données projet'!$E$13+1,1))-AVERAGE(OFFSET($H$3,0,0,'Données projet'!$E$13+1,1))</f>
        <v>137.59122085719031</v>
      </c>
      <c r="CZ96" s="59">
        <f t="shared" si="96"/>
        <v>130.1134470448718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51.091024185846841</v>
      </c>
      <c r="DG96" s="21">
        <f>EXP(-LN(2)/25)*DG95+(1-EXP(-LN(2)/25))/(LN(2)/25)*Calculateur!DB96*Calculateur!DD96*VLOOKUP('Données projet'!$B$13,Paramètres!$A$1:$I$89,3,0)*0.475*44/12</f>
        <v>10.957435231592234</v>
      </c>
      <c r="DH96" s="21">
        <f>EXP(-LN(2)/2)*DH95+(1-EXP(-LN(2)/2))/(LN(2)/2)*DB96*DE96*VLOOKUP('Données projet'!$B$13,Paramètres!$A$1:$I$89,3,0)*0.475*44/12</f>
        <v>1.6623800447742556</v>
      </c>
      <c r="DI96" s="22">
        <f t="shared" si="69"/>
        <v>63.710839462213329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6.1</v>
      </c>
      <c r="DO96" s="12">
        <f>IF('Données projet'!$A$166&gt;35,DO95+DN96-DW95,IF(A96&lt;'Données projet'!$A$166,$DL$205^A96,IF(A96='Données projet'!$A$166,'Données projet'!$B$166,DO95+DN96-DW95)))</f>
        <v>240.60000000000011</v>
      </c>
      <c r="DP96" s="17">
        <f>DO96*VLOOKUP('Données projet'!$B$14,Paramètres!$A$1:$I$89,3,0)*VLOOKUP('Données projet'!$B$14,Paramètres!$A$1:$I$89,5,0)</f>
        <v>243.96840000000012</v>
      </c>
      <c r="DQ96" s="13">
        <f t="shared" si="97"/>
        <v>59.292534422796415</v>
      </c>
      <c r="DR96" s="20">
        <f t="shared" si="70"/>
        <v>528.17946078637067</v>
      </c>
      <c r="DS96" s="59">
        <f t="shared" si="71"/>
        <v>821.51279411970404</v>
      </c>
      <c r="DT96" s="59">
        <f ca="1">AVERAGE(OFFSET($DS$3,0,0,'Données projet'!$E$14+1,1))-AVERAGE(OFFSET($H$3,0,0,'Données projet'!$E$14+1,1))</f>
        <v>313.90901812281373</v>
      </c>
      <c r="DU96" s="59">
        <f t="shared" si="98"/>
        <v>210.54265725995265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48.845114464644887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48.845114464644887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-5.6843418860808015E-14</v>
      </c>
      <c r="EK96" s="17">
        <f>EJ96*VLOOKUP('Données projet'!$B$15,Paramètres!$A$1:$I$89,3,0)*VLOOKUP('Données projet'!$B$15,Paramètres!$A$1:$I$89,5,0)</f>
        <v>-4.5224624045658861E-14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316.52407313312403</v>
      </c>
      <c r="EP96" s="59">
        <f t="shared" si="100"/>
        <v>340.55949748167382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112.20973703444527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112.20973703444527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-5.6843418860808015E-14</v>
      </c>
      <c r="FF96" s="17">
        <f>FE96*VLOOKUP('Données projet'!$B$16,Paramètres!$A$1:$I$89,3,0)*VLOOKUP('Données projet'!$B$16,Paramètres!$A$1:$I$89,5,0)</f>
        <v>-3.7243808037601412E-14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199.99826357281154</v>
      </c>
      <c r="FK96" s="59">
        <f t="shared" si="102"/>
        <v>214.67424457475136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48.525117232815425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48.525117232815425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284.60021367910457</v>
      </c>
      <c r="T97" s="59">
        <f t="shared" si="88"/>
        <v>301.41905904220812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113.36928282178727</v>
      </c>
      <c r="AA97" s="21">
        <f>EXP(-LN(2)/25)*AA96+(1-EXP(-LN(2)/25))/(LN(2)/25)*Calculateur!V97*Calculateur!X97*VLOOKUP('Données projet'!$B$9,Paramètres!$A$1:$I$89,3,0)*0.475*44/12</f>
        <v>20.872358259564017</v>
      </c>
      <c r="AB97" s="21">
        <f>EXP(-LN(2)/2)*AB96+(1-EXP(-LN(2)/2))/(LN(2)/2)*V97*Y97*VLOOKUP('Données projet'!$B$9,Paramètres!$A$1:$I$89,3,0)*0.475*44/12</f>
        <v>2.1696251065823884E-3</v>
      </c>
      <c r="AC97" s="22">
        <f t="shared" si="57"/>
        <v>134.24381070645785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294.45857786714919</v>
      </c>
      <c r="AO97" s="59">
        <f t="shared" si="90"/>
        <v>221.9773436301067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156.41991483061179</v>
      </c>
      <c r="AV97" s="21">
        <f>EXP(-LN(2)/25)*AV96+(1-EXP(-LN(2)/25))/(LN(2)/25)*Calculateur!AQ97*Calculateur!AS97*VLOOKUP('Données projet'!$B$10,Paramètres!$A$1:$I$89,3,0)*0.475*44/12</f>
        <v>32.574084447678857</v>
      </c>
      <c r="AW97" s="21">
        <f>EXP(-LN(2)/2)*AW96+(1-EXP(-LN(2)/2))/(LN(2)/2)*AQ97*AT97*VLOOKUP('Données projet'!$B$10,Paramètres!$A$1:$I$89,3,0)*0.475*44/12</f>
        <v>0.79540860594013785</v>
      </c>
      <c r="AX97" s="21">
        <f t="shared" si="60"/>
        <v>189.78940788423077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6.3550942286383367E-14</v>
      </c>
      <c r="BF97" s="13">
        <f t="shared" si="91"/>
        <v>1.0064464192543978E-12</v>
      </c>
      <c r="BG97" s="20">
        <f t="shared" si="61"/>
        <v>1.8635787380168604E-12</v>
      </c>
      <c r="BH97" s="59">
        <f t="shared" si="62"/>
        <v>293.33333333333519</v>
      </c>
      <c r="BI97" s="59">
        <f ca="1">AVERAGE(OFFSET($BH$3,0,0,'Données projet'!$E$11+1,1))-AVERAGE(OFFSET($H$3,0,0,'Données projet'!$E$11+1,1))</f>
        <v>304.91676868833792</v>
      </c>
      <c r="BJ97" s="59">
        <f t="shared" si="92"/>
        <v>365.95065044620048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112.02724733999034</v>
      </c>
      <c r="BQ97" s="21">
        <f>EXP(-LN(2)/25)*BQ96+(1-EXP(-LN(2)/25))/(LN(2)/25)*Calculateur!BL97*Calculateur!BN97*VLOOKUP('Données projet'!$B$11,Paramètres!$A$1:$I$89,3,0)*0.475*44/12</f>
        <v>20.271892577152862</v>
      </c>
      <c r="BR97" s="21">
        <f>EXP(-LN(2)/2)*BR96+(1-EXP(-LN(2)/2))/(LN(2)/2)*BL97*BO97*VLOOKUP('Données projet'!$B$11,Paramètres!$A$1:$I$89,3,0)*0.475*44/12</f>
        <v>3.6665403544486287E-4</v>
      </c>
      <c r="BS97" s="22">
        <f t="shared" si="63"/>
        <v>132.29950657117865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566.99999999999966</v>
      </c>
      <c r="BZ97" s="13">
        <f>BY97*VLOOKUP('Données projet'!$B$12,Paramètres!$A$1:$I$89,3,0)*VLOOKUP('Données projet'!$B$12,Paramètres!$A$1:$I$89,5,0)</f>
        <v>265.35599999999982</v>
      </c>
      <c r="CA97" s="13">
        <f t="shared" si="93"/>
        <v>63.86270230912983</v>
      </c>
      <c r="CB97" s="20">
        <f t="shared" si="64"/>
        <v>573.38923985506744</v>
      </c>
      <c r="CC97" s="59">
        <f t="shared" si="65"/>
        <v>866.7225731884007</v>
      </c>
      <c r="CD97" s="59">
        <f ca="1">AVERAGE(OFFSET($CC$3,0,0,'Données projet'!$E$12+1,1))-AVERAGE(OFFSET($H$3,0,0,'Données projet'!$E$12+1,1))</f>
        <v>259.87681411271632</v>
      </c>
      <c r="CE97" s="59">
        <f t="shared" si="94"/>
        <v>191.8684235641158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85.249760175950271</v>
      </c>
      <c r="CL97" s="21">
        <f>EXP(-LN(2)/25)*CL96+(1-EXP(-LN(2)/25))/(LN(2)/25)*Calculateur!CG97*Calculateur!CI97*VLOOKUP('Données projet'!$B$12,Paramètres!$A$1:$I$89,3,0)*0.475*44/12</f>
        <v>18.397469994881085</v>
      </c>
      <c r="CM97" s="21">
        <f>EXP(-LN(2)/2)*CM96+(1-EXP(-LN(2)/2))/(LN(2)/2)*CG97*CJ97*VLOOKUP('Données projet'!$B$12,Paramètres!$A$1:$I$89,3,0)*0.475*44/12</f>
        <v>2.1790535810604008</v>
      </c>
      <c r="CN97" s="22">
        <f t="shared" si="66"/>
        <v>105.82628375189176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8.3000000000000007</v>
      </c>
      <c r="CT97" s="12">
        <f>IF('Données projet'!$A$140&gt;35,CT96+CS97-DB96,IF(A97&lt;'Données projet'!$A$140,$CQ$205^A97,IF(A97='Données projet'!$A$140,'Données projet'!$B$140,CT96+CS97-DB96)))</f>
        <v>294.26096640000009</v>
      </c>
      <c r="CU97" s="17">
        <f>CT97*VLOOKUP('Données projet'!$B$13,Paramètres!$A$1:$I$89,3,0)*VLOOKUP('Données projet'!$B$13,Paramètres!$A$1:$I$89,5,0)</f>
        <v>137.71413227520003</v>
      </c>
      <c r="CV97" s="13">
        <f t="shared" si="95"/>
        <v>35.772844631067365</v>
      </c>
      <c r="CW97" s="20">
        <f t="shared" si="67"/>
        <v>302.15648477841569</v>
      </c>
      <c r="CX97" s="59">
        <f t="shared" si="68"/>
        <v>595.48981811174895</v>
      </c>
      <c r="CY97" s="59">
        <f ca="1">AVERAGE(OFFSET($CX$3,0,0,'Données projet'!$E$13+1,1))-AVERAGE(OFFSET($H$3,0,0,'Données projet'!$E$13+1,1))</f>
        <v>137.59122085719031</v>
      </c>
      <c r="CZ97" s="59">
        <f t="shared" si="96"/>
        <v>130.1134470448718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50.089160364010098</v>
      </c>
      <c r="DG97" s="21">
        <f>EXP(-LN(2)/25)*DG96+(1-EXP(-LN(2)/25))/(LN(2)/25)*Calculateur!DB97*Calculateur!DD97*VLOOKUP('Données projet'!$B$13,Paramètres!$A$1:$I$89,3,0)*0.475*44/12</f>
        <v>10.657803588957869</v>
      </c>
      <c r="DH97" s="21">
        <f>EXP(-LN(2)/2)*DH96+(1-EXP(-LN(2)/2))/(LN(2)/2)*DB97*DE97*VLOOKUP('Données projet'!$B$13,Paramètres!$A$1:$I$89,3,0)*0.475*44/12</f>
        <v>1.1754802025690727</v>
      </c>
      <c r="DI97" s="22">
        <f t="shared" si="69"/>
        <v>61.922444155537036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6.1</v>
      </c>
      <c r="DO97" s="12">
        <f>IF('Données projet'!$A$166&gt;35,DO96+DN97-DW96,IF(A97&lt;'Données projet'!$A$166,$DL$205^A97,IF(A97='Données projet'!$A$166,'Données projet'!$B$166,DO96+DN97-DW96)))</f>
        <v>246.7000000000001</v>
      </c>
      <c r="DP97" s="17">
        <f>DO97*VLOOKUP('Données projet'!$B$14,Paramètres!$A$1:$I$89,3,0)*VLOOKUP('Données projet'!$B$14,Paramètres!$A$1:$I$89,5,0)</f>
        <v>250.15380000000013</v>
      </c>
      <c r="DQ97" s="13">
        <f t="shared" si="97"/>
        <v>60.618873628636067</v>
      </c>
      <c r="DR97" s="20">
        <f t="shared" si="70"/>
        <v>541.26240656987477</v>
      </c>
      <c r="DS97" s="59">
        <f t="shared" si="71"/>
        <v>834.59573990320814</v>
      </c>
      <c r="DT97" s="59">
        <f ca="1">AVERAGE(OFFSET($DS$3,0,0,'Données projet'!$E$14+1,1))-AVERAGE(OFFSET($H$3,0,0,'Données projet'!$E$14+1,1))</f>
        <v>313.90901812281373</v>
      </c>
      <c r="DU97" s="59">
        <f t="shared" si="98"/>
        <v>210.54265725995265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47.887291562571249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47.887291562571249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-5.6843418860808015E-14</v>
      </c>
      <c r="EK97" s="17">
        <f>EJ97*VLOOKUP('Données projet'!$B$15,Paramètres!$A$1:$I$89,3,0)*VLOOKUP('Données projet'!$B$15,Paramètres!$A$1:$I$89,5,0)</f>
        <v>-4.5224624045658861E-14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316.52407313312403</v>
      </c>
      <c r="EP97" s="59">
        <f t="shared" si="100"/>
        <v>340.55949748167382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110.00937253238138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110.00937253238138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-5.6843418860808015E-14</v>
      </c>
      <c r="FF97" s="17">
        <f>FE97*VLOOKUP('Données projet'!$B$16,Paramètres!$A$1:$I$89,3,0)*VLOOKUP('Données projet'!$B$16,Paramètres!$A$1:$I$89,5,0)</f>
        <v>-3.7243808037601412E-14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199.99826357281154</v>
      </c>
      <c r="FK97" s="59">
        <f t="shared" si="102"/>
        <v>214.67424457475136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47.573569281278928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47.573569281278928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284.60021367910457</v>
      </c>
      <c r="T98" s="59">
        <f t="shared" si="88"/>
        <v>301.41905904220812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111.14618033408669</v>
      </c>
      <c r="AA98" s="21">
        <f>EXP(-LN(2)/25)*AA97+(1-EXP(-LN(2)/25))/(LN(2)/25)*Calculateur!V98*Calculateur!X98*VLOOKUP('Données projet'!$B$9,Paramètres!$A$1:$I$89,3,0)*0.475*44/12</f>
        <v>20.301602525326622</v>
      </c>
      <c r="AB98" s="21">
        <f>EXP(-LN(2)/2)*AB97+(1-EXP(-LN(2)/2))/(LN(2)/2)*V98*Y98*VLOOKUP('Données projet'!$B$9,Paramètres!$A$1:$I$89,3,0)*0.475*44/12</f>
        <v>1.5341566254969928E-3</v>
      </c>
      <c r="AC98" s="22">
        <f t="shared" si="57"/>
        <v>131.4493170160388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294.45857786714919</v>
      </c>
      <c r="AO98" s="59">
        <f t="shared" si="90"/>
        <v>221.9773436301067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153.35261570751089</v>
      </c>
      <c r="AV98" s="21">
        <f>EXP(-LN(2)/25)*AV97+(1-EXP(-LN(2)/25))/(LN(2)/25)*Calculateur!AQ98*Calculateur!AS98*VLOOKUP('Données projet'!$B$10,Paramètres!$A$1:$I$89,3,0)*0.475*44/12</f>
        <v>31.683344395460427</v>
      </c>
      <c r="AW98" s="21">
        <f>EXP(-LN(2)/2)*AW97+(1-EXP(-LN(2)/2))/(LN(2)/2)*AQ98*AT98*VLOOKUP('Données projet'!$B$10,Paramètres!$A$1:$I$89,3,0)*0.475*44/12</f>
        <v>0.56243881907440985</v>
      </c>
      <c r="AX98" s="21">
        <f t="shared" si="60"/>
        <v>185.59839892204573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6.3550942286383367E-14</v>
      </c>
      <c r="BF98" s="13">
        <f t="shared" si="91"/>
        <v>1.0064464192543978E-12</v>
      </c>
      <c r="BG98" s="20">
        <f t="shared" si="61"/>
        <v>1.8635787380168604E-12</v>
      </c>
      <c r="BH98" s="59">
        <f t="shared" si="62"/>
        <v>293.33333333333519</v>
      </c>
      <c r="BI98" s="59">
        <f ca="1">AVERAGE(OFFSET($BH$3,0,0,'Données projet'!$E$11+1,1))-AVERAGE(OFFSET($H$3,0,0,'Données projet'!$E$11+1,1))</f>
        <v>304.91676868833792</v>
      </c>
      <c r="BJ98" s="59">
        <f t="shared" si="92"/>
        <v>365.95065044620048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109.83046134952698</v>
      </c>
      <c r="BQ98" s="21">
        <f>EXP(-LN(2)/25)*BQ97+(1-EXP(-LN(2)/25))/(LN(2)/25)*Calculateur!BL98*Calculateur!BN98*VLOOKUP('Données projet'!$B$11,Paramètres!$A$1:$I$89,3,0)*0.475*44/12</f>
        <v>19.717556608578118</v>
      </c>
      <c r="BR98" s="21">
        <f>EXP(-LN(2)/2)*BR97+(1-EXP(-LN(2)/2))/(LN(2)/2)*BL98*BO98*VLOOKUP('Données projet'!$B$11,Paramètres!$A$1:$I$89,3,0)*0.475*44/12</f>
        <v>2.5926355481247529E-4</v>
      </c>
      <c r="BS98" s="22">
        <f t="shared" si="63"/>
        <v>129.54827722165993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585.49999999999966</v>
      </c>
      <c r="BZ98" s="13">
        <f>BY98*VLOOKUP('Données projet'!$B$12,Paramètres!$A$1:$I$89,3,0)*VLOOKUP('Données projet'!$B$12,Paramètres!$A$1:$I$89,5,0)</f>
        <v>274.01399999999984</v>
      </c>
      <c r="CA98" s="13">
        <f t="shared" si="93"/>
        <v>65.700408366571935</v>
      </c>
      <c r="CB98" s="20">
        <f t="shared" si="64"/>
        <v>591.66926123844587</v>
      </c>
      <c r="CC98" s="59">
        <f t="shared" si="65"/>
        <v>885.00259457177913</v>
      </c>
      <c r="CD98" s="59">
        <f ca="1">AVERAGE(OFFSET($CC$3,0,0,'Données projet'!$E$12+1,1))-AVERAGE(OFFSET($H$3,0,0,'Données projet'!$E$12+1,1))</f>
        <v>259.87681411271632</v>
      </c>
      <c r="CE98" s="59">
        <f t="shared" si="94"/>
        <v>191.8684235641158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83.578064376119301</v>
      </c>
      <c r="CL98" s="21">
        <f>EXP(-LN(2)/25)*CL97+(1-EXP(-LN(2)/25))/(LN(2)/25)*Calculateur!CG98*Calculateur!CI98*VLOOKUP('Données projet'!$B$12,Paramètres!$A$1:$I$89,3,0)*0.475*44/12</f>
        <v>17.894390210390164</v>
      </c>
      <c r="CM98" s="21">
        <f>EXP(-LN(2)/2)*CM97+(1-EXP(-LN(2)/2))/(LN(2)/2)*CG98*CJ98*VLOOKUP('Données projet'!$B$12,Paramètres!$A$1:$I$89,3,0)*0.475*44/12</f>
        <v>1.5408235637366396</v>
      </c>
      <c r="CN98" s="22">
        <f t="shared" si="66"/>
        <v>103.01327815024609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8.3000000000000007</v>
      </c>
      <c r="CT98" s="12">
        <f>IF('Données projet'!$A$140&gt;35,CT97+CS98-DB97,IF(A98&lt;'Données projet'!$A$140,$CQ$205^A98,IF(A98='Données projet'!$A$140,'Données projet'!$B$140,CT97+CS98-DB97)))</f>
        <v>302.5609664000001</v>
      </c>
      <c r="CU98" s="17">
        <f>CT98*VLOOKUP('Données projet'!$B$13,Paramètres!$A$1:$I$89,3,0)*VLOOKUP('Données projet'!$B$13,Paramètres!$A$1:$I$89,5,0)</f>
        <v>141.59853227520006</v>
      </c>
      <c r="CV98" s="13">
        <f t="shared" si="95"/>
        <v>36.662964467006205</v>
      </c>
      <c r="CW98" s="20">
        <f t="shared" si="67"/>
        <v>310.47210682600922</v>
      </c>
      <c r="CX98" s="59">
        <f t="shared" si="68"/>
        <v>603.80544015934254</v>
      </c>
      <c r="CY98" s="59">
        <f ca="1">AVERAGE(OFFSET($CX$3,0,0,'Données projet'!$E$13+1,1))-AVERAGE(OFFSET($H$3,0,0,'Données projet'!$E$13+1,1))</f>
        <v>137.59122085719031</v>
      </c>
      <c r="CZ98" s="59">
        <f t="shared" si="96"/>
        <v>130.1134470448718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49.106942480642985</v>
      </c>
      <c r="DG98" s="21">
        <f>EXP(-LN(2)/25)*DG97+(1-EXP(-LN(2)/25))/(LN(2)/25)*Calculateur!DB98*Calculateur!DD98*VLOOKUP('Données projet'!$B$13,Paramètres!$A$1:$I$89,3,0)*0.475*44/12</f>
        <v>10.366365389348283</v>
      </c>
      <c r="DH98" s="21">
        <f>EXP(-LN(2)/2)*DH97+(1-EXP(-LN(2)/2))/(LN(2)/2)*DB98*DE98*VLOOKUP('Données projet'!$B$13,Paramètres!$A$1:$I$89,3,0)*0.475*44/12</f>
        <v>0.83119002238712791</v>
      </c>
      <c r="DI98" s="22">
        <f t="shared" si="69"/>
        <v>60.304497892378393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6.1</v>
      </c>
      <c r="DO98" s="12">
        <f>IF('Données projet'!$A$166&gt;35,DO97+DN98-DW97,IF(A98&lt;'Données projet'!$A$166,$DL$205^A98,IF(A98='Données projet'!$A$166,'Données projet'!$B$166,DO97+DN98-DW97)))</f>
        <v>252.8000000000001</v>
      </c>
      <c r="DP98" s="17">
        <f>DO98*VLOOKUP('Données projet'!$B$14,Paramètres!$A$1:$I$89,3,0)*VLOOKUP('Données projet'!$B$14,Paramètres!$A$1:$I$89,5,0)</f>
        <v>256.33920000000012</v>
      </c>
      <c r="DQ98" s="13">
        <f t="shared" si="97"/>
        <v>61.941400506884534</v>
      </c>
      <c r="DR98" s="20">
        <f t="shared" si="70"/>
        <v>554.33871254949077</v>
      </c>
      <c r="DS98" s="59">
        <f t="shared" si="71"/>
        <v>847.67204588282402</v>
      </c>
      <c r="DT98" s="59">
        <f ca="1">AVERAGE(OFFSET($DS$3,0,0,'Données projet'!$E$14+1,1))-AVERAGE(OFFSET($H$3,0,0,'Données projet'!$E$14+1,1))</f>
        <v>313.90901812281373</v>
      </c>
      <c r="DU98" s="59">
        <f t="shared" si="98"/>
        <v>210.54265725995265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46.948250983392995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46.948250983392995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-5.6843418860808015E-14</v>
      </c>
      <c r="EK98" s="17">
        <f>EJ98*VLOOKUP('Données projet'!$B$15,Paramètres!$A$1:$I$89,3,0)*VLOOKUP('Données projet'!$B$15,Paramètres!$A$1:$I$89,5,0)</f>
        <v>-4.5224624045658861E-14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316.52407313312403</v>
      </c>
      <c r="EP98" s="59">
        <f t="shared" si="100"/>
        <v>340.55949748167382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107.85215583611314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107.85215583611314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-5.6843418860808015E-14</v>
      </c>
      <c r="FF98" s="17">
        <f>FE98*VLOOKUP('Données projet'!$B$16,Paramètres!$A$1:$I$89,3,0)*VLOOKUP('Données projet'!$B$16,Paramètres!$A$1:$I$89,5,0)</f>
        <v>-3.7243808037601412E-14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199.99826357281154</v>
      </c>
      <c r="FK98" s="59">
        <f t="shared" si="102"/>
        <v>214.67424457475136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46.640680604685116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46.640680604685116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284.60021367910457</v>
      </c>
      <c r="T99" s="59">
        <f t="shared" si="88"/>
        <v>301.41905904220812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108.9666715302113</v>
      </c>
      <c r="AA99" s="21">
        <f>EXP(-LN(2)/25)*AA98+(1-EXP(-LN(2)/25))/(LN(2)/25)*Calculateur!V99*Calculateur!X99*VLOOKUP('Données projet'!$B$9,Paramètres!$A$1:$I$89,3,0)*0.475*44/12</f>
        <v>19.746454136656688</v>
      </c>
      <c r="AB99" s="21">
        <f>EXP(-LN(2)/2)*AB98+(1-EXP(-LN(2)/2))/(LN(2)/2)*V99*Y99*VLOOKUP('Données projet'!$B$9,Paramètres!$A$1:$I$89,3,0)*0.475*44/12</f>
        <v>1.0848125532911942E-3</v>
      </c>
      <c r="AC99" s="22">
        <f t="shared" si="57"/>
        <v>128.7142104794213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294.45857786714919</v>
      </c>
      <c r="AO99" s="59">
        <f t="shared" si="90"/>
        <v>221.9773436301067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150.34546444934628</v>
      </c>
      <c r="AV99" s="21">
        <f>EXP(-LN(2)/25)*AV98+(1-EXP(-LN(2)/25))/(LN(2)/25)*Calculateur!AQ99*Calculateur!AS99*VLOOKUP('Données projet'!$B$10,Paramètres!$A$1:$I$89,3,0)*0.475*44/12</f>
        <v>30.816961676811893</v>
      </c>
      <c r="AW99" s="21">
        <f>EXP(-LN(2)/2)*AW98+(1-EXP(-LN(2)/2))/(LN(2)/2)*AQ99*AT99*VLOOKUP('Données projet'!$B$10,Paramètres!$A$1:$I$89,3,0)*0.475*44/12</f>
        <v>0.39770430297006892</v>
      </c>
      <c r="AX99" s="21">
        <f t="shared" si="60"/>
        <v>181.56013042912824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6.3550942286383367E-14</v>
      </c>
      <c r="BF99" s="13">
        <f t="shared" si="91"/>
        <v>1.0064464192543978E-12</v>
      </c>
      <c r="BG99" s="20">
        <f t="shared" si="61"/>
        <v>1.8635787380168604E-12</v>
      </c>
      <c r="BH99" s="59">
        <f t="shared" si="62"/>
        <v>293.33333333333519</v>
      </c>
      <c r="BI99" s="59">
        <f ca="1">AVERAGE(OFFSET($BH$3,0,0,'Données projet'!$E$11+1,1))-AVERAGE(OFFSET($H$3,0,0,'Données projet'!$E$11+1,1))</f>
        <v>304.91676868833792</v>
      </c>
      <c r="BJ99" s="59">
        <f t="shared" si="92"/>
        <v>365.95065044620048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107.67675299242947</v>
      </c>
      <c r="BQ99" s="21">
        <f>EXP(-LN(2)/25)*BQ98+(1-EXP(-LN(2)/25))/(LN(2)/25)*Calculateur!BL99*Calculateur!BN99*VLOOKUP('Données projet'!$B$11,Paramètres!$A$1:$I$89,3,0)*0.475*44/12</f>
        <v>19.178378986215311</v>
      </c>
      <c r="BR99" s="21">
        <f>EXP(-LN(2)/2)*BR98+(1-EXP(-LN(2)/2))/(LN(2)/2)*BL99*BO99*VLOOKUP('Données projet'!$B$11,Paramètres!$A$1:$I$89,3,0)*0.475*44/12</f>
        <v>1.8332701772243143E-4</v>
      </c>
      <c r="BS99" s="22">
        <f t="shared" si="63"/>
        <v>126.8553153056625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603.99999999999966</v>
      </c>
      <c r="BZ99" s="13">
        <f>BY99*VLOOKUP('Données projet'!$B$12,Paramètres!$A$1:$I$89,3,0)*VLOOKUP('Données projet'!$B$12,Paramètres!$A$1:$I$89,5,0)</f>
        <v>282.6719999999998</v>
      </c>
      <c r="CA99" s="13">
        <f t="shared" si="93"/>
        <v>67.531366785420701</v>
      </c>
      <c r="CB99" s="20">
        <f t="shared" si="64"/>
        <v>609.93753048460724</v>
      </c>
      <c r="CC99" s="59">
        <f t="shared" si="65"/>
        <v>903.27086381794061</v>
      </c>
      <c r="CD99" s="59">
        <f ca="1">AVERAGE(OFFSET($CC$3,0,0,'Données projet'!$E$12+1,1))-AVERAGE(OFFSET($H$3,0,0,'Données projet'!$E$12+1,1))</f>
        <v>259.87681411271632</v>
      </c>
      <c r="CE99" s="59">
        <f t="shared" si="94"/>
        <v>191.8684235641158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81.939149511289258</v>
      </c>
      <c r="CL99" s="21">
        <f>EXP(-LN(2)/25)*CL98+(1-EXP(-LN(2)/25))/(LN(2)/25)*Calculateur!CG99*Calculateur!CI99*VLOOKUP('Données projet'!$B$12,Paramètres!$A$1:$I$89,3,0)*0.475*44/12</f>
        <v>17.405067169061962</v>
      </c>
      <c r="CM99" s="21">
        <f>EXP(-LN(2)/2)*CM98+(1-EXP(-LN(2)/2))/(LN(2)/2)*CG99*CJ99*VLOOKUP('Données projet'!$B$12,Paramètres!$A$1:$I$89,3,0)*0.475*44/12</f>
        <v>1.0895267905302004</v>
      </c>
      <c r="CN99" s="22">
        <f t="shared" si="66"/>
        <v>100.43374347088142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8.3000000000000007</v>
      </c>
      <c r="CT99" s="12">
        <f>IF('Données projet'!$A$140&gt;35,CT98+CS99-DB98,IF(A99&lt;'Données projet'!$A$140,$CQ$205^A99,IF(A99='Données projet'!$A$140,'Données projet'!$B$140,CT98+CS99-DB98)))</f>
        <v>310.86096640000011</v>
      </c>
      <c r="CU99" s="17">
        <f>CT99*VLOOKUP('Données projet'!$B$13,Paramètres!$A$1:$I$89,3,0)*VLOOKUP('Données projet'!$B$13,Paramètres!$A$1:$I$89,5,0)</f>
        <v>145.48293227520006</v>
      </c>
      <c r="CV99" s="13">
        <f t="shared" si="95"/>
        <v>37.550246181213147</v>
      </c>
      <c r="CW99" s="20">
        <f t="shared" si="67"/>
        <v>318.78278581158628</v>
      </c>
      <c r="CX99" s="59">
        <f t="shared" si="68"/>
        <v>612.11611914491959</v>
      </c>
      <c r="CY99" s="59">
        <f ca="1">AVERAGE(OFFSET($CX$3,0,0,'Données projet'!$E$13+1,1))-AVERAGE(OFFSET($H$3,0,0,'Données projet'!$E$13+1,1))</f>
        <v>137.59122085719031</v>
      </c>
      <c r="CZ99" s="59">
        <f t="shared" si="96"/>
        <v>130.1134470448718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48.143985290874944</v>
      </c>
      <c r="DG99" s="21">
        <f>EXP(-LN(2)/25)*DG98+(1-EXP(-LN(2)/25))/(LN(2)/25)*Calculateur!DB99*Calculateur!DD99*VLOOKUP('Données projet'!$B$13,Paramètres!$A$1:$I$89,3,0)*0.475*44/12</f>
        <v>10.082896582633092</v>
      </c>
      <c r="DH99" s="21">
        <f>EXP(-LN(2)/2)*DH98+(1-EXP(-LN(2)/2))/(LN(2)/2)*DB99*DE99*VLOOKUP('Données projet'!$B$13,Paramètres!$A$1:$I$89,3,0)*0.475*44/12</f>
        <v>0.58774010128453646</v>
      </c>
      <c r="DI99" s="22">
        <f t="shared" si="69"/>
        <v>58.814621974792573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6.1</v>
      </c>
      <c r="DO99" s="12">
        <f>IF('Données projet'!$A$166&gt;35,DO98+DN99-DW98,IF(A99&lt;'Données projet'!$A$166,$DL$205^A99,IF(A99='Données projet'!$A$166,'Données projet'!$B$166,DO98+DN99-DW98)))</f>
        <v>258.90000000000009</v>
      </c>
      <c r="DP99" s="17">
        <f>DO99*VLOOKUP('Données projet'!$B$14,Paramètres!$A$1:$I$89,3,0)*VLOOKUP('Données projet'!$B$14,Paramètres!$A$1:$I$89,5,0)</f>
        <v>262.52460000000008</v>
      </c>
      <c r="DQ99" s="13">
        <f t="shared" si="97"/>
        <v>63.260217631774744</v>
      </c>
      <c r="DR99" s="20">
        <f t="shared" si="70"/>
        <v>567.40855737534116</v>
      </c>
      <c r="DS99" s="59">
        <f t="shared" si="71"/>
        <v>860.74189070867442</v>
      </c>
      <c r="DT99" s="59">
        <f ca="1">AVERAGE(OFFSET($DS$3,0,0,'Données projet'!$E$14+1,1))-AVERAGE(OFFSET($H$3,0,0,'Données projet'!$E$14+1,1))</f>
        <v>313.90901812281373</v>
      </c>
      <c r="DU99" s="59">
        <f t="shared" si="98"/>
        <v>210.54265725995265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46.027624417214227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46.027624417214227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-5.6843418860808015E-14</v>
      </c>
      <c r="EK99" s="17">
        <f>EJ99*VLOOKUP('Données projet'!$B$15,Paramètres!$A$1:$I$89,3,0)*VLOOKUP('Données projet'!$B$15,Paramètres!$A$1:$I$89,5,0)</f>
        <v>-4.5224624045658861E-14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316.52407313312403</v>
      </c>
      <c r="EP99" s="59">
        <f t="shared" si="100"/>
        <v>340.55949748167382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105.73724084348646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105.73724084348646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-5.6843418860808015E-14</v>
      </c>
      <c r="FF99" s="17">
        <f>FE99*VLOOKUP('Données projet'!$B$16,Paramètres!$A$1:$I$89,3,0)*VLOOKUP('Données projet'!$B$16,Paramètres!$A$1:$I$89,5,0)</f>
        <v>-3.7243808037601412E-14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199.99826357281154</v>
      </c>
      <c r="FK99" s="59">
        <f t="shared" si="102"/>
        <v>214.67424457475136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45.726085306033404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45.726085306033404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284.60021367910457</v>
      </c>
      <c r="T100" s="59">
        <f t="shared" si="88"/>
        <v>301.41905904220812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106.82990156461081</v>
      </c>
      <c r="AA100" s="21">
        <f>EXP(-LN(2)/25)*AA99+(1-EXP(-LN(2)/25))/(LN(2)/25)*Calculateur!V100*Calculateur!X100*VLOOKUP('Données projet'!$B$9,Paramètres!$A$1:$I$89,3,0)*0.475*44/12</f>
        <v>19.206486309868918</v>
      </c>
      <c r="AB100" s="21">
        <f>EXP(-LN(2)/2)*AB99+(1-EXP(-LN(2)/2))/(LN(2)/2)*V100*Y100*VLOOKUP('Données projet'!$B$9,Paramètres!$A$1:$I$89,3,0)*0.475*44/12</f>
        <v>7.670783127484964E-4</v>
      </c>
      <c r="AC100" s="22">
        <f t="shared" si="57"/>
        <v>126.03715495279248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294.45857786714919</v>
      </c>
      <c r="AO100" s="59">
        <f t="shared" si="90"/>
        <v>221.9773436301067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147.39728159317312</v>
      </c>
      <c r="AV100" s="21">
        <f>EXP(-LN(2)/25)*AV99+(1-EXP(-LN(2)/25))/(LN(2)/25)*Calculateur!AQ100*Calculateur!AS100*VLOOKUP('Données projet'!$B$10,Paramètres!$A$1:$I$89,3,0)*0.475*44/12</f>
        <v>29.97427023916589</v>
      </c>
      <c r="AW100" s="21">
        <f>EXP(-LN(2)/2)*AW99+(1-EXP(-LN(2)/2))/(LN(2)/2)*AQ100*AT100*VLOOKUP('Données projet'!$B$10,Paramètres!$A$1:$I$89,3,0)*0.475*44/12</f>
        <v>0.28121940953720492</v>
      </c>
      <c r="AX100" s="21">
        <f t="shared" si="60"/>
        <v>177.65277124187622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6.3550942286383367E-14</v>
      </c>
      <c r="BF100" s="13">
        <f t="shared" si="91"/>
        <v>1.0064464192543978E-12</v>
      </c>
      <c r="BG100" s="20">
        <f t="shared" si="61"/>
        <v>1.8635787380168604E-12</v>
      </c>
      <c r="BH100" s="59">
        <f t="shared" si="62"/>
        <v>293.33333333333519</v>
      </c>
      <c r="BI100" s="59">
        <f ca="1">AVERAGE(OFFSET($BH$3,0,0,'Données projet'!$E$11+1,1))-AVERAGE(OFFSET($H$3,0,0,'Données projet'!$E$11+1,1))</f>
        <v>304.91676868833792</v>
      </c>
      <c r="BJ100" s="59">
        <f t="shared" si="92"/>
        <v>365.95065044620048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105.56527754258225</v>
      </c>
      <c r="BQ100" s="21">
        <f>EXP(-LN(2)/25)*BQ99+(1-EXP(-LN(2)/25))/(LN(2)/25)*Calculateur!BL100*Calculateur!BN100*VLOOKUP('Données projet'!$B$11,Paramètres!$A$1:$I$89,3,0)*0.475*44/12</f>
        <v>18.653945204290135</v>
      </c>
      <c r="BR100" s="21">
        <f>EXP(-LN(2)/2)*BR99+(1-EXP(-LN(2)/2))/(LN(2)/2)*BL100*BO100*VLOOKUP('Données projet'!$B$11,Paramètres!$A$1:$I$89,3,0)*0.475*44/12</f>
        <v>1.2963177740623764E-4</v>
      </c>
      <c r="BS100" s="22">
        <f t="shared" si="63"/>
        <v>124.2193523786498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622.49999999999966</v>
      </c>
      <c r="BZ100" s="13">
        <f>BY100*VLOOKUP('Données projet'!$B$12,Paramètres!$A$1:$I$89,3,0)*VLOOKUP('Données projet'!$B$12,Paramètres!$A$1:$I$89,5,0)</f>
        <v>291.32999999999987</v>
      </c>
      <c r="CA100" s="13">
        <f t="shared" si="93"/>
        <v>69.355807959189647</v>
      </c>
      <c r="CB100" s="20">
        <f t="shared" si="64"/>
        <v>628.19444886225506</v>
      </c>
      <c r="CC100" s="59">
        <f t="shared" si="65"/>
        <v>921.52778219558832</v>
      </c>
      <c r="CD100" s="59">
        <f ca="1">AVERAGE(OFFSET($CC$3,0,0,'Données projet'!$E$12+1,1))-AVERAGE(OFFSET($H$3,0,0,'Données projet'!$E$12+1,1))</f>
        <v>259.87681411271632</v>
      </c>
      <c r="CE100" s="59">
        <f t="shared" si="94"/>
        <v>191.8684235641158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80.332372767319171</v>
      </c>
      <c r="CL100" s="21">
        <f>EXP(-LN(2)/25)*CL99+(1-EXP(-LN(2)/25))/(LN(2)/25)*Calculateur!CG100*Calculateur!CI100*VLOOKUP('Données projet'!$B$12,Paramètres!$A$1:$I$89,3,0)*0.475*44/12</f>
        <v>16.929124692031259</v>
      </c>
      <c r="CM100" s="21">
        <f>EXP(-LN(2)/2)*CM99+(1-EXP(-LN(2)/2))/(LN(2)/2)*CG100*CJ100*VLOOKUP('Données projet'!$B$12,Paramètres!$A$1:$I$89,3,0)*0.475*44/12</f>
        <v>0.77041178186831982</v>
      </c>
      <c r="CN100" s="22">
        <f t="shared" si="66"/>
        <v>98.031909241218756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8.3000000000000007</v>
      </c>
      <c r="CT100" s="12">
        <f>IF('Données projet'!$A$140&gt;35,CT99+CS100-DB99,IF(A100&lt;'Données projet'!$A$140,$CQ$205^A100,IF(A100='Données projet'!$A$140,'Données projet'!$B$140,CT99+CS100-DB99)))</f>
        <v>319.16096640000012</v>
      </c>
      <c r="CU100" s="17">
        <f>CT100*VLOOKUP('Données projet'!$B$13,Paramètres!$A$1:$I$89,3,0)*VLOOKUP('Données projet'!$B$13,Paramètres!$A$1:$I$89,5,0)</f>
        <v>149.36733227520006</v>
      </c>
      <c r="CV100" s="13">
        <f t="shared" si="95"/>
        <v>38.434774261203785</v>
      </c>
      <c r="CW100" s="20">
        <f t="shared" si="67"/>
        <v>327.08866888423671</v>
      </c>
      <c r="CX100" s="59">
        <f t="shared" si="68"/>
        <v>620.42200221757003</v>
      </c>
      <c r="CY100" s="59">
        <f ca="1">AVERAGE(OFFSET($CX$3,0,0,'Données projet'!$E$13+1,1))-AVERAGE(OFFSET($H$3,0,0,'Données projet'!$E$13+1,1))</f>
        <v>137.59122085719031</v>
      </c>
      <c r="CZ100" s="59">
        <f t="shared" si="96"/>
        <v>130.1134470448718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47.199911104252365</v>
      </c>
      <c r="DG100" s="21">
        <f>EXP(-LN(2)/25)*DG99+(1-EXP(-LN(2)/25))/(LN(2)/25)*Calculateur!DB100*Calculateur!DD100*VLOOKUP('Données projet'!$B$13,Paramètres!$A$1:$I$89,3,0)*0.475*44/12</f>
        <v>9.8071792453445035</v>
      </c>
      <c r="DH100" s="21">
        <f>EXP(-LN(2)/2)*DH99+(1-EXP(-LN(2)/2))/(LN(2)/2)*DB100*DE100*VLOOKUP('Données projet'!$B$13,Paramètres!$A$1:$I$89,3,0)*0.475*44/12</f>
        <v>0.41559501119356401</v>
      </c>
      <c r="DI100" s="22">
        <f t="shared" si="69"/>
        <v>57.422685360790432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>
        <f>VLOOKUP(A100,'Données projet'!$A$165:$I$185,2,0)</f>
        <v>265</v>
      </c>
      <c r="DM100" s="12">
        <f>VLOOKUP(A100,'Données projet'!$A$165:$I$185,9,0)</f>
        <v>6.1</v>
      </c>
      <c r="DN100" s="12">
        <f t="array" ref="DN100">INDEX(DM:DM,MIN(IF(ISNUMBER(DM100:DM296),ROW(DM100:DM296),"")))</f>
        <v>6.1</v>
      </c>
      <c r="DO100" s="12">
        <f>IF('Données projet'!$A$166&gt;35,DO99+DN100-DW99,IF(A100&lt;'Données projet'!$A$166,$DL$205^A100,IF(A100='Données projet'!$A$166,'Données projet'!$B$166,DO99+DN100-DW99)))</f>
        <v>265.00000000000011</v>
      </c>
      <c r="DP100" s="17">
        <f>DO100*VLOOKUP('Données projet'!$B$14,Paramètres!$A$1:$I$89,3,0)*VLOOKUP('Données projet'!$B$14,Paramètres!$A$1:$I$89,5,0)</f>
        <v>268.71000000000015</v>
      </c>
      <c r="DQ100" s="13">
        <f t="shared" si="97"/>
        <v>64.575422468263369</v>
      </c>
      <c r="DR100" s="20">
        <f t="shared" si="70"/>
        <v>580.47211079889223</v>
      </c>
      <c r="DS100" s="59">
        <f t="shared" si="71"/>
        <v>873.8054441322256</v>
      </c>
      <c r="DT100" s="59">
        <f ca="1">AVERAGE(OFFSET($DS$3,0,0,'Données projet'!$E$14+1,1))-AVERAGE(OFFSET($H$3,0,0,'Données projet'!$E$14+1,1))</f>
        <v>313.90901812281373</v>
      </c>
      <c r="DU100" s="59">
        <f t="shared" si="98"/>
        <v>210.54265725995265</v>
      </c>
      <c r="DV100" s="15">
        <f>IF(ISNA(VLOOKUP(A100,'Données projet'!$A$165:$I$185,3,0)),0,VLOOKUP(A100,'Données projet'!$A$165:$I$185,3,0))</f>
        <v>9</v>
      </c>
      <c r="DW100" s="15">
        <f>IF(ISNA(VLOOKUP(A100,'Données projet'!$A$165:$I$185,4,0)),0,VLOOKUP(A100,'Données projet'!$A$165:$I$185,4,0))</f>
        <v>42</v>
      </c>
      <c r="DX100" s="16">
        <f>IF(ISNA(VLOOKUP(A100,'Données projet'!$A$165:$I$185,5,0)),0%,VLOOKUP(A100,'Données projet'!$A$165:$I$185,5,0)*VLOOKUP('Données projet'!$B$14,Paramètres!$A$1:$I$89,7,0))</f>
        <v>0.38700000000000001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63.34492274308505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63.34492274308505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-5.6843418860808015E-14</v>
      </c>
      <c r="EK100" s="17">
        <f>EJ100*VLOOKUP('Données projet'!$B$15,Paramètres!$A$1:$I$89,3,0)*VLOOKUP('Données projet'!$B$15,Paramètres!$A$1:$I$89,5,0)</f>
        <v>-4.5224624045658861E-14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316.52407313312403</v>
      </c>
      <c r="EP100" s="59">
        <f t="shared" si="100"/>
        <v>340.55949748167382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103.66379804389442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103.66379804389442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-5.6843418860808015E-14</v>
      </c>
      <c r="FF100" s="17">
        <f>FE100*VLOOKUP('Données projet'!$B$16,Paramètres!$A$1:$I$89,3,0)*VLOOKUP('Données projet'!$B$16,Paramètres!$A$1:$I$89,5,0)</f>
        <v>-3.7243808037601412E-14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199.99826357281154</v>
      </c>
      <c r="FK100" s="59">
        <f t="shared" si="102"/>
        <v>214.67424457475136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44.829424663340198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44.829424663340198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284.60021367910457</v>
      </c>
      <c r="T101" s="59">
        <f t="shared" si="88"/>
        <v>301.41905904220812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104.73503235473474</v>
      </c>
      <c r="AA101" s="21">
        <f>EXP(-LN(2)/25)*AA100+(1-EXP(-LN(2)/25))/(LN(2)/25)*Calculateur!V101*Calculateur!X101*VLOOKUP('Données projet'!$B$9,Paramètres!$A$1:$I$89,3,0)*0.475*44/12</f>
        <v>18.681283931700335</v>
      </c>
      <c r="AB101" s="21">
        <f>EXP(-LN(2)/2)*AB100+(1-EXP(-LN(2)/2))/(LN(2)/2)*V101*Y101*VLOOKUP('Données projet'!$B$9,Paramètres!$A$1:$I$89,3,0)*0.475*44/12</f>
        <v>5.4240627664559711E-4</v>
      </c>
      <c r="AC101" s="22">
        <f t="shared" si="57"/>
        <v>123.41685869271173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294.45857786714919</v>
      </c>
      <c r="AO101" s="59">
        <f t="shared" si="90"/>
        <v>221.9773436301067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144.50691080459555</v>
      </c>
      <c r="AV101" s="21">
        <f>EXP(-LN(2)/25)*AV100+(1-EXP(-LN(2)/25))/(LN(2)/25)*Calculateur!AQ101*Calculateur!AS101*VLOOKUP('Données projet'!$B$10,Paramètres!$A$1:$I$89,3,0)*0.475*44/12</f>
        <v>29.154622243197533</v>
      </c>
      <c r="AW101" s="21">
        <f>EXP(-LN(2)/2)*AW100+(1-EXP(-LN(2)/2))/(LN(2)/2)*AQ101*AT101*VLOOKUP('Données projet'!$B$10,Paramètres!$A$1:$I$89,3,0)*0.475*44/12</f>
        <v>0.19885215148503446</v>
      </c>
      <c r="AX101" s="21">
        <f t="shared" si="60"/>
        <v>173.86038519927811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6.3550942286383367E-14</v>
      </c>
      <c r="BF101" s="13">
        <f t="shared" si="91"/>
        <v>1.0064464192543978E-12</v>
      </c>
      <c r="BG101" s="20">
        <f t="shared" si="61"/>
        <v>1.8635787380168604E-12</v>
      </c>
      <c r="BH101" s="59">
        <f t="shared" si="62"/>
        <v>293.33333333333519</v>
      </c>
      <c r="BI101" s="59">
        <f ca="1">AVERAGE(OFFSET($BH$3,0,0,'Données projet'!$E$11+1,1))-AVERAGE(OFFSET($H$3,0,0,'Données projet'!$E$11+1,1))</f>
        <v>304.91676868833792</v>
      </c>
      <c r="BJ101" s="59">
        <f t="shared" si="92"/>
        <v>365.95065044620048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103.49520683843369</v>
      </c>
      <c r="BQ101" s="21">
        <f>EXP(-LN(2)/25)*BQ100+(1-EXP(-LN(2)/25))/(LN(2)/25)*Calculateur!BL101*Calculateur!BN101*VLOOKUP('Données projet'!$B$11,Paramètres!$A$1:$I$89,3,0)*0.475*44/12</f>
        <v>18.143852091710478</v>
      </c>
      <c r="BR101" s="21">
        <f>EXP(-LN(2)/2)*BR100+(1-EXP(-LN(2)/2))/(LN(2)/2)*BL101*BO101*VLOOKUP('Données projet'!$B$11,Paramètres!$A$1:$I$89,3,0)*0.475*44/12</f>
        <v>9.1663508861215717E-5</v>
      </c>
      <c r="BS101" s="22">
        <f t="shared" si="63"/>
        <v>121.63915059365301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640.99999999999966</v>
      </c>
      <c r="BZ101" s="13">
        <f>BY101*VLOOKUP('Données projet'!$B$12,Paramètres!$A$1:$I$89,3,0)*VLOOKUP('Données projet'!$B$12,Paramètres!$A$1:$I$89,5,0)</f>
        <v>299.98799999999983</v>
      </c>
      <c r="CA101" s="13">
        <f t="shared" si="93"/>
        <v>71.173947808906632</v>
      </c>
      <c r="CB101" s="20">
        <f t="shared" si="64"/>
        <v>646.44039243384543</v>
      </c>
      <c r="CC101" s="59">
        <f t="shared" si="65"/>
        <v>939.7737257671788</v>
      </c>
      <c r="CD101" s="59">
        <f ca="1">AVERAGE(OFFSET($CC$3,0,0,'Données projet'!$E$12+1,1))-AVERAGE(OFFSET($H$3,0,0,'Données projet'!$E$12+1,1))</f>
        <v>259.87681411271632</v>
      </c>
      <c r="CE101" s="59">
        <f t="shared" si="94"/>
        <v>191.8684235641158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78.757103935261284</v>
      </c>
      <c r="CL101" s="21">
        <f>EXP(-LN(2)/25)*CL100+(1-EXP(-LN(2)/25))/(LN(2)/25)*Calculateur!CG101*Calculateur!CI101*VLOOKUP('Données projet'!$B$12,Paramètres!$A$1:$I$89,3,0)*0.475*44/12</f>
        <v>16.466196887063688</v>
      </c>
      <c r="CM101" s="21">
        <f>EXP(-LN(2)/2)*CM100+(1-EXP(-LN(2)/2))/(LN(2)/2)*CG101*CJ101*VLOOKUP('Données projet'!$B$12,Paramètres!$A$1:$I$89,3,0)*0.475*44/12</f>
        <v>0.5447633952651002</v>
      </c>
      <c r="CN101" s="22">
        <f t="shared" si="66"/>
        <v>95.768064217590066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8.3000000000000007</v>
      </c>
      <c r="CT101" s="12">
        <f>IF('Données projet'!$A$140&gt;35,CT100+CS101-DB100,IF(A101&lt;'Données projet'!$A$140,$CQ$205^A101,IF(A101='Données projet'!$A$140,'Données projet'!$B$140,CT100+CS101-DB100)))</f>
        <v>327.46096640000013</v>
      </c>
      <c r="CU101" s="17">
        <f>CT101*VLOOKUP('Données projet'!$B$13,Paramètres!$A$1:$I$89,3,0)*VLOOKUP('Données projet'!$B$13,Paramètres!$A$1:$I$89,5,0)</f>
        <v>153.25173227520006</v>
      </c>
      <c r="CV101" s="13">
        <f t="shared" si="95"/>
        <v>39.316628549884122</v>
      </c>
      <c r="CW101" s="20">
        <f t="shared" si="67"/>
        <v>335.38989510368827</v>
      </c>
      <c r="CX101" s="59">
        <f t="shared" si="68"/>
        <v>628.72322843702159</v>
      </c>
      <c r="CY101" s="59">
        <f ca="1">AVERAGE(OFFSET($CX$3,0,0,'Données projet'!$E$13+1,1))-AVERAGE(OFFSET($H$3,0,0,'Données projet'!$E$13+1,1))</f>
        <v>137.59122085719031</v>
      </c>
      <c r="CZ101" s="59">
        <f t="shared" si="96"/>
        <v>130.1134470448718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46.274349636601059</v>
      </c>
      <c r="DG101" s="21">
        <f>EXP(-LN(2)/25)*DG100+(1-EXP(-LN(2)/25))/(LN(2)/25)*Calculateur!DB101*Calculateur!DD101*VLOOKUP('Données projet'!$B$13,Paramètres!$A$1:$I$89,3,0)*0.475*44/12</f>
        <v>9.5390014131434153</v>
      </c>
      <c r="DH101" s="21">
        <f>EXP(-LN(2)/2)*DH100+(1-EXP(-LN(2)/2))/(LN(2)/2)*DB101*DE101*VLOOKUP('Données projet'!$B$13,Paramètres!$A$1:$I$89,3,0)*0.475*44/12</f>
        <v>0.29387005064226823</v>
      </c>
      <c r="DI101" s="22">
        <f t="shared" si="69"/>
        <v>56.107221100386745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6.4</v>
      </c>
      <c r="DO101" s="12">
        <f>IF('Données projet'!$A$166&gt;35,DO100+DN101-DW100,IF(A101&lt;'Données projet'!$A$166,$DL$205^A101,IF(A101='Données projet'!$A$166,'Données projet'!$B$166,DO100+DN101-DW100)))</f>
        <v>229.40000000000009</v>
      </c>
      <c r="DP101" s="17">
        <f>DO101*VLOOKUP('Données projet'!$B$14,Paramètres!$A$1:$I$89,3,0)*VLOOKUP('Données projet'!$B$14,Paramètres!$A$1:$I$89,5,0)</f>
        <v>232.61160000000012</v>
      </c>
      <c r="DQ101" s="13">
        <f t="shared" si="97"/>
        <v>56.846998904016893</v>
      </c>
      <c r="DR101" s="20">
        <f t="shared" si="70"/>
        <v>504.14039309116305</v>
      </c>
      <c r="DS101" s="59">
        <f t="shared" si="71"/>
        <v>797.47372642449636</v>
      </c>
      <c r="DT101" s="59">
        <f ca="1">AVERAGE(OFFSET($DS$3,0,0,'Données projet'!$E$14+1,1))-AVERAGE(OFFSET($H$3,0,0,'Données projet'!$E$14+1,1))</f>
        <v>313.90901812281373</v>
      </c>
      <c r="DU101" s="59">
        <f t="shared" si="98"/>
        <v>210.54265725995265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62.102767444680978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62.102767444680978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-5.6843418860808015E-14</v>
      </c>
      <c r="EK101" s="17">
        <f>EJ101*VLOOKUP('Données projet'!$B$15,Paramètres!$A$1:$I$89,3,0)*VLOOKUP('Données projet'!$B$15,Paramètres!$A$1:$I$89,5,0)</f>
        <v>-4.5224624045658861E-14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316.52407313312403</v>
      </c>
      <c r="EP101" s="59">
        <f t="shared" si="100"/>
        <v>340.55949748167382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101.63101419292714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101.63101419292714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-5.6843418860808015E-14</v>
      </c>
      <c r="FF101" s="17">
        <f>FE101*VLOOKUP('Données projet'!$B$16,Paramètres!$A$1:$I$89,3,0)*VLOOKUP('Données projet'!$B$16,Paramètres!$A$1:$I$89,5,0)</f>
        <v>-3.7243808037601412E-14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199.99826357281154</v>
      </c>
      <c r="FK101" s="59">
        <f t="shared" si="102"/>
        <v>214.67424457475136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43.95034698894122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43.95034698894122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284.60021367910457</v>
      </c>
      <c r="T102" s="59">
        <f t="shared" si="88"/>
        <v>301.41905904220812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102.6812422523203</v>
      </c>
      <c r="AA102" s="21">
        <f>EXP(-LN(2)/25)*AA101+(1-EXP(-LN(2)/25))/(LN(2)/25)*Calculateur!V102*Calculateur!X102*VLOOKUP('Données projet'!$B$9,Paramètres!$A$1:$I$89,3,0)*0.475*44/12</f>
        <v>18.170443240181964</v>
      </c>
      <c r="AB102" s="21">
        <f>EXP(-LN(2)/2)*AB101+(1-EXP(-LN(2)/2))/(LN(2)/2)*V102*Y102*VLOOKUP('Données projet'!$B$9,Paramètres!$A$1:$I$89,3,0)*0.475*44/12</f>
        <v>3.835391563742482E-4</v>
      </c>
      <c r="AC102" s="22">
        <f t="shared" si="57"/>
        <v>120.85206903165864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294.45857786714919</v>
      </c>
      <c r="AO102" s="59">
        <f t="shared" si="90"/>
        <v>221.9773436301067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141.67321842422987</v>
      </c>
      <c r="AV102" s="21">
        <f>EXP(-LN(2)/25)*AV101+(1-EXP(-LN(2)/25))/(LN(2)/25)*Calculateur!AQ102*Calculateur!AS102*VLOOKUP('Données projet'!$B$10,Paramètres!$A$1:$I$89,3,0)*0.475*44/12</f>
        <v>28.357387564782346</v>
      </c>
      <c r="AW102" s="21">
        <f>EXP(-LN(2)/2)*AW101+(1-EXP(-LN(2)/2))/(LN(2)/2)*AQ102*AT102*VLOOKUP('Données projet'!$B$10,Paramètres!$A$1:$I$89,3,0)*0.475*44/12</f>
        <v>0.14060970476860246</v>
      </c>
      <c r="AX102" s="21">
        <f t="shared" si="60"/>
        <v>170.17121569378082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6.3550942286383367E-14</v>
      </c>
      <c r="BF102" s="13">
        <f t="shared" si="91"/>
        <v>1.0064464192543978E-12</v>
      </c>
      <c r="BG102" s="20">
        <f t="shared" si="61"/>
        <v>1.8635787380168604E-12</v>
      </c>
      <c r="BH102" s="59">
        <f t="shared" si="62"/>
        <v>293.33333333333519</v>
      </c>
      <c r="BI102" s="59">
        <f ca="1">AVERAGE(OFFSET($BH$3,0,0,'Données projet'!$E$11+1,1))-AVERAGE(OFFSET($H$3,0,0,'Données projet'!$E$11+1,1))</f>
        <v>304.91676868833792</v>
      </c>
      <c r="BJ102" s="59">
        <f t="shared" si="92"/>
        <v>365.95065044620048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101.46572895817502</v>
      </c>
      <c r="BQ102" s="21">
        <f>EXP(-LN(2)/25)*BQ101+(1-EXP(-LN(2)/25))/(LN(2)/25)*Calculateur!BL102*Calculateur!BN102*VLOOKUP('Données projet'!$B$11,Paramètres!$A$1:$I$89,3,0)*0.475*44/12</f>
        <v>17.647707502118941</v>
      </c>
      <c r="BR102" s="21">
        <f>EXP(-LN(2)/2)*BR101+(1-EXP(-LN(2)/2))/(LN(2)/2)*BL102*BO102*VLOOKUP('Données projet'!$B$11,Paramètres!$A$1:$I$89,3,0)*0.475*44/12</f>
        <v>6.4815888703118822E-5</v>
      </c>
      <c r="BS102" s="22">
        <f t="shared" si="63"/>
        <v>119.11350127618267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659.49999999999966</v>
      </c>
      <c r="BZ102" s="13">
        <f>BY102*VLOOKUP('Données projet'!$B$12,Paramètres!$A$1:$I$89,3,0)*VLOOKUP('Données projet'!$B$12,Paramètres!$A$1:$I$89,5,0)</f>
        <v>308.64599999999984</v>
      </c>
      <c r="CA102" s="13">
        <f t="shared" si="93"/>
        <v>72.985989083359797</v>
      </c>
      <c r="CB102" s="20">
        <f t="shared" si="64"/>
        <v>664.67571432018474</v>
      </c>
      <c r="CC102" s="59">
        <f t="shared" si="65"/>
        <v>958.00904765351811</v>
      </c>
      <c r="CD102" s="59">
        <f ca="1">AVERAGE(OFFSET($CC$3,0,0,'Données projet'!$E$12+1,1))-AVERAGE(OFFSET($H$3,0,0,'Données projet'!$E$12+1,1))</f>
        <v>259.87681411271632</v>
      </c>
      <c r="CE102" s="59">
        <f t="shared" si="94"/>
        <v>191.8684235641158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77.212725164180938</v>
      </c>
      <c r="CL102" s="21">
        <f>EXP(-LN(2)/25)*CL101+(1-EXP(-LN(2)/25))/(LN(2)/25)*Calculateur!CG102*Calculateur!CI102*VLOOKUP('Données projet'!$B$12,Paramètres!$A$1:$I$89,3,0)*0.475*44/12</f>
        <v>16.015927867267273</v>
      </c>
      <c r="CM102" s="21">
        <f>EXP(-LN(2)/2)*CM101+(1-EXP(-LN(2)/2))/(LN(2)/2)*CG102*CJ102*VLOOKUP('Données projet'!$B$12,Paramètres!$A$1:$I$89,3,0)*0.475*44/12</f>
        <v>0.38520589093415991</v>
      </c>
      <c r="CN102" s="22">
        <f t="shared" si="66"/>
        <v>93.613858922382363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8.3000000000000007</v>
      </c>
      <c r="CT102" s="12">
        <f>IF('Données projet'!$A$140&gt;35,CT101+CS102-DB101,IF(A102&lt;'Données projet'!$A$140,$CQ$205^A102,IF(A102='Données projet'!$A$140,'Données projet'!$B$140,CT101+CS102-DB101)))</f>
        <v>335.76096640000014</v>
      </c>
      <c r="CU102" s="17">
        <f>CT102*VLOOKUP('Données projet'!$B$13,Paramètres!$A$1:$I$89,3,0)*VLOOKUP('Données projet'!$B$13,Paramètres!$A$1:$I$89,5,0)</f>
        <v>157.13613227520005</v>
      </c>
      <c r="CV102" s="13">
        <f t="shared" si="95"/>
        <v>40.195884612045596</v>
      </c>
      <c r="CW102" s="20">
        <f t="shared" si="67"/>
        <v>343.68659607861946</v>
      </c>
      <c r="CX102" s="59">
        <f t="shared" si="68"/>
        <v>637.01992941195272</v>
      </c>
      <c r="CY102" s="59">
        <f ca="1">AVERAGE(OFFSET($CX$3,0,0,'Données projet'!$E$13+1,1))-AVERAGE(OFFSET($H$3,0,0,'Données projet'!$E$13+1,1))</f>
        <v>137.59122085719031</v>
      </c>
      <c r="CZ102" s="59">
        <f t="shared" si="96"/>
        <v>130.1134470448718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45.366937864793648</v>
      </c>
      <c r="DG102" s="21">
        <f>EXP(-LN(2)/25)*DG101+(1-EXP(-LN(2)/25))/(LN(2)/25)*Calculateur!DB102*Calculateur!DD102*VLOOKUP('Données projet'!$B$13,Paramètres!$A$1:$I$89,3,0)*0.475*44/12</f>
        <v>9.2781569178667258</v>
      </c>
      <c r="DH102" s="21">
        <f>EXP(-LN(2)/2)*DH101+(1-EXP(-LN(2)/2))/(LN(2)/2)*DB102*DE102*VLOOKUP('Données projet'!$B$13,Paramètres!$A$1:$I$89,3,0)*0.475*44/12</f>
        <v>0.20779750559678201</v>
      </c>
      <c r="DI102" s="22">
        <f t="shared" si="69"/>
        <v>54.852892288257152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6.4</v>
      </c>
      <c r="DO102" s="12">
        <f>IF('Données projet'!$A$166&gt;35,DO101+DN102-DW101,IF(A102&lt;'Données projet'!$A$166,$DL$205^A102,IF(A102='Données projet'!$A$166,'Données projet'!$B$166,DO101+DN102-DW101)))</f>
        <v>235.8000000000001</v>
      </c>
      <c r="DP102" s="17">
        <f>DO102*VLOOKUP('Données projet'!$B$14,Paramètres!$A$1:$I$89,3,0)*VLOOKUP('Données projet'!$B$14,Paramètres!$A$1:$I$89,5,0)</f>
        <v>239.10120000000012</v>
      </c>
      <c r="DQ102" s="13">
        <f t="shared" si="97"/>
        <v>58.246107075777381</v>
      </c>
      <c r="DR102" s="20">
        <f t="shared" si="70"/>
        <v>517.87989315697916</v>
      </c>
      <c r="DS102" s="59">
        <f t="shared" si="71"/>
        <v>811.21322649031254</v>
      </c>
      <c r="DT102" s="59">
        <f ca="1">AVERAGE(OFFSET($DS$3,0,0,'Données projet'!$E$14+1,1))-AVERAGE(OFFSET($H$3,0,0,'Données projet'!$E$14+1,1))</f>
        <v>313.90901812281373</v>
      </c>
      <c r="DU102" s="59">
        <f t="shared" si="98"/>
        <v>210.54265725995265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60.884970054038689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60.884970054038689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-5.6843418860808015E-14</v>
      </c>
      <c r="EK102" s="17">
        <f>EJ102*VLOOKUP('Données projet'!$B$15,Paramètres!$A$1:$I$89,3,0)*VLOOKUP('Données projet'!$B$15,Paramètres!$A$1:$I$89,5,0)</f>
        <v>-4.5224624045658861E-14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316.52407313312403</v>
      </c>
      <c r="EP102" s="59">
        <f t="shared" si="100"/>
        <v>340.55949748167382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99.638091993401616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99.638091993401616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-5.6843418860808015E-14</v>
      </c>
      <c r="FF102" s="17">
        <f>FE102*VLOOKUP('Données projet'!$B$16,Paramètres!$A$1:$I$89,3,0)*VLOOKUP('Données projet'!$B$16,Paramètres!$A$1:$I$89,5,0)</f>
        <v>-3.7243808037601412E-14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199.99826357281154</v>
      </c>
      <c r="FK102" s="59">
        <f t="shared" si="102"/>
        <v>214.67424457475136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43.088507491552768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43.088507491552768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284.60021367910457</v>
      </c>
      <c r="T103" s="59">
        <f t="shared" si="88"/>
        <v>301.41905904220812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100.66772572112593</v>
      </c>
      <c r="AA103" s="21">
        <f>EXP(-LN(2)/25)*AA102+(1-EXP(-LN(2)/25))/(LN(2)/25)*Calculateur!V103*Calculateur!X103*VLOOKUP('Données projet'!$B$9,Paramètres!$A$1:$I$89,3,0)*0.475*44/12</f>
        <v>17.673571514237107</v>
      </c>
      <c r="AB103" s="21">
        <f>EXP(-LN(2)/2)*AB102+(1-EXP(-LN(2)/2))/(LN(2)/2)*V103*Y103*VLOOKUP('Données projet'!$B$9,Paramètres!$A$1:$I$89,3,0)*0.475*44/12</f>
        <v>2.7120313832279855E-4</v>
      </c>
      <c r="AC103" s="22">
        <f t="shared" si="57"/>
        <v>118.34156843850137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294.45857786714919</v>
      </c>
      <c r="AO103" s="59">
        <f t="shared" si="90"/>
        <v>221.9773436301067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138.89509302306146</v>
      </c>
      <c r="AV103" s="21">
        <f>EXP(-LN(2)/25)*AV102+(1-EXP(-LN(2)/25))/(LN(2)/25)*Calculateur!AQ103*Calculateur!AS103*VLOOKUP('Données projet'!$B$10,Paramètres!$A$1:$I$89,3,0)*0.475*44/12</f>
        <v>27.581953310573173</v>
      </c>
      <c r="AW103" s="21">
        <f>EXP(-LN(2)/2)*AW102+(1-EXP(-LN(2)/2))/(LN(2)/2)*AQ103*AT103*VLOOKUP('Données projet'!$B$10,Paramètres!$A$1:$I$89,3,0)*0.475*44/12</f>
        <v>9.9426075742517231E-2</v>
      </c>
      <c r="AX103" s="21">
        <f t="shared" si="60"/>
        <v>166.57647240937715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6.3550942286383367E-14</v>
      </c>
      <c r="BF103" s="13">
        <f t="shared" si="91"/>
        <v>1.0064464192543978E-12</v>
      </c>
      <c r="BG103" s="20">
        <f t="shared" si="61"/>
        <v>1.8635787380168604E-12</v>
      </c>
      <c r="BH103" s="59">
        <f t="shared" si="62"/>
        <v>293.33333333333519</v>
      </c>
      <c r="BI103" s="59">
        <f ca="1">AVERAGE(OFFSET($BH$3,0,0,'Données projet'!$E$11+1,1))-AVERAGE(OFFSET($H$3,0,0,'Données projet'!$E$11+1,1))</f>
        <v>304.91676868833792</v>
      </c>
      <c r="BJ103" s="59">
        <f t="shared" si="92"/>
        <v>365.95065044620048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99.476047901288936</v>
      </c>
      <c r="BQ103" s="21">
        <f>EXP(-LN(2)/25)*BQ102+(1-EXP(-LN(2)/25))/(LN(2)/25)*Calculateur!BL103*Calculateur!BN103*VLOOKUP('Données projet'!$B$11,Paramètres!$A$1:$I$89,3,0)*0.475*44/12</f>
        <v>17.165130012420896</v>
      </c>
      <c r="BR103" s="21">
        <f>EXP(-LN(2)/2)*BR102+(1-EXP(-LN(2)/2))/(LN(2)/2)*BL103*BO103*VLOOKUP('Données projet'!$B$11,Paramètres!$A$1:$I$89,3,0)*0.475*44/12</f>
        <v>4.5831754430607859E-5</v>
      </c>
      <c r="BS103" s="22">
        <f t="shared" si="63"/>
        <v>116.64122374546427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678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677.99999999999966</v>
      </c>
      <c r="BZ103" s="13">
        <f>BY103*VLOOKUP('Données projet'!$B$12,Paramètres!$A$1:$I$89,3,0)*VLOOKUP('Données projet'!$B$12,Paramètres!$A$1:$I$89,5,0)</f>
        <v>317.30399999999986</v>
      </c>
      <c r="CA103" s="13">
        <f t="shared" si="93"/>
        <v>74.792122509346598</v>
      </c>
      <c r="CB103" s="20">
        <f t="shared" si="64"/>
        <v>682.90074670377828</v>
      </c>
      <c r="CC103" s="59">
        <f t="shared" si="65"/>
        <v>976.23408003711165</v>
      </c>
      <c r="CD103" s="59">
        <f ca="1">AVERAGE(OFFSET($CC$3,0,0,'Données projet'!$E$12+1,1))-AVERAGE(OFFSET($H$3,0,0,'Données projet'!$E$12+1,1))</f>
        <v>259.87681411271632</v>
      </c>
      <c r="CE103" s="59">
        <f t="shared" si="94"/>
        <v>191.8684235641158</v>
      </c>
      <c r="CF103" s="15" t="str">
        <f>IF(ISNA(VLOOKUP(A103,'Données projet'!$A$113:$I$133,3,0)),0,VLOOKUP(A103,'Données projet'!$A$113:$I$133,3,0))</f>
        <v>CR</v>
      </c>
      <c r="CG103" s="15">
        <f>IF(ISNA(VLOOKUP(A103,'Données projet'!$A$113:$I$133,4,0)),0,VLOOKUP(A103,'Données projet'!$A$113:$I$133,4,0))</f>
        <v>678</v>
      </c>
      <c r="CH103" s="16">
        <f>IF(ISNA(VLOOKUP(A103,'Données projet'!$A$113:$I$133,5,0)),0%,VLOOKUP(A103,'Données projet'!$A$113:$I$133,5,0)*VLOOKUP('Données projet'!$B$12,Paramètres!$A$1:$I$89,7,0))</f>
        <v>0.38500000000000001</v>
      </c>
      <c r="CI103" s="16">
        <f>IF(ISNA(VLOOKUP(A103,'Données projet'!$A$113:$I$133,6,0)),0%,VLOOKUP(A103,'Données projet'!$A$113:$I$133,6,0)*VLOOKUP('Données projet'!$B$12,Paramètres!$A$1:$I$89,7,0))</f>
        <v>9.3500000000000014E-2</v>
      </c>
      <c r="CJ103" s="16">
        <f>IF(ISNA(VLOOKUP(A103,'Données projet'!$A$113:$I$133,7,0)),0%,VLOOKUP(A103,'Données projet'!$A$113:$I$133,7,0))</f>
        <v>0.13</v>
      </c>
      <c r="CK103" s="21">
        <f>EXP(-LN(2)/35)*CK102+(1-EXP(-LN(2)/35))/(LN(2)/35)*CG103*CH103*VLOOKUP('Données projet'!$B$12,Paramètres!$A$1:$I$89,3,0)*0.475*44/12</f>
        <v>237.75445078680679</v>
      </c>
      <c r="CL103" s="21">
        <f>EXP(-LN(2)/25)*CL102+(1-EXP(-LN(2)/25))/(LN(2)/25)*Calculateur!CG103*Calculateur!CI103*VLOOKUP('Données projet'!$B$12,Paramètres!$A$1:$I$89,3,0)*0.475*44/12</f>
        <v>54.779423726875002</v>
      </c>
      <c r="CM103" s="21">
        <f>EXP(-LN(2)/2)*CM102+(1-EXP(-LN(2)/2))/(LN(2)/2)*CG103*CJ103*VLOOKUP('Données projet'!$B$12,Paramètres!$A$1:$I$89,3,0)*0.475*44/12</f>
        <v>46.976420499096449</v>
      </c>
      <c r="CN103" s="22">
        <f t="shared" si="66"/>
        <v>339.51029501277822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344.06096639999998</v>
      </c>
      <c r="CR103" s="12">
        <f>VLOOKUP(A103,'Données projet'!$A$139:$I$159,9,0)</f>
        <v>8.3000000000000007</v>
      </c>
      <c r="CS103" s="12">
        <f t="array" ref="CS103">INDEX(CR:CR,MIN(IF(ISNUMBER(CR103:CR299),ROW(CR103:CR299),"")))</f>
        <v>8.3000000000000007</v>
      </c>
      <c r="CT103" s="12">
        <f>IF('Données projet'!$A$140&gt;35,CT102+CS103-DB102,IF(A103&lt;'Données projet'!$A$140,$CQ$205^A103,IF(A103='Données projet'!$A$140,'Données projet'!$B$140,CT102+CS103-DB102)))</f>
        <v>344.06096640000015</v>
      </c>
      <c r="CU103" s="17">
        <f>CT103*VLOOKUP('Données projet'!$B$13,Paramètres!$A$1:$I$89,3,0)*VLOOKUP('Données projet'!$B$13,Paramètres!$A$1:$I$89,5,0)</f>
        <v>161.02053227520005</v>
      </c>
      <c r="CV103" s="13">
        <f t="shared" si="95"/>
        <v>41.072614063601193</v>
      </c>
      <c r="CW103" s="20">
        <f t="shared" si="67"/>
        <v>351.97889654007889</v>
      </c>
      <c r="CX103" s="59">
        <f t="shared" si="68"/>
        <v>645.31222987341221</v>
      </c>
      <c r="CY103" s="59">
        <f ca="1">AVERAGE(OFFSET($CX$3,0,0,'Données projet'!$E$13+1,1))-AVERAGE(OFFSET($H$3,0,0,'Données projet'!$E$13+1,1))</f>
        <v>137.59122085719031</v>
      </c>
      <c r="CZ103" s="59">
        <f t="shared" si="96"/>
        <v>130.1134470448718</v>
      </c>
      <c r="DA103" s="15" t="str">
        <f>IF(ISNA(VLOOKUP(A103,'Données projet'!$A$139:$I$159,3,0)),0,VLOOKUP(A103,'Données projet'!$A$139:$I$159,3,0))</f>
        <v>CR</v>
      </c>
      <c r="DB103" s="15">
        <f>IF(ISNA(VLOOKUP(A103,'Données projet'!$A$139:$I$159,4,0)),0,VLOOKUP(A103,'Données projet'!$A$139:$I$159,4,0))</f>
        <v>344.06096639999998</v>
      </c>
      <c r="DC103" s="16">
        <f>IF(ISNA(VLOOKUP(A103,'Données projet'!$A$139:$I$159,5,0)),0%,VLOOKUP(A103,'Données projet'!$A$139:$I$159,5,0)*VLOOKUP('Données projet'!$B$13,Paramètres!$A$1:$I$89,7,0))</f>
        <v>0.38500000000000001</v>
      </c>
      <c r="DD103" s="16">
        <f>IF(ISNA(VLOOKUP(A103,'Données projet'!$A$139:$I$159,6,0)),0%,VLOOKUP(A103,'Données projet'!$A$139:$I$159,6,0)*VLOOKUP('Données projet'!$B$13,Paramètres!$A$1:$I$89,7,0))</f>
        <v>9.240000000000001E-2</v>
      </c>
      <c r="DE103" s="16">
        <f>IF(ISNA(VLOOKUP(A103,'Données projet'!$A$139:$I$159,7,0)),0%,VLOOKUP(A103,'Données projet'!$A$139:$I$159,7,0))</f>
        <v>0.13200000000000001</v>
      </c>
      <c r="DF103" s="21">
        <f>EXP(-LN(2)/35)*DF102+(1-EXP(-LN(2)/35))/(LN(2)/35)*DB103*DC103*VLOOKUP('Données projet'!$B$13,Paramètres!$A$1:$I$89,3,0)*0.475*44/12</f>
        <v>126.71490404857555</v>
      </c>
      <c r="DG103" s="21">
        <f>EXP(-LN(2)/25)*DG102+(1-EXP(-LN(2)/25))/(LN(2)/25)*Calculateur!DB103*Calculateur!DD103*VLOOKUP('Données projet'!$B$13,Paramètres!$A$1:$I$89,3,0)*0.475*44/12</f>
        <v>28.683753259521801</v>
      </c>
      <c r="DH103" s="21">
        <f>EXP(-LN(2)/2)*DH102+(1-EXP(-LN(2)/2))/(LN(2)/2)*DB103*DE103*VLOOKUP('Données projet'!$B$13,Paramètres!$A$1:$I$89,3,0)*0.475*44/12</f>
        <v>24.212204456629845</v>
      </c>
      <c r="DI103" s="22">
        <f t="shared" si="69"/>
        <v>179.61086176472719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6.4</v>
      </c>
      <c r="DO103" s="12">
        <f>IF('Données projet'!$A$166&gt;35,DO102+DN103-DW102,IF(A103&lt;'Données projet'!$A$166,$DL$205^A103,IF(A103='Données projet'!$A$166,'Données projet'!$B$166,DO102+DN103-DW102)))</f>
        <v>242.2000000000001</v>
      </c>
      <c r="DP103" s="17">
        <f>DO103*VLOOKUP('Données projet'!$B$14,Paramètres!$A$1:$I$89,3,0)*VLOOKUP('Données projet'!$B$14,Paramètres!$A$1:$I$89,5,0)</f>
        <v>245.59080000000012</v>
      </c>
      <c r="DQ103" s="13">
        <f t="shared" si="97"/>
        <v>59.640801464853126</v>
      </c>
      <c r="DR103" s="20">
        <f t="shared" si="70"/>
        <v>531.61170588461948</v>
      </c>
      <c r="DS103" s="59">
        <f t="shared" si="71"/>
        <v>824.94503921795285</v>
      </c>
      <c r="DT103" s="59">
        <f ca="1">AVERAGE(OFFSET($DS$3,0,0,'Données projet'!$E$14+1,1))-AVERAGE(OFFSET($H$3,0,0,'Données projet'!$E$14+1,1))</f>
        <v>313.90901812281373</v>
      </c>
      <c r="DU103" s="59">
        <f t="shared" si="98"/>
        <v>210.54265725995265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59.691052927443835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59.691052927443835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-5.6843418860808015E-14</v>
      </c>
      <c r="EK103" s="17">
        <f>EJ103*VLOOKUP('Données projet'!$B$15,Paramètres!$A$1:$I$89,3,0)*VLOOKUP('Données projet'!$B$15,Paramètres!$A$1:$I$89,5,0)</f>
        <v>-4.5224624045658861E-14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316.52407313312403</v>
      </c>
      <c r="EP103" s="59">
        <f t="shared" si="100"/>
        <v>340.55949748167382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97.684249782646262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97.684249782646262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-5.6843418860808015E-14</v>
      </c>
      <c r="FF103" s="17">
        <f>FE103*VLOOKUP('Données projet'!$B$16,Paramètres!$A$1:$I$89,3,0)*VLOOKUP('Données projet'!$B$16,Paramètres!$A$1:$I$89,5,0)</f>
        <v>-3.7243808037601412E-14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199.99826357281154</v>
      </c>
      <c r="FK103" s="59">
        <f t="shared" si="102"/>
        <v>214.67424457475136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42.243568141037919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42.243568141037919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284.60021367910457</v>
      </c>
      <c r="T104" s="59">
        <f t="shared" si="88"/>
        <v>301.41905904220812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98.693693020984469</v>
      </c>
      <c r="AA104" s="21">
        <f>EXP(-LN(2)/25)*AA103+(1-EXP(-LN(2)/25))/(LN(2)/25)*Calculateur!V104*Calculateur!X104*VLOOKUP('Données projet'!$B$9,Paramètres!$A$1:$I$89,3,0)*0.475*44/12</f>
        <v>17.19028677176756</v>
      </c>
      <c r="AB104" s="21">
        <f>EXP(-LN(2)/2)*AB103+(1-EXP(-LN(2)/2))/(LN(2)/2)*V104*Y104*VLOOKUP('Données projet'!$B$9,Paramètres!$A$1:$I$89,3,0)*0.475*44/12</f>
        <v>1.917695781871241E-4</v>
      </c>
      <c r="AC104" s="22">
        <f t="shared" si="57"/>
        <v>115.88417156233022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294.45857786714919</v>
      </c>
      <c r="AO104" s="59">
        <f t="shared" si="90"/>
        <v>221.9773436301067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136.1714449665208</v>
      </c>
      <c r="AV104" s="21">
        <f>EXP(-LN(2)/25)*AV103+(1-EXP(-LN(2)/25))/(LN(2)/25)*Calculateur!AQ104*Calculateur!AS104*VLOOKUP('Données projet'!$B$10,Paramètres!$A$1:$I$89,3,0)*0.475*44/12</f>
        <v>26.827723346823664</v>
      </c>
      <c r="AW104" s="21">
        <f>EXP(-LN(2)/2)*AW103+(1-EXP(-LN(2)/2))/(LN(2)/2)*AQ104*AT104*VLOOKUP('Données projet'!$B$10,Paramètres!$A$1:$I$89,3,0)*0.475*44/12</f>
        <v>7.0304852384301231E-2</v>
      </c>
      <c r="AX104" s="21">
        <f t="shared" si="60"/>
        <v>163.06947316572877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6.3550942286383367E-14</v>
      </c>
      <c r="BF104" s="13">
        <f t="shared" si="91"/>
        <v>1.0064464192543978E-12</v>
      </c>
      <c r="BG104" s="20">
        <f t="shared" si="61"/>
        <v>1.8635787380168604E-12</v>
      </c>
      <c r="BH104" s="59">
        <f t="shared" si="62"/>
        <v>293.33333333333519</v>
      </c>
      <c r="BI104" s="59">
        <f ca="1">AVERAGE(OFFSET($BH$3,0,0,'Données projet'!$E$11+1,1))-AVERAGE(OFFSET($H$3,0,0,'Données projet'!$E$11+1,1))</f>
        <v>304.91676868833792</v>
      </c>
      <c r="BJ104" s="59">
        <f t="shared" si="92"/>
        <v>365.95065044620048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97.525383276342779</v>
      </c>
      <c r="BQ104" s="21">
        <f>EXP(-LN(2)/25)*BQ103+(1-EXP(-LN(2)/25))/(LN(2)/25)*Calculateur!BL104*Calculateur!BN104*VLOOKUP('Données projet'!$B$11,Paramètres!$A$1:$I$89,3,0)*0.475*44/12</f>
        <v>16.695748629556292</v>
      </c>
      <c r="BR104" s="21">
        <f>EXP(-LN(2)/2)*BR103+(1-EXP(-LN(2)/2))/(LN(2)/2)*BL104*BO104*VLOOKUP('Données projet'!$B$11,Paramètres!$A$1:$I$89,3,0)*0.475*44/12</f>
        <v>3.2407944351559411E-5</v>
      </c>
      <c r="BS104" s="22">
        <f t="shared" si="63"/>
        <v>114.22116431384342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-3.4106051316484809E-13</v>
      </c>
      <c r="BZ104" s="13">
        <f>BY104*VLOOKUP('Données projet'!$B$12,Paramètres!$A$1:$I$89,3,0)*VLOOKUP('Données projet'!$B$12,Paramètres!$A$1:$I$89,5,0)</f>
        <v>-1.5961632016114892E-13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259.87681411271632</v>
      </c>
      <c r="CE104" s="59">
        <f t="shared" si="94"/>
        <v>191.8684235641158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233.09223102277335</v>
      </c>
      <c r="CL104" s="21">
        <f>EXP(-LN(2)/25)*CL103+(1-EXP(-LN(2)/25))/(LN(2)/25)*Calculateur!CG104*Calculateur!CI104*VLOOKUP('Données projet'!$B$12,Paramètres!$A$1:$I$89,3,0)*0.475*44/12</f>
        <v>53.281477504338909</v>
      </c>
      <c r="CM104" s="21">
        <f>EXP(-LN(2)/2)*CM103+(1-EXP(-LN(2)/2))/(LN(2)/2)*CG104*CJ104*VLOOKUP('Données projet'!$B$12,Paramètres!$A$1:$I$89,3,0)*0.475*44/12</f>
        <v>33.217345490781838</v>
      </c>
      <c r="CN104" s="22">
        <f t="shared" si="66"/>
        <v>319.59105401789412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1.7053025658242404E-13</v>
      </c>
      <c r="CU104" s="17">
        <f>CT104*VLOOKUP('Données projet'!$B$13,Paramètres!$A$1:$I$89,3,0)*VLOOKUP('Données projet'!$B$13,Paramètres!$A$1:$I$89,5,0)</f>
        <v>7.9808160080574461E-14</v>
      </c>
      <c r="CV104" s="13">
        <f t="shared" si="95"/>
        <v>1.2308384591775343E-12</v>
      </c>
      <c r="CW104" s="20">
        <f t="shared" si="67"/>
        <v>2.282709528541206E-12</v>
      </c>
      <c r="CX104" s="59">
        <f t="shared" si="68"/>
        <v>293.33333333333559</v>
      </c>
      <c r="CY104" s="59">
        <f ca="1">AVERAGE(OFFSET($CX$3,0,0,'Données projet'!$E$13+1,1))-AVERAGE(OFFSET($H$3,0,0,'Données projet'!$E$13+1,1))</f>
        <v>137.59122085719031</v>
      </c>
      <c r="CZ104" s="59">
        <f t="shared" si="96"/>
        <v>130.1134470448718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124.23010206864285</v>
      </c>
      <c r="DG104" s="21">
        <f>EXP(-LN(2)/25)*DG103+(1-EXP(-LN(2)/25))/(LN(2)/25)*Calculateur!DB104*Calculateur!DD104*VLOOKUP('Données projet'!$B$13,Paramètres!$A$1:$I$89,3,0)*0.475*44/12</f>
        <v>27.899394518227151</v>
      </c>
      <c r="DH104" s="21">
        <f>EXP(-LN(2)/2)*DH103+(1-EXP(-LN(2)/2))/(LN(2)/2)*DB104*DE104*VLOOKUP('Données projet'!$B$13,Paramètres!$A$1:$I$89,3,0)*0.475*44/12</f>
        <v>17.120613958758113</v>
      </c>
      <c r="DI104" s="22">
        <f t="shared" si="69"/>
        <v>169.2501105456281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6.4</v>
      </c>
      <c r="DO104" s="12">
        <f>IF('Données projet'!$A$166&gt;35,DO103+DN104-DW103,IF(A104&lt;'Données projet'!$A$166,$DL$205^A104,IF(A104='Données projet'!$A$166,'Données projet'!$B$166,DO103+DN104-DW103)))</f>
        <v>248.60000000000011</v>
      </c>
      <c r="DP104" s="17">
        <f>DO104*VLOOKUP('Données projet'!$B$14,Paramètres!$A$1:$I$89,3,0)*VLOOKUP('Données projet'!$B$14,Paramètres!$A$1:$I$89,5,0)</f>
        <v>252.08040000000014</v>
      </c>
      <c r="DQ104" s="13">
        <f t="shared" si="97"/>
        <v>61.031212109520801</v>
      </c>
      <c r="DR104" s="20">
        <f t="shared" si="70"/>
        <v>545.33605775741557</v>
      </c>
      <c r="DS104" s="59">
        <f t="shared" si="71"/>
        <v>838.66939109074883</v>
      </c>
      <c r="DT104" s="59">
        <f ca="1">AVERAGE(OFFSET($DS$3,0,0,'Données projet'!$E$14+1,1))-AVERAGE(OFFSET($H$3,0,0,'Données projet'!$E$14+1,1))</f>
        <v>313.90901812281373</v>
      </c>
      <c r="DU104" s="59">
        <f t="shared" si="98"/>
        <v>210.54265725995265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58.520547787483963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58.520547787483963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-5.6843418860808015E-14</v>
      </c>
      <c r="EK104" s="17">
        <f>EJ104*VLOOKUP('Données projet'!$B$15,Paramètres!$A$1:$I$89,3,0)*VLOOKUP('Données projet'!$B$15,Paramètres!$A$1:$I$89,5,0)</f>
        <v>-4.5224624045658861E-14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316.52407313312403</v>
      </c>
      <c r="EP104" s="59">
        <f t="shared" si="100"/>
        <v>340.55949748167382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95.768721225917744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95.768721225917744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-5.6843418860808015E-14</v>
      </c>
      <c r="FF104" s="17">
        <f>FE104*VLOOKUP('Données projet'!$B$16,Paramètres!$A$1:$I$89,3,0)*VLOOKUP('Données projet'!$B$16,Paramètres!$A$1:$I$89,5,0)</f>
        <v>-3.7243808037601412E-14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199.99826357281154</v>
      </c>
      <c r="FK104" s="59">
        <f t="shared" si="102"/>
        <v>214.67424457475136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41.415197535824547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41.415197535824547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284.60021367910457</v>
      </c>
      <c r="T105" s="59">
        <f t="shared" si="88"/>
        <v>301.41905904220812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96.758369898051725</v>
      </c>
      <c r="AA105" s="21">
        <f>EXP(-LN(2)/25)*AA104+(1-EXP(-LN(2)/25))/(LN(2)/25)*Calculateur!V105*Calculateur!X105*VLOOKUP('Données projet'!$B$9,Paramètres!$A$1:$I$89,3,0)*0.475*44/12</f>
        <v>16.720217475995685</v>
      </c>
      <c r="AB105" s="21">
        <f>EXP(-LN(2)/2)*AB104+(1-EXP(-LN(2)/2))/(LN(2)/2)*V105*Y105*VLOOKUP('Données projet'!$B$9,Paramètres!$A$1:$I$89,3,0)*0.475*44/12</f>
        <v>1.3560156916139928E-4</v>
      </c>
      <c r="AC105" s="22">
        <f t="shared" si="57"/>
        <v>113.47872297561656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294.45857786714919</v>
      </c>
      <c r="AO105" s="59">
        <f t="shared" si="90"/>
        <v>221.9773436301067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133.50120598710762</v>
      </c>
      <c r="AV105" s="21">
        <f>EXP(-LN(2)/25)*AV104+(1-EXP(-LN(2)/25))/(LN(2)/25)*Calculateur!AQ105*Calculateur!AS105*VLOOKUP('Données projet'!$B$10,Paramètres!$A$1:$I$89,3,0)*0.475*44/12</f>
        <v>26.094117841096114</v>
      </c>
      <c r="AW105" s="21">
        <f>EXP(-LN(2)/2)*AW104+(1-EXP(-LN(2)/2))/(LN(2)/2)*AQ105*AT105*VLOOKUP('Données projet'!$B$10,Paramètres!$A$1:$I$89,3,0)*0.475*44/12</f>
        <v>4.9713037871258615E-2</v>
      </c>
      <c r="AX105" s="21">
        <f t="shared" si="60"/>
        <v>159.645036866075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6.3550942286383367E-14</v>
      </c>
      <c r="BF105" s="13">
        <f t="shared" si="91"/>
        <v>1.0064464192543978E-12</v>
      </c>
      <c r="BG105" s="20">
        <f t="shared" si="61"/>
        <v>1.8635787380168604E-12</v>
      </c>
      <c r="BH105" s="59">
        <f t="shared" si="62"/>
        <v>293.33333333333519</v>
      </c>
      <c r="BI105" s="59">
        <f ca="1">AVERAGE(OFFSET($BH$3,0,0,'Données projet'!$E$11+1,1))-AVERAGE(OFFSET($H$3,0,0,'Données projet'!$E$11+1,1))</f>
        <v>304.91676868833792</v>
      </c>
      <c r="BJ105" s="59">
        <f t="shared" si="92"/>
        <v>365.95065044620048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95.612969994903878</v>
      </c>
      <c r="BQ105" s="21">
        <f>EXP(-LN(2)/25)*BQ104+(1-EXP(-LN(2)/25))/(LN(2)/25)*Calculateur!BL105*Calculateur!BN105*VLOOKUP('Données projet'!$B$11,Paramètres!$A$1:$I$89,3,0)*0.475*44/12</f>
        <v>16.239202505289814</v>
      </c>
      <c r="BR105" s="21">
        <f>EXP(-LN(2)/2)*BR104+(1-EXP(-LN(2)/2))/(LN(2)/2)*BL105*BO105*VLOOKUP('Données projet'!$B$11,Paramètres!$A$1:$I$89,3,0)*0.475*44/12</f>
        <v>2.2915877215303929E-5</v>
      </c>
      <c r="BS105" s="22">
        <f t="shared" si="63"/>
        <v>111.8521954160709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-3.4106051316484809E-13</v>
      </c>
      <c r="BZ105" s="13">
        <f>BY105*VLOOKUP('Données projet'!$B$12,Paramètres!$A$1:$I$89,3,0)*VLOOKUP('Données projet'!$B$12,Paramètres!$A$1:$I$89,5,0)</f>
        <v>-1.5961632016114892E-13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259.87681411271632</v>
      </c>
      <c r="CE105" s="59">
        <f t="shared" si="94"/>
        <v>191.8684235641158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228.52143454463933</v>
      </c>
      <c r="CL105" s="21">
        <f>EXP(-LN(2)/25)*CL104+(1-EXP(-LN(2)/25))/(LN(2)/25)*Calculateur!CG105*Calculateur!CI105*VLOOKUP('Données projet'!$B$12,Paramètres!$A$1:$I$89,3,0)*0.475*44/12</f>
        <v>51.824492700031634</v>
      </c>
      <c r="CM105" s="21">
        <f>EXP(-LN(2)/2)*CM104+(1-EXP(-LN(2)/2))/(LN(2)/2)*CG105*CJ105*VLOOKUP('Données projet'!$B$12,Paramètres!$A$1:$I$89,3,0)*0.475*44/12</f>
        <v>23.488210249548224</v>
      </c>
      <c r="CN105" s="22">
        <f t="shared" si="66"/>
        <v>303.83413749421919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1.7053025658242404E-13</v>
      </c>
      <c r="CU105" s="17">
        <f>CT105*VLOOKUP('Données projet'!$B$13,Paramètres!$A$1:$I$89,3,0)*VLOOKUP('Données projet'!$B$13,Paramètres!$A$1:$I$89,5,0)</f>
        <v>7.9808160080574461E-14</v>
      </c>
      <c r="CV105" s="13">
        <f t="shared" si="95"/>
        <v>1.2308384591775343E-12</v>
      </c>
      <c r="CW105" s="20">
        <f t="shared" si="67"/>
        <v>2.282709528541206E-12</v>
      </c>
      <c r="CX105" s="59">
        <f t="shared" si="68"/>
        <v>293.33333333333559</v>
      </c>
      <c r="CY105" s="59">
        <f ca="1">AVERAGE(OFFSET($CX$3,0,0,'Données projet'!$E$13+1,1))-AVERAGE(OFFSET($H$3,0,0,'Données projet'!$E$13+1,1))</f>
        <v>137.59122085719031</v>
      </c>
      <c r="CZ105" s="59">
        <f t="shared" si="96"/>
        <v>130.1134470448718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121.79402553995708</v>
      </c>
      <c r="DG105" s="21">
        <f>EXP(-LN(2)/25)*DG104+(1-EXP(-LN(2)/25))/(LN(2)/25)*Calculateur!DB105*Calculateur!DD105*VLOOKUP('Données projet'!$B$13,Paramètres!$A$1:$I$89,3,0)*0.475*44/12</f>
        <v>27.136484107960836</v>
      </c>
      <c r="DH105" s="21">
        <f>EXP(-LN(2)/2)*DH104+(1-EXP(-LN(2)/2))/(LN(2)/2)*DB105*DE105*VLOOKUP('Données projet'!$B$13,Paramètres!$A$1:$I$89,3,0)*0.475*44/12</f>
        <v>12.106102228314926</v>
      </c>
      <c r="DI105" s="22">
        <f t="shared" si="69"/>
        <v>161.03661187623285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6.4</v>
      </c>
      <c r="DO105" s="12">
        <f>IF('Données projet'!$A$166&gt;35,DO104+DN105-DW104,IF(A105&lt;'Données projet'!$A$166,$DL$205^A105,IF(A105='Données projet'!$A$166,'Données projet'!$B$166,DO104+DN105-DW104)))</f>
        <v>255.00000000000011</v>
      </c>
      <c r="DP105" s="17">
        <f>DO105*VLOOKUP('Données projet'!$B$14,Paramètres!$A$1:$I$89,3,0)*VLOOKUP('Données projet'!$B$14,Paramètres!$A$1:$I$89,5,0)</f>
        <v>258.57000000000016</v>
      </c>
      <c r="DQ105" s="13">
        <f t="shared" si="97"/>
        <v>62.417461971173893</v>
      </c>
      <c r="DR105" s="20">
        <f t="shared" si="70"/>
        <v>559.05316293312819</v>
      </c>
      <c r="DS105" s="59">
        <f t="shared" si="71"/>
        <v>852.38649626646156</v>
      </c>
      <c r="DT105" s="59">
        <f ca="1">AVERAGE(OFFSET($DS$3,0,0,'Données projet'!$E$14+1,1))-AVERAGE(OFFSET($H$3,0,0,'Données projet'!$E$14+1,1))</f>
        <v>313.90901812281373</v>
      </c>
      <c r="DU105" s="59">
        <f t="shared" si="98"/>
        <v>210.54265725995265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57.372995539381066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57.372995539381066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-5.6843418860808015E-14</v>
      </c>
      <c r="EK105" s="17">
        <f>EJ105*VLOOKUP('Données projet'!$B$15,Paramètres!$A$1:$I$89,3,0)*VLOOKUP('Données projet'!$B$15,Paramètres!$A$1:$I$89,5,0)</f>
        <v>-4.5224624045658861E-14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316.52407313312403</v>
      </c>
      <c r="EP105" s="59">
        <f t="shared" si="100"/>
        <v>340.55949748167382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93.890755015829626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93.890755015829626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-5.6843418860808015E-14</v>
      </c>
      <c r="FF105" s="17">
        <f>FE105*VLOOKUP('Données projet'!$B$16,Paramètres!$A$1:$I$89,3,0)*VLOOKUP('Données projet'!$B$16,Paramètres!$A$1:$I$89,5,0)</f>
        <v>-3.7243808037601412E-14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199.99826357281154</v>
      </c>
      <c r="FK105" s="59">
        <f t="shared" si="102"/>
        <v>214.67424457475136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40.603070772923232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40.603070772923232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284.60021367910457</v>
      </c>
      <c r="T106" s="59">
        <f t="shared" si="88"/>
        <v>301.41905904220812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94.860997281129144</v>
      </c>
      <c r="AA106" s="21">
        <f>EXP(-LN(2)/25)*AA105+(1-EXP(-LN(2)/25))/(LN(2)/25)*Calculateur!V106*Calculateur!X106*VLOOKUP('Données projet'!$B$9,Paramètres!$A$1:$I$89,3,0)*0.475*44/12</f>
        <v>16.263002249836561</v>
      </c>
      <c r="AB106" s="21">
        <f>EXP(-LN(2)/2)*AB105+(1-EXP(-LN(2)/2))/(LN(2)/2)*V106*Y106*VLOOKUP('Données projet'!$B$9,Paramètres!$A$1:$I$89,3,0)*0.475*44/12</f>
        <v>9.588478909356205E-5</v>
      </c>
      <c r="AC106" s="22">
        <f t="shared" si="57"/>
        <v>111.12409541575479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294.45857786714919</v>
      </c>
      <c r="AO106" s="59">
        <f t="shared" si="90"/>
        <v>221.9773436301067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130.88332876539579</v>
      </c>
      <c r="AV106" s="21">
        <f>EXP(-LN(2)/25)*AV105+(1-EXP(-LN(2)/25))/(LN(2)/25)*Calculateur!AQ106*Calculateur!AS106*VLOOKUP('Données projet'!$B$10,Paramètres!$A$1:$I$89,3,0)*0.475*44/12</f>
        <v>25.380572816501324</v>
      </c>
      <c r="AW106" s="21">
        <f>EXP(-LN(2)/2)*AW105+(1-EXP(-LN(2)/2))/(LN(2)/2)*AQ106*AT106*VLOOKUP('Données projet'!$B$10,Paramètres!$A$1:$I$89,3,0)*0.475*44/12</f>
        <v>3.5152426192150615E-2</v>
      </c>
      <c r="AX106" s="21">
        <f t="shared" si="60"/>
        <v>156.29905400808926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6.3550942286383367E-14</v>
      </c>
      <c r="BF106" s="13">
        <f t="shared" si="91"/>
        <v>1.0064464192543978E-12</v>
      </c>
      <c r="BG106" s="20">
        <f t="shared" si="61"/>
        <v>1.8635787380168604E-12</v>
      </c>
      <c r="BH106" s="59">
        <f t="shared" si="62"/>
        <v>293.33333333333519</v>
      </c>
      <c r="BI106" s="59">
        <f ca="1">AVERAGE(OFFSET($BH$3,0,0,'Données projet'!$E$11+1,1))-AVERAGE(OFFSET($H$3,0,0,'Données projet'!$E$11+1,1))</f>
        <v>304.91676868833792</v>
      </c>
      <c r="BJ106" s="59">
        <f t="shared" si="92"/>
        <v>365.95065044620048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93.738057971457067</v>
      </c>
      <c r="BQ106" s="21">
        <f>EXP(-LN(2)/25)*BQ105+(1-EXP(-LN(2)/25))/(LN(2)/25)*Calculateur!BL106*Calculateur!BN106*VLOOKUP('Données projet'!$B$11,Paramètres!$A$1:$I$89,3,0)*0.475*44/12</f>
        <v>15.79514065880012</v>
      </c>
      <c r="BR106" s="21">
        <f>EXP(-LN(2)/2)*BR105+(1-EXP(-LN(2)/2))/(LN(2)/2)*BL106*BO106*VLOOKUP('Données projet'!$B$11,Paramètres!$A$1:$I$89,3,0)*0.475*44/12</f>
        <v>1.6203972175779705E-5</v>
      </c>
      <c r="BS106" s="22">
        <f t="shared" si="63"/>
        <v>109.53321483422937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-3.4106051316484809E-13</v>
      </c>
      <c r="BZ106" s="13">
        <f>BY106*VLOOKUP('Données projet'!$B$12,Paramètres!$A$1:$I$89,3,0)*VLOOKUP('Données projet'!$B$12,Paramètres!$A$1:$I$89,5,0)</f>
        <v>-1.5961632016114892E-13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259.87681411271632</v>
      </c>
      <c r="CE106" s="59">
        <f t="shared" si="94"/>
        <v>191.8684235641158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224.04026859753097</v>
      </c>
      <c r="CL106" s="21">
        <f>EXP(-LN(2)/25)*CL105+(1-EXP(-LN(2)/25))/(LN(2)/25)*Calculateur!CG106*Calculateur!CI106*VLOOKUP('Données projet'!$B$12,Paramètres!$A$1:$I$89,3,0)*0.475*44/12</f>
        <v>50.407349221817647</v>
      </c>
      <c r="CM106" s="21">
        <f>EXP(-LN(2)/2)*CM105+(1-EXP(-LN(2)/2))/(LN(2)/2)*CG106*CJ106*VLOOKUP('Données projet'!$B$12,Paramètres!$A$1:$I$89,3,0)*0.475*44/12</f>
        <v>16.608672745390919</v>
      </c>
      <c r="CN106" s="22">
        <f t="shared" si="66"/>
        <v>291.05629056473958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1.7053025658242404E-13</v>
      </c>
      <c r="CU106" s="17">
        <f>CT106*VLOOKUP('Données projet'!$B$13,Paramètres!$A$1:$I$89,3,0)*VLOOKUP('Données projet'!$B$13,Paramètres!$A$1:$I$89,5,0)</f>
        <v>7.9808160080574461E-14</v>
      </c>
      <c r="CV106" s="13">
        <f t="shared" si="95"/>
        <v>1.2308384591775343E-12</v>
      </c>
      <c r="CW106" s="20">
        <f t="shared" si="67"/>
        <v>2.282709528541206E-12</v>
      </c>
      <c r="CX106" s="59">
        <f t="shared" si="68"/>
        <v>293.33333333333559</v>
      </c>
      <c r="CY106" s="59">
        <f ca="1">AVERAGE(OFFSET($CX$3,0,0,'Données projet'!$E$13+1,1))-AVERAGE(OFFSET($H$3,0,0,'Données projet'!$E$13+1,1))</f>
        <v>137.59122085719031</v>
      </c>
      <c r="CZ106" s="59">
        <f t="shared" si="96"/>
        <v>130.1134470448718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119.40571898613887</v>
      </c>
      <c r="DG106" s="21">
        <f>EXP(-LN(2)/25)*DG105+(1-EXP(-LN(2)/25))/(LN(2)/25)*Calculateur!DB106*Calculateur!DD106*VLOOKUP('Données projet'!$B$13,Paramètres!$A$1:$I$89,3,0)*0.475*44/12</f>
        <v>26.39443552298297</v>
      </c>
      <c r="DH106" s="21">
        <f>EXP(-LN(2)/2)*DH105+(1-EXP(-LN(2)/2))/(LN(2)/2)*DB106*DE106*VLOOKUP('Données projet'!$B$13,Paramètres!$A$1:$I$89,3,0)*0.475*44/12</f>
        <v>8.5603069793790585</v>
      </c>
      <c r="DI106" s="22">
        <f t="shared" si="69"/>
        <v>154.36046148850087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6.4</v>
      </c>
      <c r="DO106" s="12">
        <f>IF('Données projet'!$A$166&gt;35,DO105+DN106-DW105,IF(A106&lt;'Données projet'!$A$166,$DL$205^A106,IF(A106='Données projet'!$A$166,'Données projet'!$B$166,DO105+DN106-DW105)))</f>
        <v>261.40000000000009</v>
      </c>
      <c r="DP106" s="17">
        <f>DO106*VLOOKUP('Données projet'!$B$14,Paramètres!$A$1:$I$89,3,0)*VLOOKUP('Données projet'!$B$14,Paramètres!$A$1:$I$89,5,0)</f>
        <v>265.0596000000001</v>
      </c>
      <c r="DQ106" s="13">
        <f t="shared" si="97"/>
        <v>63.799667487271655</v>
      </c>
      <c r="DR106" s="20">
        <f t="shared" si="70"/>
        <v>572.7632242069983</v>
      </c>
      <c r="DS106" s="59">
        <f t="shared" si="71"/>
        <v>866.09655754033156</v>
      </c>
      <c r="DT106" s="59">
        <f ca="1">AVERAGE(OFFSET($DS$3,0,0,'Données projet'!$E$14+1,1))-AVERAGE(OFFSET($H$3,0,0,'Données projet'!$E$14+1,1))</f>
        <v>313.90901812281373</v>
      </c>
      <c r="DU106" s="59">
        <f t="shared" si="98"/>
        <v>210.54265725995265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56.247946090925701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56.247946090925701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-5.6843418860808015E-14</v>
      </c>
      <c r="EK106" s="17">
        <f>EJ106*VLOOKUP('Données projet'!$B$15,Paramètres!$A$1:$I$89,3,0)*VLOOKUP('Données projet'!$B$15,Paramètres!$A$1:$I$89,5,0)</f>
        <v>-4.5224624045658861E-14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316.52407313312403</v>
      </c>
      <c r="EP106" s="59">
        <f t="shared" si="100"/>
        <v>340.55949748167382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92.049614577675044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92.049614577675044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-5.6843418860808015E-14</v>
      </c>
      <c r="FF106" s="17">
        <f>FE106*VLOOKUP('Données projet'!$B$16,Paramètres!$A$1:$I$89,3,0)*VLOOKUP('Données projet'!$B$16,Paramètres!$A$1:$I$89,5,0)</f>
        <v>-3.7243808037601412E-14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199.99826357281154</v>
      </c>
      <c r="FK106" s="59">
        <f t="shared" si="102"/>
        <v>214.67424457475136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39.806869320493995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39.806869320493995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284.60021367910457</v>
      </c>
      <c r="T107" s="59">
        <f t="shared" si="88"/>
        <v>301.41905904220812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93.000830983941398</v>
      </c>
      <c r="AA107" s="21">
        <f>EXP(-LN(2)/25)*AA106+(1-EXP(-LN(2)/25))/(LN(2)/25)*Calculateur!V107*Calculateur!X107*VLOOKUP('Données projet'!$B$9,Paramètres!$A$1:$I$89,3,0)*0.475*44/12</f>
        <v>15.818289598080661</v>
      </c>
      <c r="AB107" s="21">
        <f>EXP(-LN(2)/2)*AB106+(1-EXP(-LN(2)/2))/(LN(2)/2)*V107*Y107*VLOOKUP('Données projet'!$B$9,Paramètres!$A$1:$I$89,3,0)*0.475*44/12</f>
        <v>6.7800784580699638E-5</v>
      </c>
      <c r="AC107" s="22">
        <f t="shared" si="57"/>
        <v>108.81918838280664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294.45857786714919</v>
      </c>
      <c r="AO107" s="59">
        <f t="shared" si="90"/>
        <v>221.9773436301067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128.31678651925426</v>
      </c>
      <c r="AV107" s="21">
        <f>EXP(-LN(2)/25)*AV106+(1-EXP(-LN(2)/25))/(LN(2)/25)*Calculateur!AQ107*Calculateur!AS107*VLOOKUP('Données projet'!$B$10,Paramètres!$A$1:$I$89,3,0)*0.475*44/12</f>
        <v>24.686539718127779</v>
      </c>
      <c r="AW107" s="21">
        <f>EXP(-LN(2)/2)*AW106+(1-EXP(-LN(2)/2))/(LN(2)/2)*AQ107*AT107*VLOOKUP('Données projet'!$B$10,Paramètres!$A$1:$I$89,3,0)*0.475*44/12</f>
        <v>2.4856518935629308E-2</v>
      </c>
      <c r="AX107" s="21">
        <f t="shared" si="60"/>
        <v>153.02818275631768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6.3550942286383367E-14</v>
      </c>
      <c r="BF107" s="13">
        <f t="shared" si="91"/>
        <v>1.0064464192543978E-12</v>
      </c>
      <c r="BG107" s="20">
        <f t="shared" si="61"/>
        <v>1.8635787380168604E-12</v>
      </c>
      <c r="BH107" s="59">
        <f t="shared" si="62"/>
        <v>293.33333333333519</v>
      </c>
      <c r="BI107" s="59">
        <f ca="1">AVERAGE(OFFSET($BH$3,0,0,'Données projet'!$E$11+1,1))-AVERAGE(OFFSET($H$3,0,0,'Données projet'!$E$11+1,1))</f>
        <v>304.91676868833792</v>
      </c>
      <c r="BJ107" s="59">
        <f t="shared" si="92"/>
        <v>365.95065044620048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91.89991182920663</v>
      </c>
      <c r="BQ107" s="21">
        <f>EXP(-LN(2)/25)*BQ106+(1-EXP(-LN(2)/25))/(LN(2)/25)*Calculateur!BL107*Calculateur!BN107*VLOOKUP('Données projet'!$B$11,Paramètres!$A$1:$I$89,3,0)*0.475*44/12</f>
        <v>15.363221706854883</v>
      </c>
      <c r="BR107" s="21">
        <f>EXP(-LN(2)/2)*BR106+(1-EXP(-LN(2)/2))/(LN(2)/2)*BL107*BO107*VLOOKUP('Données projet'!$B$11,Paramètres!$A$1:$I$89,3,0)*0.475*44/12</f>
        <v>1.1457938607651965E-5</v>
      </c>
      <c r="BS107" s="22">
        <f t="shared" si="63"/>
        <v>107.26314499400013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-3.4106051316484809E-13</v>
      </c>
      <c r="BZ107" s="13">
        <f>BY107*VLOOKUP('Données projet'!$B$12,Paramètres!$A$1:$I$89,3,0)*VLOOKUP('Données projet'!$B$12,Paramètres!$A$1:$I$89,5,0)</f>
        <v>-1.5961632016114892E-13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259.87681411271632</v>
      </c>
      <c r="CE107" s="59">
        <f t="shared" si="94"/>
        <v>191.8684235641158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219.64697558140406</v>
      </c>
      <c r="CL107" s="21">
        <f>EXP(-LN(2)/25)*CL106+(1-EXP(-LN(2)/25))/(LN(2)/25)*Calculateur!CG107*Calculateur!CI107*VLOOKUP('Données projet'!$B$12,Paramètres!$A$1:$I$89,3,0)*0.475*44/12</f>
        <v>49.028957606539755</v>
      </c>
      <c r="CM107" s="21">
        <f>EXP(-LN(2)/2)*CM106+(1-EXP(-LN(2)/2))/(LN(2)/2)*CG107*CJ107*VLOOKUP('Données projet'!$B$12,Paramètres!$A$1:$I$89,3,0)*0.475*44/12</f>
        <v>11.744105124774112</v>
      </c>
      <c r="CN107" s="22">
        <f t="shared" si="66"/>
        <v>280.42003831271796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1.7053025658242404E-13</v>
      </c>
      <c r="CU107" s="17">
        <f>CT107*VLOOKUP('Données projet'!$B$13,Paramètres!$A$1:$I$89,3,0)*VLOOKUP('Données projet'!$B$13,Paramètres!$A$1:$I$89,5,0)</f>
        <v>7.9808160080574461E-14</v>
      </c>
      <c r="CV107" s="13">
        <f t="shared" si="95"/>
        <v>1.2308384591775343E-12</v>
      </c>
      <c r="CW107" s="20">
        <f t="shared" si="67"/>
        <v>2.282709528541206E-12</v>
      </c>
      <c r="CX107" s="59">
        <f t="shared" si="68"/>
        <v>293.33333333333559</v>
      </c>
      <c r="CY107" s="59">
        <f ca="1">AVERAGE(OFFSET($CX$3,0,0,'Données projet'!$E$13+1,1))-AVERAGE(OFFSET($H$3,0,0,'Données projet'!$E$13+1,1))</f>
        <v>137.59122085719031</v>
      </c>
      <c r="CZ107" s="59">
        <f t="shared" si="96"/>
        <v>130.1134470448718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117.06424566711787</v>
      </c>
      <c r="DG107" s="21">
        <f>EXP(-LN(2)/25)*DG106+(1-EXP(-LN(2)/25))/(LN(2)/25)*Calculateur!DB107*Calculateur!DD107*VLOOKUP('Données projet'!$B$13,Paramètres!$A$1:$I$89,3,0)*0.475*44/12</f>
        <v>25.672678295583964</v>
      </c>
      <c r="DH107" s="21">
        <f>EXP(-LN(2)/2)*DH106+(1-EXP(-LN(2)/2))/(LN(2)/2)*DB107*DE107*VLOOKUP('Données projet'!$B$13,Paramètres!$A$1:$I$89,3,0)*0.475*44/12</f>
        <v>6.0530511141574639</v>
      </c>
      <c r="DI107" s="22">
        <f t="shared" si="69"/>
        <v>148.78997507685929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6.4</v>
      </c>
      <c r="DO107" s="12">
        <f>IF('Données projet'!$A$166&gt;35,DO106+DN107-DW106,IF(A107&lt;'Données projet'!$A$166,$DL$205^A107,IF(A107='Données projet'!$A$166,'Données projet'!$B$166,DO106+DN107-DW106)))</f>
        <v>267.80000000000007</v>
      </c>
      <c r="DP107" s="17">
        <f>DO107*VLOOKUP('Données projet'!$B$14,Paramètres!$A$1:$I$89,3,0)*VLOOKUP('Données projet'!$B$14,Paramètres!$A$1:$I$89,5,0)</f>
        <v>271.5492000000001</v>
      </c>
      <c r="DQ107" s="13">
        <f t="shared" si="97"/>
        <v>65.177939068609888</v>
      </c>
      <c r="DR107" s="20">
        <f t="shared" si="70"/>
        <v>586.46643387782899</v>
      </c>
      <c r="DS107" s="59">
        <f t="shared" si="71"/>
        <v>879.79976721116236</v>
      </c>
      <c r="DT107" s="59">
        <f ca="1">AVERAGE(OFFSET($DS$3,0,0,'Données projet'!$E$14+1,1))-AVERAGE(OFFSET($H$3,0,0,'Données projet'!$E$14+1,1))</f>
        <v>313.90901812281373</v>
      </c>
      <c r="DU107" s="59">
        <f t="shared" si="98"/>
        <v>210.54265725995265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55.144958175942143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55.144958175942143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-5.6843418860808015E-14</v>
      </c>
      <c r="EK107" s="17">
        <f>EJ107*VLOOKUP('Données projet'!$B$15,Paramètres!$A$1:$I$89,3,0)*VLOOKUP('Données projet'!$B$15,Paramètres!$A$1:$I$89,5,0)</f>
        <v>-4.5224624045658861E-14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316.52407313312403</v>
      </c>
      <c r="EP107" s="59">
        <f t="shared" si="100"/>
        <v>340.55949748167382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90.244577780527891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90.244577780527891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-5.6843418860808015E-14</v>
      </c>
      <c r="FF107" s="17">
        <f>FE107*VLOOKUP('Données projet'!$B$16,Paramètres!$A$1:$I$89,3,0)*VLOOKUP('Données projet'!$B$16,Paramètres!$A$1:$I$89,5,0)</f>
        <v>-3.7243808037601412E-14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199.99826357281154</v>
      </c>
      <c r="FK107" s="59">
        <f t="shared" si="102"/>
        <v>214.67424457475136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39.026280892911963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39.026280892911963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284.60021367910457</v>
      </c>
      <c r="T108" s="59">
        <f t="shared" si="88"/>
        <v>301.41905904220812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91.177141413252087</v>
      </c>
      <c r="AA108" s="21">
        <f>EXP(-LN(2)/25)*AA107+(1-EXP(-LN(2)/25))/(LN(2)/25)*Calculateur!V108*Calculateur!X108*VLOOKUP('Données projet'!$B$9,Paramètres!$A$1:$I$89,3,0)*0.475*44/12</f>
        <v>15.385737637173449</v>
      </c>
      <c r="AB108" s="21">
        <f>EXP(-LN(2)/2)*AB107+(1-EXP(-LN(2)/2))/(LN(2)/2)*V108*Y108*VLOOKUP('Données projet'!$B$9,Paramètres!$A$1:$I$89,3,0)*0.475*44/12</f>
        <v>4.7942394546781025E-5</v>
      </c>
      <c r="AC108" s="22">
        <f t="shared" si="57"/>
        <v>106.56292699282008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294.45857786714919</v>
      </c>
      <c r="AO108" s="59">
        <f t="shared" si="90"/>
        <v>221.9773436301067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125.80057260112339</v>
      </c>
      <c r="AV108" s="21">
        <f>EXP(-LN(2)/25)*AV107+(1-EXP(-LN(2)/25))/(LN(2)/25)*Calculateur!AQ108*Calculateur!AS108*VLOOKUP('Données projet'!$B$10,Paramètres!$A$1:$I$89,3,0)*0.475*44/12</f>
        <v>24.011484991326874</v>
      </c>
      <c r="AW108" s="21">
        <f>EXP(-LN(2)/2)*AW107+(1-EXP(-LN(2)/2))/(LN(2)/2)*AQ108*AT108*VLOOKUP('Données projet'!$B$10,Paramètres!$A$1:$I$89,3,0)*0.475*44/12</f>
        <v>1.7576213096075308E-2</v>
      </c>
      <c r="AX108" s="21">
        <f t="shared" si="60"/>
        <v>149.82963380554634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6.3550942286383367E-14</v>
      </c>
      <c r="BF108" s="13">
        <f t="shared" si="91"/>
        <v>1.0064464192543978E-12</v>
      </c>
      <c r="BG108" s="20">
        <f t="shared" si="61"/>
        <v>1.8635787380168604E-12</v>
      </c>
      <c r="BH108" s="59">
        <f t="shared" si="62"/>
        <v>293.33333333333519</v>
      </c>
      <c r="BI108" s="59">
        <f ca="1">AVERAGE(OFFSET($BH$3,0,0,'Données projet'!$E$11+1,1))-AVERAGE(OFFSET($H$3,0,0,'Données projet'!$E$11+1,1))</f>
        <v>304.91676868833792</v>
      </c>
      <c r="BJ108" s="59">
        <f t="shared" si="92"/>
        <v>365.95065044620048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90.09781061164729</v>
      </c>
      <c r="BQ108" s="21">
        <f>EXP(-LN(2)/25)*BQ107+(1-EXP(-LN(2)/25))/(LN(2)/25)*Calculateur!BL108*Calculateur!BN108*VLOOKUP('Données projet'!$B$11,Paramètres!$A$1:$I$89,3,0)*0.475*44/12</f>
        <v>14.943113601364221</v>
      </c>
      <c r="BR108" s="21">
        <f>EXP(-LN(2)/2)*BR107+(1-EXP(-LN(2)/2))/(LN(2)/2)*BL108*BO108*VLOOKUP('Données projet'!$B$11,Paramètres!$A$1:$I$89,3,0)*0.475*44/12</f>
        <v>8.1019860878898527E-6</v>
      </c>
      <c r="BS108" s="22">
        <f t="shared" si="63"/>
        <v>105.04093231499759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-3.4106051316484809E-13</v>
      </c>
      <c r="BZ108" s="13">
        <f>BY108*VLOOKUP('Données projet'!$B$12,Paramètres!$A$1:$I$89,3,0)*VLOOKUP('Données projet'!$B$12,Paramètres!$A$1:$I$89,5,0)</f>
        <v>-1.5961632016114892E-13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259.87681411271632</v>
      </c>
      <c r="CE108" s="59">
        <f t="shared" si="94"/>
        <v>191.8684235641158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215.33983236167924</v>
      </c>
      <c r="CL108" s="21">
        <f>EXP(-LN(2)/25)*CL107+(1-EXP(-LN(2)/25))/(LN(2)/25)*Calculateur!CG108*Calculateur!CI108*VLOOKUP('Données projet'!$B$12,Paramètres!$A$1:$I$89,3,0)*0.475*44/12</f>
        <v>47.688258182468104</v>
      </c>
      <c r="CM108" s="21">
        <f>EXP(-LN(2)/2)*CM107+(1-EXP(-LN(2)/2))/(LN(2)/2)*CG108*CJ108*VLOOKUP('Données projet'!$B$12,Paramètres!$A$1:$I$89,3,0)*0.475*44/12</f>
        <v>8.3043363726954595</v>
      </c>
      <c r="CN108" s="22">
        <f t="shared" si="66"/>
        <v>271.33242691684279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1.7053025658242404E-13</v>
      </c>
      <c r="CU108" s="17">
        <f>CT108*VLOOKUP('Données projet'!$B$13,Paramètres!$A$1:$I$89,3,0)*VLOOKUP('Données projet'!$B$13,Paramètres!$A$1:$I$89,5,0)</f>
        <v>7.9808160080574461E-14</v>
      </c>
      <c r="CV108" s="13">
        <f t="shared" si="95"/>
        <v>1.2308384591775343E-12</v>
      </c>
      <c r="CW108" s="20">
        <f t="shared" si="67"/>
        <v>2.282709528541206E-12</v>
      </c>
      <c r="CX108" s="59">
        <f t="shared" si="68"/>
        <v>293.33333333333559</v>
      </c>
      <c r="CY108" s="59">
        <f ca="1">AVERAGE(OFFSET($CX$3,0,0,'Données projet'!$E$13+1,1))-AVERAGE(OFFSET($H$3,0,0,'Données projet'!$E$13+1,1))</f>
        <v>137.59122085719031</v>
      </c>
      <c r="CZ108" s="59">
        <f t="shared" si="96"/>
        <v>130.1134470448718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114.76868721172518</v>
      </c>
      <c r="DG108" s="21">
        <f>EXP(-LN(2)/25)*DG107+(1-EXP(-LN(2)/25))/(LN(2)/25)*Calculateur!DB108*Calculateur!DD108*VLOOKUP('Données projet'!$B$13,Paramètres!$A$1:$I$89,3,0)*0.475*44/12</f>
        <v>24.970657557523744</v>
      </c>
      <c r="DH108" s="21">
        <f>EXP(-LN(2)/2)*DH107+(1-EXP(-LN(2)/2))/(LN(2)/2)*DB108*DE108*VLOOKUP('Données projet'!$B$13,Paramètres!$A$1:$I$89,3,0)*0.475*44/12</f>
        <v>4.2801534896895301</v>
      </c>
      <c r="DI108" s="22">
        <f t="shared" si="69"/>
        <v>144.01949825893846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6.4</v>
      </c>
      <c r="DO108" s="12">
        <f>IF('Données projet'!$A$166&gt;35,DO107+DN108-DW107,IF(A108&lt;'Données projet'!$A$166,$DL$205^A108,IF(A108='Données projet'!$A$166,'Données projet'!$B$166,DO107+DN108-DW107)))</f>
        <v>274.20000000000005</v>
      </c>
      <c r="DP108" s="17">
        <f>DO108*VLOOKUP('Données projet'!$B$14,Paramètres!$A$1:$I$89,3,0)*VLOOKUP('Données projet'!$B$14,Paramètres!$A$1:$I$89,5,0)</f>
        <v>278.03880000000009</v>
      </c>
      <c r="DQ108" s="13">
        <f t="shared" si="97"/>
        <v>66.5523815477178</v>
      </c>
      <c r="DR108" s="20">
        <f t="shared" si="70"/>
        <v>600.16297452894207</v>
      </c>
      <c r="DS108" s="59">
        <f t="shared" si="71"/>
        <v>893.49630786227544</v>
      </c>
      <c r="DT108" s="59">
        <f ca="1">AVERAGE(OFFSET($DS$3,0,0,'Données projet'!$E$14+1,1))-AVERAGE(OFFSET($H$3,0,0,'Données projet'!$E$14+1,1))</f>
        <v>313.90901812281373</v>
      </c>
      <c r="DU108" s="59">
        <f t="shared" si="98"/>
        <v>210.54265725995265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54.063599181215217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54.063599181215217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-5.6843418860808015E-14</v>
      </c>
      <c r="EK108" s="17">
        <f>EJ108*VLOOKUP('Données projet'!$B$15,Paramètres!$A$1:$I$89,3,0)*VLOOKUP('Données projet'!$B$15,Paramètres!$A$1:$I$89,5,0)</f>
        <v>-4.5224624045658861E-14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316.52407313312403</v>
      </c>
      <c r="EP108" s="59">
        <f t="shared" si="100"/>
        <v>340.55949748167382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88.47493665400907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88.47493665400907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-5.6843418860808015E-14</v>
      </c>
      <c r="FF108" s="17">
        <f>FE108*VLOOKUP('Données projet'!$B$16,Paramètres!$A$1:$I$89,3,0)*VLOOKUP('Données projet'!$B$16,Paramètres!$A$1:$I$89,5,0)</f>
        <v>-3.7243808037601412E-14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199.99826357281154</v>
      </c>
      <c r="FK108" s="59">
        <f t="shared" si="102"/>
        <v>214.67424457475136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38.260999328282885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38.260999328282885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284.60021367910457</v>
      </c>
      <c r="T109" s="59">
        <f t="shared" si="88"/>
        <v>301.41905904220812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89.389213282703196</v>
      </c>
      <c r="AA109" s="21">
        <f>EXP(-LN(2)/25)*AA108+(1-EXP(-LN(2)/25))/(LN(2)/25)*Calculateur!V109*Calculateur!X109*VLOOKUP('Données projet'!$B$9,Paramètres!$A$1:$I$89,3,0)*0.475*44/12</f>
        <v>14.965013832384162</v>
      </c>
      <c r="AB109" s="21">
        <f>EXP(-LN(2)/2)*AB108+(1-EXP(-LN(2)/2))/(LN(2)/2)*V109*Y109*VLOOKUP('Données projet'!$B$9,Paramètres!$A$1:$I$89,3,0)*0.475*44/12</f>
        <v>3.3900392290349819E-5</v>
      </c>
      <c r="AC109" s="22">
        <f t="shared" si="57"/>
        <v>104.35426101547965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294.45857786714919</v>
      </c>
      <c r="AO109" s="59">
        <f t="shared" si="90"/>
        <v>221.9773436301067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123.33370010318811</v>
      </c>
      <c r="AV109" s="21">
        <f>EXP(-LN(2)/25)*AV108+(1-EXP(-LN(2)/25))/(LN(2)/25)*Calculateur!AQ109*Calculateur!AS109*VLOOKUP('Données projet'!$B$10,Paramètres!$A$1:$I$89,3,0)*0.475*44/12</f>
        <v>23.354889671529925</v>
      </c>
      <c r="AW109" s="21">
        <f>EXP(-LN(2)/2)*AW108+(1-EXP(-LN(2)/2))/(LN(2)/2)*AQ109*AT109*VLOOKUP('Données projet'!$B$10,Paramètres!$A$1:$I$89,3,0)*0.475*44/12</f>
        <v>1.2428259467814654E-2</v>
      </c>
      <c r="AX109" s="21">
        <f t="shared" si="60"/>
        <v>146.70101803418584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6.3550942286383367E-14</v>
      </c>
      <c r="BF109" s="13">
        <f t="shared" si="91"/>
        <v>1.0064464192543978E-12</v>
      </c>
      <c r="BG109" s="20">
        <f t="shared" si="61"/>
        <v>1.8635787380168604E-12</v>
      </c>
      <c r="BH109" s="59">
        <f t="shared" si="62"/>
        <v>293.33333333333519</v>
      </c>
      <c r="BI109" s="59">
        <f ca="1">AVERAGE(OFFSET($BH$3,0,0,'Données projet'!$E$11+1,1))-AVERAGE(OFFSET($H$3,0,0,'Données projet'!$E$11+1,1))</f>
        <v>304.91676868833792</v>
      </c>
      <c r="BJ109" s="59">
        <f t="shared" si="92"/>
        <v>365.95065044620048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88.331047499791083</v>
      </c>
      <c r="BQ109" s="21">
        <f>EXP(-LN(2)/25)*BQ108+(1-EXP(-LN(2)/25))/(LN(2)/25)*Calculateur!BL109*Calculateur!BN109*VLOOKUP('Données projet'!$B$11,Paramètres!$A$1:$I$89,3,0)*0.475*44/12</f>
        <v>14.534493374110726</v>
      </c>
      <c r="BR109" s="21">
        <f>EXP(-LN(2)/2)*BR108+(1-EXP(-LN(2)/2))/(LN(2)/2)*BL109*BO109*VLOOKUP('Données projet'!$B$11,Paramètres!$A$1:$I$89,3,0)*0.475*44/12</f>
        <v>5.7289693038259823E-6</v>
      </c>
      <c r="BS109" s="22">
        <f t="shared" si="63"/>
        <v>102.86554660287111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-3.4106051316484809E-13</v>
      </c>
      <c r="BZ109" s="13">
        <f>BY109*VLOOKUP('Données projet'!$B$12,Paramètres!$A$1:$I$89,3,0)*VLOOKUP('Données projet'!$B$12,Paramètres!$A$1:$I$89,5,0)</f>
        <v>-1.5961632016114892E-13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259.87681411271632</v>
      </c>
      <c r="CE109" s="59">
        <f t="shared" si="94"/>
        <v>191.8684235641158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211.11714959339528</v>
      </c>
      <c r="CL109" s="21">
        <f>EXP(-LN(2)/25)*CL108+(1-EXP(-LN(2)/25))/(LN(2)/25)*Calculateur!CG109*Calculateur!CI109*VLOOKUP('Données projet'!$B$12,Paramètres!$A$1:$I$89,3,0)*0.475*44/12</f>
        <v>46.384220254652007</v>
      </c>
      <c r="CM109" s="21">
        <f>EXP(-LN(2)/2)*CM108+(1-EXP(-LN(2)/2))/(LN(2)/2)*CG109*CJ109*VLOOKUP('Données projet'!$B$12,Paramètres!$A$1:$I$89,3,0)*0.475*44/12</f>
        <v>5.8720525623870561</v>
      </c>
      <c r="CN109" s="22">
        <f t="shared" si="66"/>
        <v>263.37342241043433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1.7053025658242404E-13</v>
      </c>
      <c r="CU109" s="17">
        <f>CT109*VLOOKUP('Données projet'!$B$13,Paramètres!$A$1:$I$89,3,0)*VLOOKUP('Données projet'!$B$13,Paramètres!$A$1:$I$89,5,0)</f>
        <v>7.9808160080574461E-14</v>
      </c>
      <c r="CV109" s="13">
        <f t="shared" si="95"/>
        <v>1.2308384591775343E-12</v>
      </c>
      <c r="CW109" s="20">
        <f t="shared" si="67"/>
        <v>2.282709528541206E-12</v>
      </c>
      <c r="CX109" s="59">
        <f t="shared" si="68"/>
        <v>293.33333333333559</v>
      </c>
      <c r="CY109" s="59">
        <f ca="1">AVERAGE(OFFSET($CX$3,0,0,'Données projet'!$E$13+1,1))-AVERAGE(OFFSET($H$3,0,0,'Données projet'!$E$13+1,1))</f>
        <v>137.59122085719031</v>
      </c>
      <c r="CZ109" s="59">
        <f t="shared" si="96"/>
        <v>130.1134470448718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112.51814325749032</v>
      </c>
      <c r="DG109" s="21">
        <f>EXP(-LN(2)/25)*DG108+(1-EXP(-LN(2)/25))/(LN(2)/25)*Calculateur!DB109*Calculateur!DD109*VLOOKUP('Données projet'!$B$13,Paramètres!$A$1:$I$89,3,0)*0.475*44/12</f>
        <v>24.287833613463448</v>
      </c>
      <c r="DH109" s="21">
        <f>EXP(-LN(2)/2)*DH108+(1-EXP(-LN(2)/2))/(LN(2)/2)*DB109*DE109*VLOOKUP('Données projet'!$B$13,Paramètres!$A$1:$I$89,3,0)*0.475*44/12</f>
        <v>3.0265255570787324</v>
      </c>
      <c r="DI109" s="22">
        <f t="shared" si="69"/>
        <v>139.83250242803251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6.4</v>
      </c>
      <c r="DO109" s="12">
        <f>IF('Données projet'!$A$166&gt;35,DO108+DN109-DW108,IF(A109&lt;'Données projet'!$A$166,$DL$205^A109,IF(A109='Données projet'!$A$166,'Données projet'!$B$166,DO108+DN109-DW108)))</f>
        <v>280.60000000000002</v>
      </c>
      <c r="DP109" s="17">
        <f>DO109*VLOOKUP('Données projet'!$B$14,Paramètres!$A$1:$I$89,3,0)*VLOOKUP('Données projet'!$B$14,Paramètres!$A$1:$I$89,5,0)</f>
        <v>284.52840000000003</v>
      </c>
      <c r="DQ109" s="13">
        <f t="shared" si="97"/>
        <v>67.923094584210872</v>
      </c>
      <c r="DR109" s="20">
        <f t="shared" si="70"/>
        <v>613.85301973416733</v>
      </c>
      <c r="DS109" s="59">
        <f t="shared" si="71"/>
        <v>907.1863530675007</v>
      </c>
      <c r="DT109" s="59">
        <f ca="1">AVERAGE(OFFSET($DS$3,0,0,'Données projet'!$E$14+1,1))-AVERAGE(OFFSET($H$3,0,0,'Données projet'!$E$14+1,1))</f>
        <v>313.90901812281373</v>
      </c>
      <c r="DU109" s="59">
        <f t="shared" si="98"/>
        <v>210.54265725995265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53.003444976811025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53.003444976811025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-5.6843418860808015E-14</v>
      </c>
      <c r="EK109" s="17">
        <f>EJ109*VLOOKUP('Données projet'!$B$15,Paramètres!$A$1:$I$89,3,0)*VLOOKUP('Données projet'!$B$15,Paramètres!$A$1:$I$89,5,0)</f>
        <v>-4.5224624045658861E-14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316.52407313312403</v>
      </c>
      <c r="EP109" s="59">
        <f t="shared" si="100"/>
        <v>340.55949748167382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86.739997110606765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86.739997110606765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-5.6843418860808015E-14</v>
      </c>
      <c r="FF109" s="17">
        <f>FE109*VLOOKUP('Données projet'!$B$16,Paramètres!$A$1:$I$89,3,0)*VLOOKUP('Données projet'!$B$16,Paramètres!$A$1:$I$89,5,0)</f>
        <v>-3.7243808037601412E-14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199.99826357281154</v>
      </c>
      <c r="FK109" s="59">
        <f t="shared" si="102"/>
        <v>214.67424457475136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37.510724468360522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37.510724468360522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284.60021367910457</v>
      </c>
      <c r="T110" s="59">
        <f t="shared" si="88"/>
        <v>301.41905904220812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87.63634533226589</v>
      </c>
      <c r="AA110" s="21">
        <f>EXP(-LN(2)/25)*AA109+(1-EXP(-LN(2)/25))/(LN(2)/25)*Calculateur!V110*Calculateur!X110*VLOOKUP('Données projet'!$B$9,Paramètres!$A$1:$I$89,3,0)*0.475*44/12</f>
        <v>14.555794742161742</v>
      </c>
      <c r="AB110" s="21">
        <f>EXP(-LN(2)/2)*AB109+(1-EXP(-LN(2)/2))/(LN(2)/2)*V110*Y110*VLOOKUP('Données projet'!$B$9,Paramètres!$A$1:$I$89,3,0)*0.475*44/12</f>
        <v>2.3971197273390513E-5</v>
      </c>
      <c r="AC110" s="22">
        <f t="shared" si="57"/>
        <v>102.19216404562491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294.45857786714919</v>
      </c>
      <c r="AO110" s="59">
        <f t="shared" si="90"/>
        <v>221.9773436301067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120.9152014702937</v>
      </c>
      <c r="AV110" s="21">
        <f>EXP(-LN(2)/25)*AV109+(1-EXP(-LN(2)/25))/(LN(2)/25)*Calculateur!AQ110*Calculateur!AS110*VLOOKUP('Données projet'!$B$10,Paramètres!$A$1:$I$89,3,0)*0.475*44/12</f>
        <v>22.71624898528167</v>
      </c>
      <c r="AW110" s="21">
        <f>EXP(-LN(2)/2)*AW109+(1-EXP(-LN(2)/2))/(LN(2)/2)*AQ110*AT110*VLOOKUP('Données projet'!$B$10,Paramètres!$A$1:$I$89,3,0)*0.475*44/12</f>
        <v>8.7881065480376538E-3</v>
      </c>
      <c r="AX110" s="21">
        <f t="shared" si="60"/>
        <v>143.64023856212339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6.3550942286383367E-14</v>
      </c>
      <c r="BF110" s="13">
        <f t="shared" si="91"/>
        <v>1.0064464192543978E-12</v>
      </c>
      <c r="BG110" s="20">
        <f t="shared" si="61"/>
        <v>1.8635787380168604E-12</v>
      </c>
      <c r="BH110" s="59">
        <f t="shared" si="62"/>
        <v>293.33333333333519</v>
      </c>
      <c r="BI110" s="59">
        <f ca="1">AVERAGE(OFFSET($BH$3,0,0,'Données projet'!$E$11+1,1))-AVERAGE(OFFSET($H$3,0,0,'Données projet'!$E$11+1,1))</f>
        <v>304.91676868833792</v>
      </c>
      <c r="BJ110" s="59">
        <f t="shared" si="92"/>
        <v>365.95065044620048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86.598929534939288</v>
      </c>
      <c r="BQ110" s="21">
        <f>EXP(-LN(2)/25)*BQ109+(1-EXP(-LN(2)/25))/(LN(2)/25)*Calculateur!BL110*Calculateur!BN110*VLOOKUP('Données projet'!$B$11,Paramètres!$A$1:$I$89,3,0)*0.475*44/12</f>
        <v>14.13704688845988</v>
      </c>
      <c r="BR110" s="21">
        <f>EXP(-LN(2)/2)*BR109+(1-EXP(-LN(2)/2))/(LN(2)/2)*BL110*BO110*VLOOKUP('Données projet'!$B$11,Paramètres!$A$1:$I$89,3,0)*0.475*44/12</f>
        <v>4.0509930439449264E-6</v>
      </c>
      <c r="BS110" s="22">
        <f t="shared" si="63"/>
        <v>100.73598047439221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-3.4106051316484809E-13</v>
      </c>
      <c r="BZ110" s="13">
        <f>BY110*VLOOKUP('Données projet'!$B$12,Paramètres!$A$1:$I$89,3,0)*VLOOKUP('Données projet'!$B$12,Paramètres!$A$1:$I$89,5,0)</f>
        <v>-1.5961632016114892E-13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259.87681411271632</v>
      </c>
      <c r="CE110" s="59">
        <f t="shared" si="94"/>
        <v>191.8684235641158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206.9772710586152</v>
      </c>
      <c r="CL110" s="21">
        <f>EXP(-LN(2)/25)*CL109+(1-EXP(-LN(2)/25))/(LN(2)/25)*Calculateur!CG110*Calculateur!CI110*VLOOKUP('Données projet'!$B$12,Paramètres!$A$1:$I$89,3,0)*0.475*44/12</f>
        <v>45.115841312548419</v>
      </c>
      <c r="CM110" s="21">
        <f>EXP(-LN(2)/2)*CM109+(1-EXP(-LN(2)/2))/(LN(2)/2)*CG110*CJ110*VLOOKUP('Données projet'!$B$12,Paramètres!$A$1:$I$89,3,0)*0.475*44/12</f>
        <v>4.1521681863477298</v>
      </c>
      <c r="CN110" s="22">
        <f t="shared" si="66"/>
        <v>256.24528055751136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1.7053025658242404E-13</v>
      </c>
      <c r="CU110" s="17">
        <f>CT110*VLOOKUP('Données projet'!$B$13,Paramètres!$A$1:$I$89,3,0)*VLOOKUP('Données projet'!$B$13,Paramètres!$A$1:$I$89,5,0)</f>
        <v>7.9808160080574461E-14</v>
      </c>
      <c r="CV110" s="13">
        <f t="shared" si="95"/>
        <v>1.2308384591775343E-12</v>
      </c>
      <c r="CW110" s="20">
        <f t="shared" si="67"/>
        <v>2.282709528541206E-12</v>
      </c>
      <c r="CX110" s="59">
        <f t="shared" si="68"/>
        <v>293.33333333333559</v>
      </c>
      <c r="CY110" s="59">
        <f ca="1">AVERAGE(OFFSET($CX$3,0,0,'Données projet'!$E$13+1,1))-AVERAGE(OFFSET($H$3,0,0,'Données projet'!$E$13+1,1))</f>
        <v>137.59122085719031</v>
      </c>
      <c r="CZ110" s="59">
        <f t="shared" si="96"/>
        <v>130.1134470448718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110.31173109750175</v>
      </c>
      <c r="DG110" s="21">
        <f>EXP(-LN(2)/25)*DG109+(1-EXP(-LN(2)/25))/(LN(2)/25)*Calculateur!DB110*Calculateur!DD110*VLOOKUP('Données projet'!$B$13,Paramètres!$A$1:$I$89,3,0)*0.475*44/12</f>
        <v>23.623681526061631</v>
      </c>
      <c r="DH110" s="21">
        <f>EXP(-LN(2)/2)*DH109+(1-EXP(-LN(2)/2))/(LN(2)/2)*DB110*DE110*VLOOKUP('Données projet'!$B$13,Paramètres!$A$1:$I$89,3,0)*0.475*44/12</f>
        <v>2.1400767448447651</v>
      </c>
      <c r="DI110" s="22">
        <f t="shared" si="69"/>
        <v>136.07548936840814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>
        <f>VLOOKUP(A110,'Données projet'!$A$165:$I$185,2,0)</f>
        <v>287</v>
      </c>
      <c r="DM110" s="12">
        <f>VLOOKUP(A110,'Données projet'!$A$165:$I$185,9,0)</f>
        <v>6.4</v>
      </c>
      <c r="DN110" s="12">
        <f t="array" ref="DN110">INDEX(DM:DM,MIN(IF(ISNUMBER(DM110:DM306),ROW(DM110:DM306),"")))</f>
        <v>6.4</v>
      </c>
      <c r="DO110" s="12">
        <f>IF('Données projet'!$A$166&gt;35,DO109+DN110-DW109,IF(A110&lt;'Données projet'!$A$166,$DL$205^A110,IF(A110='Données projet'!$A$166,'Données projet'!$B$166,DO109+DN110-DW109)))</f>
        <v>287</v>
      </c>
      <c r="DP110" s="17">
        <f>DO110*VLOOKUP('Données projet'!$B$14,Paramètres!$A$1:$I$89,3,0)*VLOOKUP('Données projet'!$B$14,Paramètres!$A$1:$I$89,5,0)</f>
        <v>291.01800000000003</v>
      </c>
      <c r="DQ110" s="13">
        <f t="shared" si="97"/>
        <v>69.290173032120919</v>
      </c>
      <c r="DR110" s="20">
        <f t="shared" si="70"/>
        <v>627.53673469761077</v>
      </c>
      <c r="DS110" s="59">
        <f t="shared" si="71"/>
        <v>920.87006803094414</v>
      </c>
      <c r="DT110" s="59">
        <f ca="1">AVERAGE(OFFSET($DS$3,0,0,'Données projet'!$E$14+1,1))-AVERAGE(OFFSET($H$3,0,0,'Données projet'!$E$14+1,1))</f>
        <v>313.90901812281373</v>
      </c>
      <c r="DU110" s="59">
        <f t="shared" si="98"/>
        <v>210.54265725995265</v>
      </c>
      <c r="DV110" s="15">
        <f>IF(ISNA(VLOOKUP(A110,'Données projet'!$A$165:$I$185,3,0)),0,VLOOKUP(A110,'Données projet'!$A$165:$I$185,3,0))</f>
        <v>10</v>
      </c>
      <c r="DW110" s="15">
        <f>IF(ISNA(VLOOKUP(A110,'Données projet'!$A$165:$I$185,4,0)),0,VLOOKUP(A110,'Données projet'!$A$165:$I$185,4,0))</f>
        <v>46</v>
      </c>
      <c r="DX110" s="16">
        <f>IF(ISNA(VLOOKUP(A110,'Données projet'!$A$165:$I$185,5,0)),0%,VLOOKUP(A110,'Données projet'!$A$165:$I$185,5,0)*VLOOKUP('Données projet'!$B$14,Paramètres!$A$1:$I$89,7,0))</f>
        <v>0.38700000000000001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71.919177617920795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71.919177617920795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-5.6843418860808015E-14</v>
      </c>
      <c r="EK110" s="17">
        <f>EJ110*VLOOKUP('Données projet'!$B$15,Paramètres!$A$1:$I$89,3,0)*VLOOKUP('Données projet'!$B$15,Paramètres!$A$1:$I$89,5,0)</f>
        <v>-4.5224624045658861E-14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316.52407313312403</v>
      </c>
      <c r="EP110" s="59">
        <f t="shared" si="100"/>
        <v>340.55949748167382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85.039078673441949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85.039078673441949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-5.6843418860808015E-14</v>
      </c>
      <c r="FF110" s="17">
        <f>FE110*VLOOKUP('Données projet'!$B$16,Paramètres!$A$1:$I$89,3,0)*VLOOKUP('Données projet'!$B$16,Paramètres!$A$1:$I$89,5,0)</f>
        <v>-3.7243808037601412E-14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199.99826357281154</v>
      </c>
      <c r="FK110" s="59">
        <f t="shared" si="102"/>
        <v>214.67424457475136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36.775162040818756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36.775162040818756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284.60021367910457</v>
      </c>
      <c r="T111" s="59">
        <f t="shared" si="88"/>
        <v>301.41905904220812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85.91785005319278</v>
      </c>
      <c r="AA111" s="21">
        <f>EXP(-LN(2)/25)*AA110+(1-EXP(-LN(2)/25))/(LN(2)/25)*Calculateur!V111*Calculateur!X111*VLOOKUP('Données projet'!$B$9,Paramètres!$A$1:$I$89,3,0)*0.475*44/12</f>
        <v>14.157765769481351</v>
      </c>
      <c r="AB111" s="21">
        <f>EXP(-LN(2)/2)*AB110+(1-EXP(-LN(2)/2))/(LN(2)/2)*V111*Y111*VLOOKUP('Données projet'!$B$9,Paramètres!$A$1:$I$89,3,0)*0.475*44/12</f>
        <v>1.695019614517491E-5</v>
      </c>
      <c r="AC111" s="22">
        <f t="shared" si="57"/>
        <v>100.07563277287028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294.45857786714919</v>
      </c>
      <c r="AO111" s="59">
        <f t="shared" si="90"/>
        <v>221.9773436301067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118.54412812045183</v>
      </c>
      <c r="AV111" s="21">
        <f>EXP(-LN(2)/25)*AV110+(1-EXP(-LN(2)/25))/(LN(2)/25)*Calculateur!AQ111*Calculateur!AS111*VLOOKUP('Données projet'!$B$10,Paramètres!$A$1:$I$89,3,0)*0.475*44/12</f>
        <v>22.095071962183528</v>
      </c>
      <c r="AW111" s="21">
        <f>EXP(-LN(2)/2)*AW110+(1-EXP(-LN(2)/2))/(LN(2)/2)*AQ111*AT111*VLOOKUP('Données projet'!$B$10,Paramètres!$A$1:$I$89,3,0)*0.475*44/12</f>
        <v>6.2141297339073269E-3</v>
      </c>
      <c r="AX111" s="21">
        <f t="shared" si="60"/>
        <v>140.64541421236927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6.3550942286383367E-14</v>
      </c>
      <c r="BF111" s="13">
        <f t="shared" si="91"/>
        <v>1.0064464192543978E-12</v>
      </c>
      <c r="BG111" s="20">
        <f t="shared" si="61"/>
        <v>1.8635787380168604E-12</v>
      </c>
      <c r="BH111" s="59">
        <f t="shared" si="62"/>
        <v>293.33333333333519</v>
      </c>
      <c r="BI111" s="59">
        <f ca="1">AVERAGE(OFFSET($BH$3,0,0,'Données projet'!$E$11+1,1))-AVERAGE(OFFSET($H$3,0,0,'Données projet'!$E$11+1,1))</f>
        <v>304.91676868833792</v>
      </c>
      <c r="BJ111" s="59">
        <f t="shared" si="92"/>
        <v>365.95065044620048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84.900777346890592</v>
      </c>
      <c r="BQ111" s="21">
        <f>EXP(-LN(2)/25)*BQ110+(1-EXP(-LN(2)/25))/(LN(2)/25)*Calculateur!BL111*Calculateur!BN111*VLOOKUP('Données projet'!$B$11,Paramètres!$A$1:$I$89,3,0)*0.475*44/12</f>
        <v>13.750468597859959</v>
      </c>
      <c r="BR111" s="21">
        <f>EXP(-LN(2)/2)*BR110+(1-EXP(-LN(2)/2))/(LN(2)/2)*BL111*BO111*VLOOKUP('Données projet'!$B$11,Paramètres!$A$1:$I$89,3,0)*0.475*44/12</f>
        <v>2.8644846519129912E-6</v>
      </c>
      <c r="BS111" s="22">
        <f t="shared" si="63"/>
        <v>98.651248809235213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-3.4106051316484809E-13</v>
      </c>
      <c r="BZ111" s="13">
        <f>BY111*VLOOKUP('Données projet'!$B$12,Paramètres!$A$1:$I$89,3,0)*VLOOKUP('Données projet'!$B$12,Paramètres!$A$1:$I$89,5,0)</f>
        <v>-1.5961632016114892E-13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259.87681411271632</v>
      </c>
      <c r="CE111" s="59">
        <f t="shared" si="94"/>
        <v>191.8684235641158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202.91857301682558</v>
      </c>
      <c r="CL111" s="21">
        <f>EXP(-LN(2)/25)*CL110+(1-EXP(-LN(2)/25))/(LN(2)/25)*Calculateur!CG111*Calculateur!CI111*VLOOKUP('Données projet'!$B$12,Paramètres!$A$1:$I$89,3,0)*0.475*44/12</f>
        <v>43.8821462593178</v>
      </c>
      <c r="CM111" s="21">
        <f>EXP(-LN(2)/2)*CM110+(1-EXP(-LN(2)/2))/(LN(2)/2)*CG111*CJ111*VLOOKUP('Données projet'!$B$12,Paramètres!$A$1:$I$89,3,0)*0.475*44/12</f>
        <v>2.936026281193528</v>
      </c>
      <c r="CN111" s="22">
        <f t="shared" si="66"/>
        <v>249.73674555733692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1.7053025658242404E-13</v>
      </c>
      <c r="CU111" s="17">
        <f>CT111*VLOOKUP('Données projet'!$B$13,Paramètres!$A$1:$I$89,3,0)*VLOOKUP('Données projet'!$B$13,Paramètres!$A$1:$I$89,5,0)</f>
        <v>7.9808160080574461E-14</v>
      </c>
      <c r="CV111" s="13">
        <f t="shared" si="95"/>
        <v>1.2308384591775343E-12</v>
      </c>
      <c r="CW111" s="20">
        <f t="shared" si="67"/>
        <v>2.282709528541206E-12</v>
      </c>
      <c r="CX111" s="59">
        <f t="shared" si="68"/>
        <v>293.33333333333559</v>
      </c>
      <c r="CY111" s="59">
        <f ca="1">AVERAGE(OFFSET($CX$3,0,0,'Données projet'!$E$13+1,1))-AVERAGE(OFFSET($H$3,0,0,'Données projet'!$E$13+1,1))</f>
        <v>137.59122085719031</v>
      </c>
      <c r="CZ111" s="59">
        <f t="shared" si="96"/>
        <v>130.1134470448718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108.14858533419202</v>
      </c>
      <c r="DG111" s="21">
        <f>EXP(-LN(2)/25)*DG110+(1-EXP(-LN(2)/25))/(LN(2)/25)*Calculateur!DB111*Calculateur!DD111*VLOOKUP('Données projet'!$B$13,Paramètres!$A$1:$I$89,3,0)*0.475*44/12</f>
        <v>22.977690712416056</v>
      </c>
      <c r="DH111" s="21">
        <f>EXP(-LN(2)/2)*DH110+(1-EXP(-LN(2)/2))/(LN(2)/2)*DB111*DE111*VLOOKUP('Données projet'!$B$13,Paramètres!$A$1:$I$89,3,0)*0.475*44/12</f>
        <v>1.5132627785393662</v>
      </c>
      <c r="DI111" s="22">
        <f t="shared" si="69"/>
        <v>132.63953882514744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6.8</v>
      </c>
      <c r="DO111" s="12">
        <f>IF('Données projet'!$A$166&gt;35,DO110+DN111-DW110,IF(A111&lt;'Données projet'!$A$166,$DL$205^A111,IF(A111='Données projet'!$A$166,'Données projet'!$B$166,DO110+DN111-DW110)))</f>
        <v>247.8</v>
      </c>
      <c r="DP111" s="17">
        <f>DO111*VLOOKUP('Données projet'!$B$14,Paramètres!$A$1:$I$89,3,0)*VLOOKUP('Données projet'!$B$14,Paramètres!$A$1:$I$89,5,0)</f>
        <v>251.26920000000004</v>
      </c>
      <c r="DQ111" s="13">
        <f t="shared" si="97"/>
        <v>60.857640778569149</v>
      </c>
      <c r="DR111" s="20">
        <f t="shared" si="70"/>
        <v>543.62091435600803</v>
      </c>
      <c r="DS111" s="59">
        <f t="shared" si="71"/>
        <v>836.9542476893414</v>
      </c>
      <c r="DT111" s="59">
        <f ca="1">AVERAGE(OFFSET($DS$3,0,0,'Données projet'!$E$14+1,1))-AVERAGE(OFFSET($H$3,0,0,'Données projet'!$E$14+1,1))</f>
        <v>313.90901812281373</v>
      </c>
      <c r="DU111" s="59">
        <f t="shared" si="98"/>
        <v>210.54265725995265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70.508886411200265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70.508886411200265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-5.6843418860808015E-14</v>
      </c>
      <c r="EK111" s="17">
        <f>EJ111*VLOOKUP('Données projet'!$B$15,Paramètres!$A$1:$I$89,3,0)*VLOOKUP('Données projet'!$B$15,Paramètres!$A$1:$I$89,5,0)</f>
        <v>-4.5224624045658861E-14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316.52407313312403</v>
      </c>
      <c r="EP111" s="59">
        <f t="shared" si="100"/>
        <v>340.55949748167382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83.371514209372137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83.371514209372137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-5.6843418860808015E-14</v>
      </c>
      <c r="FF111" s="17">
        <f>FE111*VLOOKUP('Données projet'!$B$16,Paramètres!$A$1:$I$89,3,0)*VLOOKUP('Données projet'!$B$16,Paramètres!$A$1:$I$89,5,0)</f>
        <v>-3.7243808037601412E-14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199.99826357281154</v>
      </c>
      <c r="FK111" s="59">
        <f t="shared" si="102"/>
        <v>214.67424457475136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36.054023543832301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36.054023543832301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284.60021367910457</v>
      </c>
      <c r="T112" s="59">
        <f t="shared" si="88"/>
        <v>301.41905904220812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84.233053418363667</v>
      </c>
      <c r="AA112" s="21">
        <f>EXP(-LN(2)/25)*AA111+(1-EXP(-LN(2)/25))/(LN(2)/25)*Calculateur!V112*Calculateur!X112*VLOOKUP('Données projet'!$B$9,Paramètres!$A$1:$I$89,3,0)*0.475*44/12</f>
        <v>13.770620919990339</v>
      </c>
      <c r="AB112" s="21">
        <f>EXP(-LN(2)/2)*AB111+(1-EXP(-LN(2)/2))/(LN(2)/2)*V112*Y112*VLOOKUP('Données projet'!$B$9,Paramètres!$A$1:$I$89,3,0)*0.475*44/12</f>
        <v>1.1985598636695256E-5</v>
      </c>
      <c r="AC112" s="22">
        <f t="shared" si="57"/>
        <v>98.003686323952635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294.45857786714919</v>
      </c>
      <c r="AO112" s="59">
        <f t="shared" si="90"/>
        <v>221.9773436301067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116.21955007278842</v>
      </c>
      <c r="AV112" s="21">
        <f>EXP(-LN(2)/25)*AV111+(1-EXP(-LN(2)/25))/(LN(2)/25)*Calculateur!AQ112*Calculateur!AS112*VLOOKUP('Données projet'!$B$10,Paramètres!$A$1:$I$89,3,0)*0.475*44/12</f>
        <v>21.490881057448284</v>
      </c>
      <c r="AW112" s="21">
        <f>EXP(-LN(2)/2)*AW111+(1-EXP(-LN(2)/2))/(LN(2)/2)*AQ112*AT112*VLOOKUP('Données projet'!$B$10,Paramètres!$A$1:$I$89,3,0)*0.475*44/12</f>
        <v>4.3940532740188269E-3</v>
      </c>
      <c r="AX112" s="21">
        <f t="shared" si="60"/>
        <v>137.71482518351073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6.3550942286383367E-14</v>
      </c>
      <c r="BF112" s="13">
        <f t="shared" si="91"/>
        <v>1.0064464192543978E-12</v>
      </c>
      <c r="BG112" s="20">
        <f t="shared" si="61"/>
        <v>1.8635787380168604E-12</v>
      </c>
      <c r="BH112" s="59">
        <f t="shared" si="62"/>
        <v>293.33333333333519</v>
      </c>
      <c r="BI112" s="59">
        <f ca="1">AVERAGE(OFFSET($BH$3,0,0,'Données projet'!$E$11+1,1))-AVERAGE(OFFSET($H$3,0,0,'Données projet'!$E$11+1,1))</f>
        <v>304.91676868833792</v>
      </c>
      <c r="BJ112" s="59">
        <f t="shared" si="92"/>
        <v>365.95065044620048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83.235924887478973</v>
      </c>
      <c r="BQ112" s="21">
        <f>EXP(-LN(2)/25)*BQ111+(1-EXP(-LN(2)/25))/(LN(2)/25)*Calculateur!BL112*Calculateur!BN112*VLOOKUP('Données projet'!$B$11,Paramètres!$A$1:$I$89,3,0)*0.475*44/12</f>
        <v>13.374461310945762</v>
      </c>
      <c r="BR112" s="21">
        <f>EXP(-LN(2)/2)*BR111+(1-EXP(-LN(2)/2))/(LN(2)/2)*BL112*BO112*VLOOKUP('Données projet'!$B$11,Paramètres!$A$1:$I$89,3,0)*0.475*44/12</f>
        <v>2.0254965219724632E-6</v>
      </c>
      <c r="BS112" s="22">
        <f t="shared" si="63"/>
        <v>96.610388223921262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-3.4106051316484809E-13</v>
      </c>
      <c r="BZ112" s="13">
        <f>BY112*VLOOKUP('Données projet'!$B$12,Paramètres!$A$1:$I$89,3,0)*VLOOKUP('Données projet'!$B$12,Paramètres!$A$1:$I$89,5,0)</f>
        <v>-1.5961632016114892E-13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259.87681411271632</v>
      </c>
      <c r="CE112" s="59">
        <f t="shared" si="94"/>
        <v>191.8684235641158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198.93946356807407</v>
      </c>
      <c r="CL112" s="21">
        <f>EXP(-LN(2)/25)*CL111+(1-EXP(-LN(2)/25))/(LN(2)/25)*Calculateur!CG112*Calculateur!CI112*VLOOKUP('Données projet'!$B$12,Paramètres!$A$1:$I$89,3,0)*0.475*44/12</f>
        <v>42.682186662194979</v>
      </c>
      <c r="CM112" s="21">
        <f>EXP(-LN(2)/2)*CM111+(1-EXP(-LN(2)/2))/(LN(2)/2)*CG112*CJ112*VLOOKUP('Données projet'!$B$12,Paramètres!$A$1:$I$89,3,0)*0.475*44/12</f>
        <v>2.0760840931738649</v>
      </c>
      <c r="CN112" s="22">
        <f t="shared" si="66"/>
        <v>243.69773432344292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1.7053025658242404E-13</v>
      </c>
      <c r="CU112" s="17">
        <f>CT112*VLOOKUP('Données projet'!$B$13,Paramètres!$A$1:$I$89,3,0)*VLOOKUP('Données projet'!$B$13,Paramètres!$A$1:$I$89,5,0)</f>
        <v>7.9808160080574461E-14</v>
      </c>
      <c r="CV112" s="13">
        <f t="shared" si="95"/>
        <v>1.2308384591775343E-12</v>
      </c>
      <c r="CW112" s="20">
        <f t="shared" si="67"/>
        <v>2.282709528541206E-12</v>
      </c>
      <c r="CX112" s="59">
        <f t="shared" si="68"/>
        <v>293.33333333333559</v>
      </c>
      <c r="CY112" s="59">
        <f ca="1">AVERAGE(OFFSET($CX$3,0,0,'Données projet'!$E$13+1,1))-AVERAGE(OFFSET($H$3,0,0,'Données projet'!$E$13+1,1))</f>
        <v>137.59122085719031</v>
      </c>
      <c r="CZ112" s="59">
        <f t="shared" si="96"/>
        <v>130.1134470448718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106.02785753991215</v>
      </c>
      <c r="DG112" s="21">
        <f>EXP(-LN(2)/25)*DG111+(1-EXP(-LN(2)/25))/(LN(2)/25)*Calculateur!DB112*Calculateur!DD112*VLOOKUP('Données projet'!$B$13,Paramètres!$A$1:$I$89,3,0)*0.475*44/12</f>
        <v>22.349364551540802</v>
      </c>
      <c r="DH112" s="21">
        <f>EXP(-LN(2)/2)*DH111+(1-EXP(-LN(2)/2))/(LN(2)/2)*DB112*DE112*VLOOKUP('Données projet'!$B$13,Paramètres!$A$1:$I$89,3,0)*0.475*44/12</f>
        <v>1.0700383724223825</v>
      </c>
      <c r="DI112" s="22">
        <f t="shared" si="69"/>
        <v>129.44726046387532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6.8</v>
      </c>
      <c r="DO112" s="12">
        <f>IF('Données projet'!$A$166&gt;35,DO111+DN112-DW111,IF(A112&lt;'Données projet'!$A$166,$DL$205^A112,IF(A112='Données projet'!$A$166,'Données projet'!$B$166,DO111+DN112-DW111)))</f>
        <v>254.60000000000002</v>
      </c>
      <c r="DP112" s="17">
        <f>DO112*VLOOKUP('Données projet'!$B$14,Paramètres!$A$1:$I$89,3,0)*VLOOKUP('Données projet'!$B$14,Paramètres!$A$1:$I$89,5,0)</f>
        <v>258.1644</v>
      </c>
      <c r="DQ112" s="13">
        <f t="shared" si="97"/>
        <v>62.3309410183914</v>
      </c>
      <c r="DR112" s="20">
        <f t="shared" si="70"/>
        <v>558.19605227369834</v>
      </c>
      <c r="DS112" s="59">
        <f t="shared" si="71"/>
        <v>851.5293856070316</v>
      </c>
      <c r="DT112" s="59">
        <f ca="1">AVERAGE(OFFSET($DS$3,0,0,'Données projet'!$E$14+1,1))-AVERAGE(OFFSET($H$3,0,0,'Données projet'!$E$14+1,1))</f>
        <v>313.90901812281373</v>
      </c>
      <c r="DU112" s="59">
        <f t="shared" si="98"/>
        <v>210.54265725995265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69.126250154850837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69.126250154850837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-5.6843418860808015E-14</v>
      </c>
      <c r="EK112" s="17">
        <f>EJ112*VLOOKUP('Données projet'!$B$15,Paramètres!$A$1:$I$89,3,0)*VLOOKUP('Données projet'!$B$15,Paramètres!$A$1:$I$89,5,0)</f>
        <v>-4.5224624045658861E-14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316.52407313312403</v>
      </c>
      <c r="EP112" s="59">
        <f t="shared" si="100"/>
        <v>340.55949748167382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81.736649667328834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81.736649667328834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-5.6843418860808015E-14</v>
      </c>
      <c r="FF112" s="17">
        <f>FE112*VLOOKUP('Données projet'!$B$16,Paramètres!$A$1:$I$89,3,0)*VLOOKUP('Données projet'!$B$16,Paramètres!$A$1:$I$89,5,0)</f>
        <v>-3.7243808037601412E-14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199.99826357281154</v>
      </c>
      <c r="FK112" s="59">
        <f t="shared" si="102"/>
        <v>214.67424457475136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35.347026132920703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35.347026132920703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284.60021367910457</v>
      </c>
      <c r="T113" s="59">
        <f t="shared" si="88"/>
        <v>301.41905904220812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82.58129461791907</v>
      </c>
      <c r="AA113" s="21">
        <f>EXP(-LN(2)/25)*AA112+(1-EXP(-LN(2)/25))/(LN(2)/25)*Calculateur!V113*Calculateur!X113*VLOOKUP('Données projet'!$B$9,Paramètres!$A$1:$I$89,3,0)*0.475*44/12</f>
        <v>13.394062566767722</v>
      </c>
      <c r="AB113" s="21">
        <f>EXP(-LN(2)/2)*AB112+(1-EXP(-LN(2)/2))/(LN(2)/2)*V113*Y113*VLOOKUP('Données projet'!$B$9,Paramètres!$A$1:$I$89,3,0)*0.475*44/12</f>
        <v>8.4750980725874548E-6</v>
      </c>
      <c r="AC113" s="22">
        <f t="shared" si="57"/>
        <v>95.97536565978487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294.45857786714919</v>
      </c>
      <c r="AO113" s="59">
        <f t="shared" si="90"/>
        <v>221.9773436301067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113.94055558278708</v>
      </c>
      <c r="AV113" s="21">
        <f>EXP(-LN(2)/25)*AV112+(1-EXP(-LN(2)/25))/(LN(2)/25)*Calculateur!AQ113*Calculateur!AS113*VLOOKUP('Données projet'!$B$10,Paramètres!$A$1:$I$89,3,0)*0.475*44/12</f>
        <v>20.903211784776044</v>
      </c>
      <c r="AW113" s="21">
        <f>EXP(-LN(2)/2)*AW112+(1-EXP(-LN(2)/2))/(LN(2)/2)*AQ113*AT113*VLOOKUP('Données projet'!$B$10,Paramètres!$A$1:$I$89,3,0)*0.475*44/12</f>
        <v>3.1070648669536635E-3</v>
      </c>
      <c r="AX113" s="21">
        <f t="shared" si="60"/>
        <v>134.84687443243007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6.3550942286383367E-14</v>
      </c>
      <c r="BF113" s="13">
        <f t="shared" si="91"/>
        <v>1.0064464192543978E-12</v>
      </c>
      <c r="BG113" s="20">
        <f t="shared" si="61"/>
        <v>1.8635787380168604E-12</v>
      </c>
      <c r="BH113" s="59">
        <f t="shared" si="62"/>
        <v>293.33333333333519</v>
      </c>
      <c r="BI113" s="59">
        <f ca="1">AVERAGE(OFFSET($BH$3,0,0,'Données projet'!$E$11+1,1))-AVERAGE(OFFSET($H$3,0,0,'Données projet'!$E$11+1,1))</f>
        <v>304.91676868833792</v>
      </c>
      <c r="BJ113" s="59">
        <f t="shared" si="92"/>
        <v>365.95065044620048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81.603719169336685</v>
      </c>
      <c r="BQ113" s="21">
        <f>EXP(-LN(2)/25)*BQ112+(1-EXP(-LN(2)/25))/(LN(2)/25)*Calculateur!BL113*Calculateur!BN113*VLOOKUP('Données projet'!$B$11,Paramètres!$A$1:$I$89,3,0)*0.475*44/12</f>
        <v>13.008735963065597</v>
      </c>
      <c r="BR113" s="21">
        <f>EXP(-LN(2)/2)*BR112+(1-EXP(-LN(2)/2))/(LN(2)/2)*BL113*BO113*VLOOKUP('Données projet'!$B$11,Paramètres!$A$1:$I$89,3,0)*0.475*44/12</f>
        <v>1.4322423259564956E-6</v>
      </c>
      <c r="BS113" s="22">
        <f t="shared" si="63"/>
        <v>94.612456564644617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-3.4106051316484809E-13</v>
      </c>
      <c r="BZ113" s="13">
        <f>BY113*VLOOKUP('Données projet'!$B$12,Paramètres!$A$1:$I$89,3,0)*VLOOKUP('Données projet'!$B$12,Paramètres!$A$1:$I$89,5,0)</f>
        <v>-1.5961632016114892E-13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259.87681411271632</v>
      </c>
      <c r="CE113" s="59">
        <f t="shared" si="94"/>
        <v>191.8684235641158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195.03838202859549</v>
      </c>
      <c r="CL113" s="21">
        <f>EXP(-LN(2)/25)*CL112+(1-EXP(-LN(2)/25))/(LN(2)/25)*Calculateur!CG113*Calculateur!CI113*VLOOKUP('Données projet'!$B$12,Paramètres!$A$1:$I$89,3,0)*0.475*44/12</f>
        <v>41.515040023358615</v>
      </c>
      <c r="CM113" s="21">
        <f>EXP(-LN(2)/2)*CM112+(1-EXP(-LN(2)/2))/(LN(2)/2)*CG113*CJ113*VLOOKUP('Données projet'!$B$12,Paramètres!$A$1:$I$89,3,0)*0.475*44/12</f>
        <v>1.468013140596764</v>
      </c>
      <c r="CN113" s="22">
        <f t="shared" si="66"/>
        <v>238.02143519255085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1.7053025658242404E-13</v>
      </c>
      <c r="CU113" s="17">
        <f>CT113*VLOOKUP('Données projet'!$B$13,Paramètres!$A$1:$I$89,3,0)*VLOOKUP('Données projet'!$B$13,Paramètres!$A$1:$I$89,5,0)</f>
        <v>7.9808160080574461E-14</v>
      </c>
      <c r="CV113" s="13">
        <f t="shared" si="95"/>
        <v>1.2308384591775343E-12</v>
      </c>
      <c r="CW113" s="20">
        <f t="shared" si="67"/>
        <v>2.282709528541206E-12</v>
      </c>
      <c r="CX113" s="59">
        <f t="shared" si="68"/>
        <v>293.33333333333559</v>
      </c>
      <c r="CY113" s="59">
        <f ca="1">AVERAGE(OFFSET($CX$3,0,0,'Données projet'!$E$13+1,1))-AVERAGE(OFFSET($H$3,0,0,'Données projet'!$E$13+1,1))</f>
        <v>137.59122085719031</v>
      </c>
      <c r="CZ113" s="59">
        <f t="shared" si="96"/>
        <v>130.1134470448718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103.94871592416187</v>
      </c>
      <c r="DG113" s="21">
        <f>EXP(-LN(2)/25)*DG112+(1-EXP(-LN(2)/25))/(LN(2)/25)*Calculateur!DB113*Calculateur!DD113*VLOOKUP('Données projet'!$B$13,Paramètres!$A$1:$I$89,3,0)*0.475*44/12</f>
        <v>21.738220002576917</v>
      </c>
      <c r="DH113" s="21">
        <f>EXP(-LN(2)/2)*DH112+(1-EXP(-LN(2)/2))/(LN(2)/2)*DB113*DE113*VLOOKUP('Données projet'!$B$13,Paramètres!$A$1:$I$89,3,0)*0.475*44/12</f>
        <v>0.7566313892696831</v>
      </c>
      <c r="DI113" s="22">
        <f t="shared" si="69"/>
        <v>126.44356731600847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6.8</v>
      </c>
      <c r="DO113" s="12">
        <f>IF('Données projet'!$A$166&gt;35,DO112+DN113-DW112,IF(A113&lt;'Données projet'!$A$166,$DL$205^A113,IF(A113='Données projet'!$A$166,'Données projet'!$B$166,DO112+DN113-DW112)))</f>
        <v>261.40000000000003</v>
      </c>
      <c r="DP113" s="17">
        <f>DO113*VLOOKUP('Données projet'!$B$14,Paramètres!$A$1:$I$89,3,0)*VLOOKUP('Données projet'!$B$14,Paramètres!$A$1:$I$89,5,0)</f>
        <v>265.05960000000005</v>
      </c>
      <c r="DQ113" s="13">
        <f t="shared" si="97"/>
        <v>63.799667487271655</v>
      </c>
      <c r="DR113" s="20">
        <f t="shared" si="70"/>
        <v>572.76322420699819</v>
      </c>
      <c r="DS113" s="59">
        <f t="shared" si="71"/>
        <v>866.09655754033156</v>
      </c>
      <c r="DT113" s="59">
        <f ca="1">AVERAGE(OFFSET($DS$3,0,0,'Données projet'!$E$14+1,1))-AVERAGE(OFFSET($H$3,0,0,'Données projet'!$E$14+1,1))</f>
        <v>313.90901812281373</v>
      </c>
      <c r="DU113" s="59">
        <f t="shared" si="98"/>
        <v>210.54265725995265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67.770726552163566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67.770726552163566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-5.6843418860808015E-14</v>
      </c>
      <c r="EK113" s="17">
        <f>EJ113*VLOOKUP('Données projet'!$B$15,Paramètres!$A$1:$I$89,3,0)*VLOOKUP('Données projet'!$B$15,Paramètres!$A$1:$I$89,5,0)</f>
        <v>-4.5224624045658861E-14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316.52407313312403</v>
      </c>
      <c r="EP113" s="59">
        <f t="shared" si="100"/>
        <v>340.55949748167382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80.133843821786101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80.133843821786101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-5.6843418860808015E-14</v>
      </c>
      <c r="FF113" s="17">
        <f>FE113*VLOOKUP('Données projet'!$B$16,Paramètres!$A$1:$I$89,3,0)*VLOOKUP('Données projet'!$B$16,Paramètres!$A$1:$I$89,5,0)</f>
        <v>-3.7243808037601412E-14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199.99826357281154</v>
      </c>
      <c r="FK113" s="59">
        <f t="shared" si="102"/>
        <v>214.67424457475136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34.653892510011239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34.653892510011239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284.60021367910457</v>
      </c>
      <c r="T114" s="59">
        <f t="shared" si="88"/>
        <v>301.41905904220812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80.961925800077807</v>
      </c>
      <c r="AA114" s="21">
        <f>EXP(-LN(2)/25)*AA113+(1-EXP(-LN(2)/25))/(LN(2)/25)*Calculateur!V114*Calculateur!X114*VLOOKUP('Données projet'!$B$9,Paramètres!$A$1:$I$89,3,0)*0.475*44/12</f>
        <v>13.027801221516322</v>
      </c>
      <c r="AB114" s="21">
        <f>EXP(-LN(2)/2)*AB113+(1-EXP(-LN(2)/2))/(LN(2)/2)*V114*Y114*VLOOKUP('Données projet'!$B$9,Paramètres!$A$1:$I$89,3,0)*0.475*44/12</f>
        <v>5.9927993183476281E-6</v>
      </c>
      <c r="AC114" s="22">
        <f t="shared" si="57"/>
        <v>93.989733014393451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294.45857786714919</v>
      </c>
      <c r="AO114" s="59">
        <f t="shared" si="90"/>
        <v>221.9773436301067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111.7062507846853</v>
      </c>
      <c r="AV114" s="21">
        <f>EXP(-LN(2)/25)*AV113+(1-EXP(-LN(2)/25))/(LN(2)/25)*Calculateur!AQ114*Calculateur!AS114*VLOOKUP('Données projet'!$B$10,Paramètres!$A$1:$I$89,3,0)*0.475*44/12</f>
        <v>20.331612359269212</v>
      </c>
      <c r="AW114" s="21">
        <f>EXP(-LN(2)/2)*AW113+(1-EXP(-LN(2)/2))/(LN(2)/2)*AQ114*AT114*VLOOKUP('Données projet'!$B$10,Paramètres!$A$1:$I$89,3,0)*0.475*44/12</f>
        <v>2.1970266370094135E-3</v>
      </c>
      <c r="AX114" s="21">
        <f t="shared" si="60"/>
        <v>132.04006017059152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6.3550942286383367E-14</v>
      </c>
      <c r="BF114" s="13">
        <f t="shared" si="91"/>
        <v>1.0064464192543978E-12</v>
      </c>
      <c r="BG114" s="20">
        <f t="shared" si="61"/>
        <v>1.8635787380168604E-12</v>
      </c>
      <c r="BH114" s="59">
        <f t="shared" si="62"/>
        <v>293.33333333333519</v>
      </c>
      <c r="BI114" s="59">
        <f ca="1">AVERAGE(OFFSET($BH$3,0,0,'Données projet'!$E$11+1,1))-AVERAGE(OFFSET($H$3,0,0,'Données projet'!$E$11+1,1))</f>
        <v>304.91676868833792</v>
      </c>
      <c r="BJ114" s="59">
        <f t="shared" si="92"/>
        <v>365.95065044620048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80.003520009779976</v>
      </c>
      <c r="BQ114" s="21">
        <f>EXP(-LN(2)/25)*BQ113+(1-EXP(-LN(2)/25))/(LN(2)/25)*Calculateur!BL114*Calculateur!BN114*VLOOKUP('Données projet'!$B$11,Paramètres!$A$1:$I$89,3,0)*0.475*44/12</f>
        <v>12.653011394055875</v>
      </c>
      <c r="BR114" s="21">
        <f>EXP(-LN(2)/2)*BR113+(1-EXP(-LN(2)/2))/(LN(2)/2)*BL114*BO114*VLOOKUP('Données projet'!$B$11,Paramètres!$A$1:$I$89,3,0)*0.475*44/12</f>
        <v>1.0127482609862316E-6</v>
      </c>
      <c r="BS114" s="22">
        <f t="shared" si="63"/>
        <v>92.656532416584113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-3.4106051316484809E-13</v>
      </c>
      <c r="BZ114" s="13">
        <f>BY114*VLOOKUP('Données projet'!$B$12,Paramètres!$A$1:$I$89,3,0)*VLOOKUP('Données projet'!$B$12,Paramètres!$A$1:$I$89,5,0)</f>
        <v>-1.5961632016114892E-13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259.87681411271632</v>
      </c>
      <c r="CE114" s="59">
        <f t="shared" si="94"/>
        <v>191.8684235641158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191.21379831868128</v>
      </c>
      <c r="CL114" s="21">
        <f>EXP(-LN(2)/25)*CL113+(1-EXP(-LN(2)/25))/(LN(2)/25)*Calculateur!CG114*Calculateur!CI114*VLOOKUP('Données projet'!$B$12,Paramètres!$A$1:$I$89,3,0)*0.475*44/12</f>
        <v>40.379809070738801</v>
      </c>
      <c r="CM114" s="21">
        <f>EXP(-LN(2)/2)*CM113+(1-EXP(-LN(2)/2))/(LN(2)/2)*CG114*CJ114*VLOOKUP('Données projet'!$B$12,Paramètres!$A$1:$I$89,3,0)*0.475*44/12</f>
        <v>1.0380420465869324</v>
      </c>
      <c r="CN114" s="22">
        <f t="shared" si="66"/>
        <v>232.631649436007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1.7053025658242404E-13</v>
      </c>
      <c r="CU114" s="17">
        <f>CT114*VLOOKUP('Données projet'!$B$13,Paramètres!$A$1:$I$89,3,0)*VLOOKUP('Données projet'!$B$13,Paramètres!$A$1:$I$89,5,0)</f>
        <v>7.9808160080574461E-14</v>
      </c>
      <c r="CV114" s="13">
        <f t="shared" si="95"/>
        <v>1.2308384591775343E-12</v>
      </c>
      <c r="CW114" s="20">
        <f t="shared" si="67"/>
        <v>2.282709528541206E-12</v>
      </c>
      <c r="CX114" s="59">
        <f t="shared" si="68"/>
        <v>293.33333333333559</v>
      </c>
      <c r="CY114" s="59">
        <f ca="1">AVERAGE(OFFSET($CX$3,0,0,'Données projet'!$E$13+1,1))-AVERAGE(OFFSET($H$3,0,0,'Données projet'!$E$13+1,1))</f>
        <v>137.59122085719031</v>
      </c>
      <c r="CZ114" s="59">
        <f t="shared" si="96"/>
        <v>130.1134470448718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101.9103450073453</v>
      </c>
      <c r="DG114" s="21">
        <f>EXP(-LN(2)/25)*DG113+(1-EXP(-LN(2)/25))/(LN(2)/25)*Calculateur!DB114*Calculateur!DD114*VLOOKUP('Données projet'!$B$13,Paramètres!$A$1:$I$89,3,0)*0.475*44/12</f>
        <v>21.143787233443145</v>
      </c>
      <c r="DH114" s="21">
        <f>EXP(-LN(2)/2)*DH113+(1-EXP(-LN(2)/2))/(LN(2)/2)*DB114*DE114*VLOOKUP('Données projet'!$B$13,Paramètres!$A$1:$I$89,3,0)*0.475*44/12</f>
        <v>0.53501918621119127</v>
      </c>
      <c r="DI114" s="22">
        <f t="shared" si="69"/>
        <v>123.58915142699963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6.8</v>
      </c>
      <c r="DO114" s="12">
        <f>IF('Données projet'!$A$166&gt;35,DO113+DN114-DW113,IF(A114&lt;'Données projet'!$A$166,$DL$205^A114,IF(A114='Données projet'!$A$166,'Données projet'!$B$166,DO113+DN114-DW113)))</f>
        <v>268.20000000000005</v>
      </c>
      <c r="DP114" s="17">
        <f>DO114*VLOOKUP('Données projet'!$B$14,Paramètres!$A$1:$I$89,3,0)*VLOOKUP('Données projet'!$B$14,Paramètres!$A$1:$I$89,5,0)</f>
        <v>271.95480000000009</v>
      </c>
      <c r="DQ114" s="13">
        <f t="shared" si="97"/>
        <v>65.263952845017442</v>
      </c>
      <c r="DR114" s="20">
        <f t="shared" si="70"/>
        <v>587.32266120507222</v>
      </c>
      <c r="DS114" s="59">
        <f t="shared" si="71"/>
        <v>880.65599453840559</v>
      </c>
      <c r="DT114" s="59">
        <f ca="1">AVERAGE(OFFSET($DS$3,0,0,'Données projet'!$E$14+1,1))-AVERAGE(OFFSET($H$3,0,0,'Données projet'!$E$14+1,1))</f>
        <v>313.90901812281373</v>
      </c>
      <c r="DU114" s="59">
        <f t="shared" si="98"/>
        <v>210.54265725995265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66.441783940537235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66.441783940537235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-5.6843418860808015E-14</v>
      </c>
      <c r="EK114" s="17">
        <f>EJ114*VLOOKUP('Données projet'!$B$15,Paramètres!$A$1:$I$89,3,0)*VLOOKUP('Données projet'!$B$15,Paramètres!$A$1:$I$89,5,0)</f>
        <v>-4.5224624045658861E-14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316.52407313312403</v>
      </c>
      <c r="EP114" s="59">
        <f t="shared" si="100"/>
        <v>340.55949748167382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78.56246802125942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78.56246802125942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-5.6843418860808015E-14</v>
      </c>
      <c r="FF114" s="17">
        <f>FE114*VLOOKUP('Données projet'!$B$16,Paramètres!$A$1:$I$89,3,0)*VLOOKUP('Données projet'!$B$16,Paramètres!$A$1:$I$89,5,0)</f>
        <v>-3.7243808037601412E-14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199.99826357281154</v>
      </c>
      <c r="FK114" s="59">
        <f t="shared" si="102"/>
        <v>214.67424457475136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33.974350814677265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33.974350814677265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284.60021367910457</v>
      </c>
      <c r="T115" s="59">
        <f t="shared" si="88"/>
        <v>301.41905904220812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79.374311817036968</v>
      </c>
      <c r="AA115" s="21">
        <f>EXP(-LN(2)/25)*AA114+(1-EXP(-LN(2)/25))/(LN(2)/25)*Calculateur!V115*Calculateur!X115*VLOOKUP('Données projet'!$B$9,Paramètres!$A$1:$I$89,3,0)*0.475*44/12</f>
        <v>12.671555312011668</v>
      </c>
      <c r="AB115" s="21">
        <f>EXP(-LN(2)/2)*AB114+(1-EXP(-LN(2)/2))/(LN(2)/2)*V115*Y115*VLOOKUP('Données projet'!$B$9,Paramètres!$A$1:$I$89,3,0)*0.475*44/12</f>
        <v>4.2375490362937274E-6</v>
      </c>
      <c r="AC115" s="22">
        <f t="shared" si="57"/>
        <v>92.045871366597666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294.45857786714919</v>
      </c>
      <c r="AO115" s="59">
        <f t="shared" si="90"/>
        <v>221.9773436301067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109.51575934088291</v>
      </c>
      <c r="AV115" s="21">
        <f>EXP(-LN(2)/25)*AV114+(1-EXP(-LN(2)/25))/(LN(2)/25)*Calculateur!AQ115*Calculateur!AS115*VLOOKUP('Données projet'!$B$10,Paramètres!$A$1:$I$89,3,0)*0.475*44/12</f>
        <v>19.77564335011197</v>
      </c>
      <c r="AW115" s="21">
        <f>EXP(-LN(2)/2)*AW114+(1-EXP(-LN(2)/2))/(LN(2)/2)*AQ115*AT115*VLOOKUP('Données projet'!$B$10,Paramètres!$A$1:$I$89,3,0)*0.475*44/12</f>
        <v>1.5535324334768317E-3</v>
      </c>
      <c r="AX115" s="21">
        <f t="shared" si="60"/>
        <v>129.29295622342838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6.3550942286383367E-14</v>
      </c>
      <c r="BF115" s="13">
        <f t="shared" si="91"/>
        <v>1.0064464192543978E-12</v>
      </c>
      <c r="BG115" s="20">
        <f t="shared" si="61"/>
        <v>1.8635787380168604E-12</v>
      </c>
      <c r="BH115" s="59">
        <f t="shared" si="62"/>
        <v>293.33333333333519</v>
      </c>
      <c r="BI115" s="59">
        <f ca="1">AVERAGE(OFFSET($BH$3,0,0,'Données projet'!$E$11+1,1))-AVERAGE(OFFSET($H$3,0,0,'Données projet'!$E$11+1,1))</f>
        <v>304.91676868833792</v>
      </c>
      <c r="BJ115" s="59">
        <f t="shared" si="92"/>
        <v>365.95065044620048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78.434699779717064</v>
      </c>
      <c r="BQ115" s="21">
        <f>EXP(-LN(2)/25)*BQ114+(1-EXP(-LN(2)/25))/(LN(2)/25)*Calculateur!BL115*Calculateur!BN115*VLOOKUP('Données projet'!$B$11,Paramètres!$A$1:$I$89,3,0)*0.475*44/12</f>
        <v>12.307014132092467</v>
      </c>
      <c r="BR115" s="21">
        <f>EXP(-LN(2)/2)*BR114+(1-EXP(-LN(2)/2))/(LN(2)/2)*BL115*BO115*VLOOKUP('Données projet'!$B$11,Paramètres!$A$1:$I$89,3,0)*0.475*44/12</f>
        <v>7.1612116297824779E-7</v>
      </c>
      <c r="BS115" s="22">
        <f t="shared" si="63"/>
        <v>90.741714627930691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-3.4106051316484809E-13</v>
      </c>
      <c r="BZ115" s="13">
        <f>BY115*VLOOKUP('Données projet'!$B$12,Paramètres!$A$1:$I$89,3,0)*VLOOKUP('Données projet'!$B$12,Paramètres!$A$1:$I$89,5,0)</f>
        <v>-1.5961632016114892E-13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259.87681411271632</v>
      </c>
      <c r="CE115" s="59">
        <f t="shared" si="94"/>
        <v>191.8684235641158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187.46421236255276</v>
      </c>
      <c r="CL115" s="21">
        <f>EXP(-LN(2)/25)*CL114+(1-EXP(-LN(2)/25))/(LN(2)/25)*Calculateur!CG115*Calculateur!CI115*VLOOKUP('Données projet'!$B$12,Paramètres!$A$1:$I$89,3,0)*0.475*44/12</f>
        <v>39.275621068217582</v>
      </c>
      <c r="CM115" s="21">
        <f>EXP(-LN(2)/2)*CM114+(1-EXP(-LN(2)/2))/(LN(2)/2)*CG115*CJ115*VLOOKUP('Données projet'!$B$12,Paramètres!$A$1:$I$89,3,0)*0.475*44/12</f>
        <v>0.73400657029838201</v>
      </c>
      <c r="CN115" s="22">
        <f t="shared" si="66"/>
        <v>227.47384000106874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1.7053025658242404E-13</v>
      </c>
      <c r="CU115" s="17">
        <f>CT115*VLOOKUP('Données projet'!$B$13,Paramètres!$A$1:$I$89,3,0)*VLOOKUP('Données projet'!$B$13,Paramètres!$A$1:$I$89,5,0)</f>
        <v>7.9808160080574461E-14</v>
      </c>
      <c r="CV115" s="13">
        <f t="shared" si="95"/>
        <v>1.2308384591775343E-12</v>
      </c>
      <c r="CW115" s="20">
        <f t="shared" si="67"/>
        <v>2.282709528541206E-12</v>
      </c>
      <c r="CX115" s="59">
        <f t="shared" si="68"/>
        <v>293.33333333333559</v>
      </c>
      <c r="CY115" s="59">
        <f ca="1">AVERAGE(OFFSET($CX$3,0,0,'Données projet'!$E$13+1,1))-AVERAGE(OFFSET($H$3,0,0,'Données projet'!$E$13+1,1))</f>
        <v>137.59122085719031</v>
      </c>
      <c r="CZ115" s="59">
        <f t="shared" si="96"/>
        <v>130.1134470448718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99.911945300924003</v>
      </c>
      <c r="DG115" s="21">
        <f>EXP(-LN(2)/25)*DG114+(1-EXP(-LN(2)/25))/(LN(2)/25)*Calculateur!DB115*Calculateur!DD115*VLOOKUP('Données projet'!$B$13,Paramètres!$A$1:$I$89,3,0)*0.475*44/12</f>
        <v>20.565609259641196</v>
      </c>
      <c r="DH115" s="21">
        <f>EXP(-LN(2)/2)*DH114+(1-EXP(-LN(2)/2))/(LN(2)/2)*DB115*DE115*VLOOKUP('Données projet'!$B$13,Paramètres!$A$1:$I$89,3,0)*0.475*44/12</f>
        <v>0.37831569463484155</v>
      </c>
      <c r="DI115" s="22">
        <f t="shared" si="69"/>
        <v>120.85587025520003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6.8</v>
      </c>
      <c r="DO115" s="12">
        <f>IF('Données projet'!$A$166&gt;35,DO114+DN115-DW114,IF(A115&lt;'Données projet'!$A$166,$DL$205^A115,IF(A115='Données projet'!$A$166,'Données projet'!$B$166,DO114+DN115-DW114)))</f>
        <v>275.00000000000006</v>
      </c>
      <c r="DP115" s="17">
        <f>DO115*VLOOKUP('Données projet'!$B$14,Paramètres!$A$1:$I$89,3,0)*VLOOKUP('Données projet'!$B$14,Paramètres!$A$1:$I$89,5,0)</f>
        <v>278.85000000000008</v>
      </c>
      <c r="DQ115" s="13">
        <f t="shared" si="97"/>
        <v>66.723922641152967</v>
      </c>
      <c r="DR115" s="20">
        <f t="shared" si="70"/>
        <v>601.87458193334146</v>
      </c>
      <c r="DS115" s="59">
        <f t="shared" si="71"/>
        <v>895.20791526667472</v>
      </c>
      <c r="DT115" s="59">
        <f ca="1">AVERAGE(OFFSET($DS$3,0,0,'Données projet'!$E$14+1,1))-AVERAGE(OFFSET($H$3,0,0,'Données projet'!$E$14+1,1))</f>
        <v>313.90901812281373</v>
      </c>
      <c r="DU115" s="59">
        <f t="shared" si="98"/>
        <v>210.54265725995265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65.138901082949943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65.138901082949943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-5.6843418860808015E-14</v>
      </c>
      <c r="EK115" s="17">
        <f>EJ115*VLOOKUP('Données projet'!$B$15,Paramètres!$A$1:$I$89,3,0)*VLOOKUP('Données projet'!$B$15,Paramètres!$A$1:$I$89,5,0)</f>
        <v>-4.5224624045658861E-14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316.52407313312403</v>
      </c>
      <c r="EP115" s="59">
        <f t="shared" si="100"/>
        <v>340.55949748167382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77.021905941736463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77.021905941736463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-5.6843418860808015E-14</v>
      </c>
      <c r="FF115" s="17">
        <f>FE115*VLOOKUP('Données projet'!$B$16,Paramètres!$A$1:$I$89,3,0)*VLOOKUP('Données projet'!$B$16,Paramètres!$A$1:$I$89,5,0)</f>
        <v>-3.7243808037601412E-14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199.99826357281154</v>
      </c>
      <c r="FK115" s="59">
        <f t="shared" si="102"/>
        <v>214.67424457475136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33.308134517509281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33.308134517509281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284.60021367910457</v>
      </c>
      <c r="T116" s="59">
        <f t="shared" si="88"/>
        <v>301.41905904220812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77.817829975854636</v>
      </c>
      <c r="AA116" s="21">
        <f>EXP(-LN(2)/25)*AA115+(1-EXP(-LN(2)/25))/(LN(2)/25)*Calculateur!V116*Calculateur!X116*VLOOKUP('Données projet'!$B$9,Paramètres!$A$1:$I$89,3,0)*0.475*44/12</f>
        <v>12.325050965636576</v>
      </c>
      <c r="AB116" s="21">
        <f>EXP(-LN(2)/2)*AB115+(1-EXP(-LN(2)/2))/(LN(2)/2)*V116*Y116*VLOOKUP('Données projet'!$B$9,Paramètres!$A$1:$I$89,3,0)*0.475*44/12</f>
        <v>2.9963996591738141E-6</v>
      </c>
      <c r="AC116" s="22">
        <f t="shared" si="57"/>
        <v>90.142883937890872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294.45857786714919</v>
      </c>
      <c r="AO116" s="59">
        <f t="shared" si="90"/>
        <v>221.9773436301067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107.36822209822563</v>
      </c>
      <c r="AV116" s="21">
        <f>EXP(-LN(2)/25)*AV115+(1-EXP(-LN(2)/25))/(LN(2)/25)*Calculateur!AQ116*Calculateur!AS116*VLOOKUP('Données projet'!$B$10,Paramètres!$A$1:$I$89,3,0)*0.475*44/12</f>
        <v>19.234877342747271</v>
      </c>
      <c r="AW116" s="21">
        <f>EXP(-LN(2)/2)*AW115+(1-EXP(-LN(2)/2))/(LN(2)/2)*AQ116*AT116*VLOOKUP('Données projet'!$B$10,Paramètres!$A$1:$I$89,3,0)*0.475*44/12</f>
        <v>1.0985133185047067E-3</v>
      </c>
      <c r="AX116" s="21">
        <f t="shared" si="60"/>
        <v>126.60419795429141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6.3550942286383367E-14</v>
      </c>
      <c r="BF116" s="13">
        <f t="shared" si="91"/>
        <v>1.0064464192543978E-12</v>
      </c>
      <c r="BG116" s="20">
        <f t="shared" si="61"/>
        <v>1.8635787380168604E-12</v>
      </c>
      <c r="BH116" s="59">
        <f t="shared" si="62"/>
        <v>293.33333333333519</v>
      </c>
      <c r="BI116" s="59">
        <f ca="1">AVERAGE(OFFSET($BH$3,0,0,'Données projet'!$E$11+1,1))-AVERAGE(OFFSET($H$3,0,0,'Données projet'!$E$11+1,1))</f>
        <v>304.91676868833792</v>
      </c>
      <c r="BJ116" s="59">
        <f t="shared" si="92"/>
        <v>365.95065044620048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76.896643157479829</v>
      </c>
      <c r="BQ116" s="21">
        <f>EXP(-LN(2)/25)*BQ115+(1-EXP(-LN(2)/25))/(LN(2)/25)*Calculateur!BL116*Calculateur!BN116*VLOOKUP('Données projet'!$B$11,Paramètres!$A$1:$I$89,3,0)*0.475*44/12</f>
        <v>11.970478183452654</v>
      </c>
      <c r="BR116" s="21">
        <f>EXP(-LN(2)/2)*BR115+(1-EXP(-LN(2)/2))/(LN(2)/2)*BL116*BO116*VLOOKUP('Données projet'!$B$11,Paramètres!$A$1:$I$89,3,0)*0.475*44/12</f>
        <v>5.0637413049311579E-7</v>
      </c>
      <c r="BS116" s="22">
        <f t="shared" si="63"/>
        <v>88.86712184730662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-3.4106051316484809E-13</v>
      </c>
      <c r="BZ116" s="13">
        <f>BY116*VLOOKUP('Données projet'!$B$12,Paramètres!$A$1:$I$89,3,0)*VLOOKUP('Données projet'!$B$12,Paramètres!$A$1:$I$89,5,0)</f>
        <v>-1.5961632016114892E-13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259.87681411271632</v>
      </c>
      <c r="CE116" s="59">
        <f t="shared" si="94"/>
        <v>191.8684235641158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183.78815350000232</v>
      </c>
      <c r="CL116" s="21">
        <f>EXP(-LN(2)/25)*CL115+(1-EXP(-LN(2)/25))/(LN(2)/25)*Calculateur!CG116*Calculateur!CI116*VLOOKUP('Données projet'!$B$12,Paramètres!$A$1:$I$89,3,0)*0.475*44/12</f>
        <v>38.201627144692026</v>
      </c>
      <c r="CM116" s="21">
        <f>EXP(-LN(2)/2)*CM115+(1-EXP(-LN(2)/2))/(LN(2)/2)*CG116*CJ116*VLOOKUP('Données projet'!$B$12,Paramètres!$A$1:$I$89,3,0)*0.475*44/12</f>
        <v>0.51902102329346622</v>
      </c>
      <c r="CN116" s="22">
        <f t="shared" si="66"/>
        <v>222.50880166798783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1.7053025658242404E-13</v>
      </c>
      <c r="CU116" s="17">
        <f>CT116*VLOOKUP('Données projet'!$B$13,Paramètres!$A$1:$I$89,3,0)*VLOOKUP('Données projet'!$B$13,Paramètres!$A$1:$I$89,5,0)</f>
        <v>7.9808160080574461E-14</v>
      </c>
      <c r="CV116" s="13">
        <f t="shared" si="95"/>
        <v>1.2308384591775343E-12</v>
      </c>
      <c r="CW116" s="20">
        <f t="shared" si="67"/>
        <v>2.282709528541206E-12</v>
      </c>
      <c r="CX116" s="59">
        <f t="shared" si="68"/>
        <v>293.33333333333559</v>
      </c>
      <c r="CY116" s="59">
        <f ca="1">AVERAGE(OFFSET($CX$3,0,0,'Données projet'!$E$13+1,1))-AVERAGE(OFFSET($H$3,0,0,'Données projet'!$E$13+1,1))</f>
        <v>137.59122085719031</v>
      </c>
      <c r="CZ116" s="59">
        <f t="shared" si="96"/>
        <v>130.1134470448718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97.952732993842162</v>
      </c>
      <c r="DG116" s="21">
        <f>EXP(-LN(2)/25)*DG115+(1-EXP(-LN(2)/25))/(LN(2)/25)*Calculateur!DB116*Calculateur!DD116*VLOOKUP('Données projet'!$B$13,Paramètres!$A$1:$I$89,3,0)*0.475*44/12</f>
        <v>20.003241592937918</v>
      </c>
      <c r="DH116" s="21">
        <f>EXP(-LN(2)/2)*DH115+(1-EXP(-LN(2)/2))/(LN(2)/2)*DB116*DE116*VLOOKUP('Données projet'!$B$13,Paramètres!$A$1:$I$89,3,0)*0.475*44/12</f>
        <v>0.26750959310559563</v>
      </c>
      <c r="DI116" s="22">
        <f t="shared" si="69"/>
        <v>118.22348417988569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6.8</v>
      </c>
      <c r="DO116" s="12">
        <f>IF('Données projet'!$A$166&gt;35,DO115+DN116-DW115,IF(A116&lt;'Données projet'!$A$166,$DL$205^A116,IF(A116='Données projet'!$A$166,'Données projet'!$B$166,DO115+DN116-DW115)))</f>
        <v>281.80000000000007</v>
      </c>
      <c r="DP116" s="17">
        <f>DO116*VLOOKUP('Données projet'!$B$14,Paramètres!$A$1:$I$89,3,0)*VLOOKUP('Données projet'!$B$14,Paramètres!$A$1:$I$89,5,0)</f>
        <v>285.74520000000007</v>
      </c>
      <c r="DQ116" s="13">
        <f t="shared" si="97"/>
        <v>68.179695862275295</v>
      </c>
      <c r="DR116" s="20">
        <f t="shared" si="70"/>
        <v>616.41919362679619</v>
      </c>
      <c r="DS116" s="59">
        <f t="shared" si="71"/>
        <v>909.75252696012944</v>
      </c>
      <c r="DT116" s="59">
        <f ca="1">AVERAGE(OFFSET($DS$3,0,0,'Données projet'!$E$14+1,1))-AVERAGE(OFFSET($H$3,0,0,'Données projet'!$E$14+1,1))</f>
        <v>313.90901812281373</v>
      </c>
      <c r="DU116" s="59">
        <f t="shared" si="98"/>
        <v>210.54265725995265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63.861566963519863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63.861566963519863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-5.6843418860808015E-14</v>
      </c>
      <c r="EK116" s="17">
        <f>EJ116*VLOOKUP('Données projet'!$B$15,Paramètres!$A$1:$I$89,3,0)*VLOOKUP('Données projet'!$B$15,Paramètres!$A$1:$I$89,5,0)</f>
        <v>-4.5224624045658861E-14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316.52407313312403</v>
      </c>
      <c r="EP116" s="59">
        <f t="shared" si="100"/>
        <v>340.55949748167382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75.511553344942868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75.511553344942868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-5.6843418860808015E-14</v>
      </c>
      <c r="FF116" s="17">
        <f>FE116*VLOOKUP('Données projet'!$B$16,Paramètres!$A$1:$I$89,3,0)*VLOOKUP('Données projet'!$B$16,Paramètres!$A$1:$I$89,5,0)</f>
        <v>-3.7243808037601412E-14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199.99826357281154</v>
      </c>
      <c r="FK116" s="59">
        <f t="shared" si="102"/>
        <v>214.67424457475136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32.654982315576945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32.654982315576945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284.60021367910457</v>
      </c>
      <c r="T117" s="59">
        <f t="shared" si="88"/>
        <v>301.41905904220812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76.291869794217718</v>
      </c>
      <c r="AA117" s="21">
        <f>EXP(-LN(2)/25)*AA116+(1-EXP(-LN(2)/25))/(LN(2)/25)*Calculateur!V117*Calculateur!X117*VLOOKUP('Données projet'!$B$9,Paramètres!$A$1:$I$89,3,0)*0.475*44/12</f>
        <v>11.988021798834984</v>
      </c>
      <c r="AB117" s="21">
        <f>EXP(-LN(2)/2)*AB116+(1-EXP(-LN(2)/2))/(LN(2)/2)*V117*Y117*VLOOKUP('Données projet'!$B$9,Paramètres!$A$1:$I$89,3,0)*0.475*44/12</f>
        <v>2.1187745181468637E-6</v>
      </c>
      <c r="AC117" s="22">
        <f t="shared" si="57"/>
        <v>88.279893711827214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294.45857786714919</v>
      </c>
      <c r="AO117" s="59">
        <f t="shared" si="90"/>
        <v>221.9773436301067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105.26279675102849</v>
      </c>
      <c r="AV117" s="21">
        <f>EXP(-LN(2)/25)*AV116+(1-EXP(-LN(2)/25))/(LN(2)/25)*Calculateur!AQ117*Calculateur!AS117*VLOOKUP('Données projet'!$B$10,Paramètres!$A$1:$I$89,3,0)*0.475*44/12</f>
        <v>18.708898610291609</v>
      </c>
      <c r="AW117" s="21">
        <f>EXP(-LN(2)/2)*AW116+(1-EXP(-LN(2)/2))/(LN(2)/2)*AQ117*AT117*VLOOKUP('Données projet'!$B$10,Paramètres!$A$1:$I$89,3,0)*0.475*44/12</f>
        <v>7.7676621673841587E-4</v>
      </c>
      <c r="AX117" s="21">
        <f t="shared" si="60"/>
        <v>123.97247212753685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6.3550942286383367E-14</v>
      </c>
      <c r="BF117" s="13">
        <f t="shared" si="91"/>
        <v>1.0064464192543978E-12</v>
      </c>
      <c r="BG117" s="20">
        <f t="shared" si="61"/>
        <v>1.8635787380168604E-12</v>
      </c>
      <c r="BH117" s="59">
        <f t="shared" si="62"/>
        <v>293.33333333333519</v>
      </c>
      <c r="BI117" s="59">
        <f ca="1">AVERAGE(OFFSET($BH$3,0,0,'Données projet'!$E$11+1,1))-AVERAGE(OFFSET($H$3,0,0,'Données projet'!$E$11+1,1))</f>
        <v>304.91676868833792</v>
      </c>
      <c r="BJ117" s="59">
        <f t="shared" si="92"/>
        <v>365.95065044620048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75.388746887482753</v>
      </c>
      <c r="BQ117" s="21">
        <f>EXP(-LN(2)/25)*BQ116+(1-EXP(-LN(2)/25))/(LN(2)/25)*Calculateur!BL117*Calculateur!BN117*VLOOKUP('Données projet'!$B$11,Paramètres!$A$1:$I$89,3,0)*0.475*44/12</f>
        <v>11.643144828026053</v>
      </c>
      <c r="BR117" s="21">
        <f>EXP(-LN(2)/2)*BR116+(1-EXP(-LN(2)/2))/(LN(2)/2)*BL117*BO117*VLOOKUP('Données projet'!$B$11,Paramètres!$A$1:$I$89,3,0)*0.475*44/12</f>
        <v>3.5806058148912389E-7</v>
      </c>
      <c r="BS117" s="22">
        <f t="shared" si="63"/>
        <v>87.031892073569381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-3.4106051316484809E-13</v>
      </c>
      <c r="BZ117" s="13">
        <f>BY117*VLOOKUP('Données projet'!$B$12,Paramètres!$A$1:$I$89,3,0)*VLOOKUP('Données projet'!$B$12,Paramètres!$A$1:$I$89,5,0)</f>
        <v>-1.5961632016114892E-13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259.87681411271632</v>
      </c>
      <c r="CE117" s="59">
        <f t="shared" si="94"/>
        <v>191.8684235641158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180.18417990957198</v>
      </c>
      <c r="CL117" s="21">
        <f>EXP(-LN(2)/25)*CL116+(1-EXP(-LN(2)/25))/(LN(2)/25)*Calculateur!CG117*Calculateur!CI117*VLOOKUP('Données projet'!$B$12,Paramètres!$A$1:$I$89,3,0)*0.475*44/12</f>
        <v>37.157001641484165</v>
      </c>
      <c r="CM117" s="21">
        <f>EXP(-LN(2)/2)*CM116+(1-EXP(-LN(2)/2))/(LN(2)/2)*CG117*CJ117*VLOOKUP('Données projet'!$B$12,Paramètres!$A$1:$I$89,3,0)*0.475*44/12</f>
        <v>0.36700328514919101</v>
      </c>
      <c r="CN117" s="22">
        <f t="shared" si="66"/>
        <v>217.70818483620533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1.7053025658242404E-13</v>
      </c>
      <c r="CU117" s="17">
        <f>CT117*VLOOKUP('Données projet'!$B$13,Paramètres!$A$1:$I$89,3,0)*VLOOKUP('Données projet'!$B$13,Paramètres!$A$1:$I$89,5,0)</f>
        <v>7.9808160080574461E-14</v>
      </c>
      <c r="CV117" s="13">
        <f t="shared" si="95"/>
        <v>1.2308384591775343E-12</v>
      </c>
      <c r="CW117" s="20">
        <f t="shared" si="67"/>
        <v>2.282709528541206E-12</v>
      </c>
      <c r="CX117" s="59">
        <f t="shared" si="68"/>
        <v>293.33333333333559</v>
      </c>
      <c r="CY117" s="59">
        <f ca="1">AVERAGE(OFFSET($CX$3,0,0,'Données projet'!$E$13+1,1))-AVERAGE(OFFSET($H$3,0,0,'Données projet'!$E$13+1,1))</f>
        <v>137.59122085719031</v>
      </c>
      <c r="CZ117" s="59">
        <f t="shared" si="96"/>
        <v>130.1134470448718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96.031939645100692</v>
      </c>
      <c r="DG117" s="21">
        <f>EXP(-LN(2)/25)*DG116+(1-EXP(-LN(2)/25))/(LN(2)/25)*Calculateur!DB117*Calculateur!DD117*VLOOKUP('Données projet'!$B$13,Paramètres!$A$1:$I$89,3,0)*0.475*44/12</f>
        <v>19.456251899654273</v>
      </c>
      <c r="DH117" s="21">
        <f>EXP(-LN(2)/2)*DH116+(1-EXP(-LN(2)/2))/(LN(2)/2)*DB117*DE117*VLOOKUP('Données projet'!$B$13,Paramètres!$A$1:$I$89,3,0)*0.475*44/12</f>
        <v>0.18915784731742077</v>
      </c>
      <c r="DI117" s="22">
        <f t="shared" si="69"/>
        <v>115.67734939207239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6.8</v>
      </c>
      <c r="DO117" s="12">
        <f>IF('Données projet'!$A$166&gt;35,DO116+DN117-DW116,IF(A117&lt;'Données projet'!$A$166,$DL$205^A117,IF(A117='Données projet'!$A$166,'Données projet'!$B$166,DO116+DN117-DW116)))</f>
        <v>288.60000000000008</v>
      </c>
      <c r="DP117" s="17">
        <f>DO117*VLOOKUP('Données projet'!$B$14,Paramètres!$A$1:$I$89,3,0)*VLOOKUP('Données projet'!$B$14,Paramètres!$A$1:$I$89,5,0)</f>
        <v>292.64040000000011</v>
      </c>
      <c r="DQ117" s="13">
        <f t="shared" si="97"/>
        <v>69.631385425090059</v>
      </c>
      <c r="DR117" s="20">
        <f t="shared" si="70"/>
        <v>630.95669294869867</v>
      </c>
      <c r="DS117" s="59">
        <f t="shared" si="71"/>
        <v>924.29002628203193</v>
      </c>
      <c r="DT117" s="59">
        <f ca="1">AVERAGE(OFFSET($DS$3,0,0,'Données projet'!$E$14+1,1))-AVERAGE(OFFSET($H$3,0,0,'Données projet'!$E$14+1,1))</f>
        <v>313.90901812281373</v>
      </c>
      <c r="DU117" s="59">
        <f t="shared" si="98"/>
        <v>210.54265725995265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62.609280587074927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62.609280587074927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-5.6843418860808015E-14</v>
      </c>
      <c r="EK117" s="17">
        <f>EJ117*VLOOKUP('Données projet'!$B$15,Paramètres!$A$1:$I$89,3,0)*VLOOKUP('Données projet'!$B$15,Paramètres!$A$1:$I$89,5,0)</f>
        <v>-4.5224624045658861E-14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316.52407313312403</v>
      </c>
      <c r="EP117" s="59">
        <f t="shared" si="100"/>
        <v>340.55949748167382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74.030817841348281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74.030817841348281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-5.6843418860808015E-14</v>
      </c>
      <c r="FF117" s="17">
        <f>FE117*VLOOKUP('Données projet'!$B$16,Paramètres!$A$1:$I$89,3,0)*VLOOKUP('Données projet'!$B$16,Paramètres!$A$1:$I$89,5,0)</f>
        <v>-3.7243808037601412E-14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199.99826357281154</v>
      </c>
      <c r="FK117" s="59">
        <f t="shared" si="102"/>
        <v>214.67424457475136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32.014638029940997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32.014638029940997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284.60021367910457</v>
      </c>
      <c r="T118" s="59">
        <f t="shared" si="88"/>
        <v>301.41905904220812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74.795832760998891</v>
      </c>
      <c r="AA118" s="21">
        <f>EXP(-LN(2)/25)*AA117+(1-EXP(-LN(2)/25))/(LN(2)/25)*Calculateur!V118*Calculateur!X118*VLOOKUP('Données projet'!$B$9,Paramètres!$A$1:$I$89,3,0)*0.475*44/12</f>
        <v>11.660208712323174</v>
      </c>
      <c r="AB118" s="21">
        <f>EXP(-LN(2)/2)*AB117+(1-EXP(-LN(2)/2))/(LN(2)/2)*V118*Y118*VLOOKUP('Données projet'!$B$9,Paramètres!$A$1:$I$89,3,0)*0.475*44/12</f>
        <v>1.498199829586907E-6</v>
      </c>
      <c r="AC118" s="22">
        <f t="shared" si="57"/>
        <v>86.456042971521896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294.45857786714919</v>
      </c>
      <c r="AO118" s="59">
        <f t="shared" si="90"/>
        <v>221.9773436301067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103.19865751070722</v>
      </c>
      <c r="AV118" s="21">
        <f>EXP(-LN(2)/25)*AV117+(1-EXP(-LN(2)/25))/(LN(2)/25)*Calculateur!AQ118*Calculateur!AS118*VLOOKUP('Données projet'!$B$10,Paramètres!$A$1:$I$89,3,0)*0.475*44/12</f>
        <v>18.197302793934966</v>
      </c>
      <c r="AW118" s="21">
        <f>EXP(-LN(2)/2)*AW117+(1-EXP(-LN(2)/2))/(LN(2)/2)*AQ118*AT118*VLOOKUP('Données projet'!$B$10,Paramètres!$A$1:$I$89,3,0)*0.475*44/12</f>
        <v>5.4925665925235337E-4</v>
      </c>
      <c r="AX118" s="21">
        <f t="shared" si="60"/>
        <v>121.39650956130144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6.3550942286383367E-14</v>
      </c>
      <c r="BF118" s="13">
        <f t="shared" si="91"/>
        <v>1.0064464192543978E-12</v>
      </c>
      <c r="BG118" s="20">
        <f t="shared" si="61"/>
        <v>1.8635787380168604E-12</v>
      </c>
      <c r="BH118" s="59">
        <f t="shared" si="62"/>
        <v>293.33333333333519</v>
      </c>
      <c r="BI118" s="59">
        <f ca="1">AVERAGE(OFFSET($BH$3,0,0,'Données projet'!$E$11+1,1))-AVERAGE(OFFSET($H$3,0,0,'Données projet'!$E$11+1,1))</f>
        <v>304.91676868833792</v>
      </c>
      <c r="BJ118" s="59">
        <f t="shared" si="92"/>
        <v>365.95065044620048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73.91041954361441</v>
      </c>
      <c r="BQ118" s="21">
        <f>EXP(-LN(2)/25)*BQ117+(1-EXP(-LN(2)/25))/(LN(2)/25)*Calculateur!BL118*Calculateur!BN118*VLOOKUP('Données projet'!$B$11,Paramètres!$A$1:$I$89,3,0)*0.475*44/12</f>
        <v>11.324762420417304</v>
      </c>
      <c r="BR118" s="21">
        <f>EXP(-LN(2)/2)*BR117+(1-EXP(-LN(2)/2))/(LN(2)/2)*BL118*BO118*VLOOKUP('Données projet'!$B$11,Paramètres!$A$1:$I$89,3,0)*0.475*44/12</f>
        <v>2.531870652465579E-7</v>
      </c>
      <c r="BS118" s="22">
        <f t="shared" si="63"/>
        <v>85.235182217218778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-3.4106051316484809E-13</v>
      </c>
      <c r="BZ118" s="13">
        <f>BY118*VLOOKUP('Données projet'!$B$12,Paramètres!$A$1:$I$89,3,0)*VLOOKUP('Données projet'!$B$12,Paramètres!$A$1:$I$89,5,0)</f>
        <v>-1.5961632016114892E-13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259.87681411271632</v>
      </c>
      <c r="CE118" s="59">
        <f t="shared" si="94"/>
        <v>191.8684235641158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176.65087804304315</v>
      </c>
      <c r="CL118" s="21">
        <f>EXP(-LN(2)/25)*CL117+(1-EXP(-LN(2)/25))/(LN(2)/25)*Calculateur!CG118*Calculateur!CI118*VLOOKUP('Données projet'!$B$12,Paramètres!$A$1:$I$89,3,0)*0.475*44/12</f>
        <v>36.140941477595987</v>
      </c>
      <c r="CM118" s="21">
        <f>EXP(-LN(2)/2)*CM117+(1-EXP(-LN(2)/2))/(LN(2)/2)*CG118*CJ118*VLOOKUP('Données projet'!$B$12,Paramètres!$A$1:$I$89,3,0)*0.475*44/12</f>
        <v>0.25951051164673311</v>
      </c>
      <c r="CN118" s="22">
        <f t="shared" si="66"/>
        <v>213.05133003228588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1.7053025658242404E-13</v>
      </c>
      <c r="CU118" s="17">
        <f>CT118*VLOOKUP('Données projet'!$B$13,Paramètres!$A$1:$I$89,3,0)*VLOOKUP('Données projet'!$B$13,Paramètres!$A$1:$I$89,5,0)</f>
        <v>7.9808160080574461E-14</v>
      </c>
      <c r="CV118" s="13">
        <f t="shared" si="95"/>
        <v>1.2308384591775343E-12</v>
      </c>
      <c r="CW118" s="20">
        <f t="shared" si="67"/>
        <v>2.282709528541206E-12</v>
      </c>
      <c r="CX118" s="59">
        <f t="shared" si="68"/>
        <v>293.33333333333559</v>
      </c>
      <c r="CY118" s="59">
        <f ca="1">AVERAGE(OFFSET($CX$3,0,0,'Données projet'!$E$13+1,1))-AVERAGE(OFFSET($H$3,0,0,'Données projet'!$E$13+1,1))</f>
        <v>137.59122085719031</v>
      </c>
      <c r="CZ118" s="59">
        <f t="shared" si="96"/>
        <v>130.1134470448718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94.14881188235978</v>
      </c>
      <c r="DG118" s="21">
        <f>EXP(-LN(2)/25)*DG117+(1-EXP(-LN(2)/25))/(LN(2)/25)*Calculateur!DB118*Calculateur!DD118*VLOOKUP('Données projet'!$B$13,Paramètres!$A$1:$I$89,3,0)*0.475*44/12</f>
        <v>18.924219668298406</v>
      </c>
      <c r="DH118" s="21">
        <f>EXP(-LN(2)/2)*DH117+(1-EXP(-LN(2)/2))/(LN(2)/2)*DB118*DE118*VLOOKUP('Données projet'!$B$13,Paramètres!$A$1:$I$89,3,0)*0.475*44/12</f>
        <v>0.13375479655279782</v>
      </c>
      <c r="DI118" s="22">
        <f t="shared" si="69"/>
        <v>113.20678634721098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6.8</v>
      </c>
      <c r="DO118" s="12">
        <f>IF('Données projet'!$A$166&gt;35,DO117+DN118-DW117,IF(A118&lt;'Données projet'!$A$166,$DL$205^A118,IF(A118='Données projet'!$A$166,'Données projet'!$B$166,DO117+DN118-DW117)))</f>
        <v>295.40000000000009</v>
      </c>
      <c r="DP118" s="17">
        <f>DO118*VLOOKUP('Données projet'!$B$14,Paramètres!$A$1:$I$89,3,0)*VLOOKUP('Données projet'!$B$14,Paramètres!$A$1:$I$89,5,0)</f>
        <v>299.5356000000001</v>
      </c>
      <c r="DQ118" s="13">
        <f t="shared" si="97"/>
        <v>71.079098621671122</v>
      </c>
      <c r="DR118" s="20">
        <f t="shared" si="70"/>
        <v>645.48726676607725</v>
      </c>
      <c r="DS118" s="59">
        <f t="shared" si="71"/>
        <v>938.82060009941051</v>
      </c>
      <c r="DT118" s="59">
        <f ca="1">AVERAGE(OFFSET($DS$3,0,0,'Données projet'!$E$14+1,1))-AVERAGE(OFFSET($H$3,0,0,'Données projet'!$E$14+1,1))</f>
        <v>313.90901812281373</v>
      </c>
      <c r="DU118" s="59">
        <f t="shared" si="98"/>
        <v>210.54265725995265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61.381550782652802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61.381550782652802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-5.6843418860808015E-14</v>
      </c>
      <c r="EK118" s="17">
        <f>EJ118*VLOOKUP('Données projet'!$B$15,Paramètres!$A$1:$I$89,3,0)*VLOOKUP('Données projet'!$B$15,Paramètres!$A$1:$I$89,5,0)</f>
        <v>-4.5224624045658861E-14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316.52407313312403</v>
      </c>
      <c r="EP118" s="59">
        <f t="shared" si="100"/>
        <v>340.55949748167382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72.579118657819706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72.579118657819706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-5.6843418860808015E-14</v>
      </c>
      <c r="FF118" s="17">
        <f>FE118*VLOOKUP('Données projet'!$B$16,Paramètres!$A$1:$I$89,3,0)*VLOOKUP('Données projet'!$B$16,Paramètres!$A$1:$I$89,5,0)</f>
        <v>-3.7243808037601412E-14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199.99826357281154</v>
      </c>
      <c r="FK118" s="59">
        <f t="shared" si="102"/>
        <v>214.67424457475136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31.38685050517492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31.38685050517492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284.60021367910457</v>
      </c>
      <c r="T119" s="59">
        <f t="shared" si="88"/>
        <v>301.41905904220812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73.329132101508989</v>
      </c>
      <c r="AA119" s="21">
        <f>EXP(-LN(2)/25)*AA118+(1-EXP(-LN(2)/25))/(LN(2)/25)*Calculateur!V119*Calculateur!X119*VLOOKUP('Données projet'!$B$9,Paramètres!$A$1:$I$89,3,0)*0.475*44/12</f>
        <v>11.341359691900971</v>
      </c>
      <c r="AB119" s="21">
        <f>EXP(-LN(2)/2)*AB118+(1-EXP(-LN(2)/2))/(LN(2)/2)*V119*Y119*VLOOKUP('Données projet'!$B$9,Paramètres!$A$1:$I$89,3,0)*0.475*44/12</f>
        <v>1.0593872590734318E-6</v>
      </c>
      <c r="AC119" s="22">
        <f t="shared" si="57"/>
        <v>84.670492852797224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294.45857786714919</v>
      </c>
      <c r="AO119" s="59">
        <f t="shared" si="90"/>
        <v>221.9773436301067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101.17499478188803</v>
      </c>
      <c r="AV119" s="21">
        <f>EXP(-LN(2)/25)*AV118+(1-EXP(-LN(2)/25))/(LN(2)/25)*Calculateur!AQ119*Calculateur!AS119*VLOOKUP('Données projet'!$B$10,Paramètres!$A$1:$I$89,3,0)*0.475*44/12</f>
        <v>17.699696592080251</v>
      </c>
      <c r="AW119" s="21">
        <f>EXP(-LN(2)/2)*AW118+(1-EXP(-LN(2)/2))/(LN(2)/2)*AQ119*AT119*VLOOKUP('Données projet'!$B$10,Paramètres!$A$1:$I$89,3,0)*0.475*44/12</f>
        <v>3.8838310836920793E-4</v>
      </c>
      <c r="AX119" s="21">
        <f t="shared" si="60"/>
        <v>118.87507975707666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6.3550942286383367E-14</v>
      </c>
      <c r="BF119" s="13">
        <f t="shared" si="91"/>
        <v>1.0064464192543978E-12</v>
      </c>
      <c r="BG119" s="20">
        <f t="shared" si="61"/>
        <v>1.8635787380168604E-12</v>
      </c>
      <c r="BH119" s="59">
        <f t="shared" si="62"/>
        <v>293.33333333333519</v>
      </c>
      <c r="BI119" s="59">
        <f ca="1">AVERAGE(OFFSET($BH$3,0,0,'Données projet'!$E$11+1,1))-AVERAGE(OFFSET($H$3,0,0,'Données projet'!$E$11+1,1))</f>
        <v>304.91676868833792</v>
      </c>
      <c r="BJ119" s="59">
        <f t="shared" si="92"/>
        <v>365.95065044620048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72.461081297268677</v>
      </c>
      <c r="BQ119" s="21">
        <f>EXP(-LN(2)/25)*BQ118+(1-EXP(-LN(2)/25))/(LN(2)/25)*Calculateur!BL119*Calculateur!BN119*VLOOKUP('Données projet'!$B$11,Paramètres!$A$1:$I$89,3,0)*0.475*44/12</f>
        <v>11.015086196487621</v>
      </c>
      <c r="BR119" s="21">
        <f>EXP(-LN(2)/2)*BR118+(1-EXP(-LN(2)/2))/(LN(2)/2)*BL119*BO119*VLOOKUP('Données projet'!$B$11,Paramètres!$A$1:$I$89,3,0)*0.475*44/12</f>
        <v>1.7903029074456195E-7</v>
      </c>
      <c r="BS119" s="22">
        <f t="shared" si="63"/>
        <v>83.476167672786588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-3.4106051316484809E-13</v>
      </c>
      <c r="BZ119" s="13">
        <f>BY119*VLOOKUP('Données projet'!$B$12,Paramètres!$A$1:$I$89,3,0)*VLOOKUP('Données projet'!$B$12,Paramètres!$A$1:$I$89,5,0)</f>
        <v>-1.5961632016114892E-13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259.87681411271632</v>
      </c>
      <c r="CE119" s="59">
        <f t="shared" si="94"/>
        <v>191.8684235641158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173.18686207101561</v>
      </c>
      <c r="CL119" s="21">
        <f>EXP(-LN(2)/25)*CL118+(1-EXP(-LN(2)/25))/(LN(2)/25)*Calculateur!CG119*Calculateur!CI119*VLOOKUP('Données projet'!$B$12,Paramètres!$A$1:$I$89,3,0)*0.475*44/12</f>
        <v>35.152665532321613</v>
      </c>
      <c r="CM119" s="21">
        <f>EXP(-LN(2)/2)*CM118+(1-EXP(-LN(2)/2))/(LN(2)/2)*CG119*CJ119*VLOOKUP('Données projet'!$B$12,Paramètres!$A$1:$I$89,3,0)*0.475*44/12</f>
        <v>0.1835016425745955</v>
      </c>
      <c r="CN119" s="22">
        <f t="shared" si="66"/>
        <v>208.5230292459118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1.7053025658242404E-13</v>
      </c>
      <c r="CU119" s="17">
        <f>CT119*VLOOKUP('Données projet'!$B$13,Paramètres!$A$1:$I$89,3,0)*VLOOKUP('Données projet'!$B$13,Paramètres!$A$1:$I$89,5,0)</f>
        <v>7.9808160080574461E-14</v>
      </c>
      <c r="CV119" s="13">
        <f t="shared" si="95"/>
        <v>1.2308384591775343E-12</v>
      </c>
      <c r="CW119" s="20">
        <f t="shared" si="67"/>
        <v>2.282709528541206E-12</v>
      </c>
      <c r="CX119" s="59">
        <f t="shared" si="68"/>
        <v>293.33333333333559</v>
      </c>
      <c r="CY119" s="59">
        <f ca="1">AVERAGE(OFFSET($CX$3,0,0,'Données projet'!$E$13+1,1))-AVERAGE(OFFSET($H$3,0,0,'Données projet'!$E$13+1,1))</f>
        <v>137.59122085719031</v>
      </c>
      <c r="CZ119" s="59">
        <f t="shared" si="96"/>
        <v>130.1134470448718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92.302611106451693</v>
      </c>
      <c r="DG119" s="21">
        <f>EXP(-LN(2)/25)*DG118+(1-EXP(-LN(2)/25))/(LN(2)/25)*Calculateur!DB119*Calculateur!DD119*VLOOKUP('Données projet'!$B$13,Paramètres!$A$1:$I$89,3,0)*0.475*44/12</f>
        <v>18.406735886287326</v>
      </c>
      <c r="DH119" s="21">
        <f>EXP(-LN(2)/2)*DH118+(1-EXP(-LN(2)/2))/(LN(2)/2)*DB119*DE119*VLOOKUP('Données projet'!$B$13,Paramètres!$A$1:$I$89,3,0)*0.475*44/12</f>
        <v>9.4578923658710387E-2</v>
      </c>
      <c r="DI119" s="22">
        <f t="shared" si="69"/>
        <v>110.80392591639773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6.8</v>
      </c>
      <c r="DO119" s="12">
        <f>IF('Données projet'!$A$166&gt;35,DO118+DN119-DW118,IF(A119&lt;'Données projet'!$A$166,$DL$205^A119,IF(A119='Données projet'!$A$166,'Données projet'!$B$166,DO118+DN119-DW118)))</f>
        <v>302.2000000000001</v>
      </c>
      <c r="DP119" s="17">
        <f>DO119*VLOOKUP('Données projet'!$B$14,Paramètres!$A$1:$I$89,3,0)*VLOOKUP('Données projet'!$B$14,Paramètres!$A$1:$I$89,5,0)</f>
        <v>306.43080000000009</v>
      </c>
      <c r="DQ119" s="13">
        <f t="shared" si="97"/>
        <v>72.522937522565428</v>
      </c>
      <c r="DR119" s="20">
        <f t="shared" si="70"/>
        <v>660.01109285180166</v>
      </c>
      <c r="DS119" s="59">
        <f t="shared" si="71"/>
        <v>953.34442618513503</v>
      </c>
      <c r="DT119" s="59">
        <f ca="1">AVERAGE(OFFSET($DS$3,0,0,'Données projet'!$E$14+1,1))-AVERAGE(OFFSET($H$3,0,0,'Données projet'!$E$14+1,1))</f>
        <v>313.90901812281373</v>
      </c>
      <c r="DU119" s="59">
        <f t="shared" si="98"/>
        <v>210.54265725995265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60.177896010854155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60.177896010854155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-5.6843418860808015E-14</v>
      </c>
      <c r="EK119" s="17">
        <f>EJ119*VLOOKUP('Données projet'!$B$15,Paramètres!$A$1:$I$89,3,0)*VLOOKUP('Données projet'!$B$15,Paramètres!$A$1:$I$89,5,0)</f>
        <v>-4.5224624045658861E-14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316.52407313312403</v>
      </c>
      <c r="EP119" s="59">
        <f t="shared" si="100"/>
        <v>340.55949748167382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71.155886409831055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71.155886409831055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-5.6843418860808015E-14</v>
      </c>
      <c r="FF119" s="17">
        <f>FE119*VLOOKUP('Données projet'!$B$16,Paramètres!$A$1:$I$89,3,0)*VLOOKUP('Données projet'!$B$16,Paramètres!$A$1:$I$89,5,0)</f>
        <v>-3.7243808037601412E-14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199.99826357281154</v>
      </c>
      <c r="FK119" s="59">
        <f t="shared" si="102"/>
        <v>214.67424457475136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30.771373510856925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30.771373510856925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284.60021367910457</v>
      </c>
      <c r="T120" s="59">
        <f t="shared" si="88"/>
        <v>301.41905904220812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71.891192547352617</v>
      </c>
      <c r="AA120" s="21">
        <f>EXP(-LN(2)/25)*AA119+(1-EXP(-LN(2)/25))/(LN(2)/25)*Calculateur!V120*Calculateur!X120*VLOOKUP('Données projet'!$B$9,Paramètres!$A$1:$I$89,3,0)*0.475*44/12</f>
        <v>11.031229614709753</v>
      </c>
      <c r="AB120" s="21">
        <f>EXP(-LN(2)/2)*AB119+(1-EXP(-LN(2)/2))/(LN(2)/2)*V120*Y120*VLOOKUP('Données projet'!$B$9,Paramètres!$A$1:$I$89,3,0)*0.475*44/12</f>
        <v>7.4909991479345352E-7</v>
      </c>
      <c r="AC120" s="22">
        <f t="shared" si="57"/>
        <v>82.922422911162286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294.45857786714919</v>
      </c>
      <c r="AO120" s="59">
        <f t="shared" si="90"/>
        <v>221.9773436301067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99.191014844868604</v>
      </c>
      <c r="AV120" s="21">
        <f>EXP(-LN(2)/25)*AV119+(1-EXP(-LN(2)/25))/(LN(2)/25)*Calculateur!AQ120*Calculateur!AS120*VLOOKUP('Données projet'!$B$10,Paramètres!$A$1:$I$89,3,0)*0.475*44/12</f>
        <v>17.215697457983225</v>
      </c>
      <c r="AW120" s="21">
        <f>EXP(-LN(2)/2)*AW119+(1-EXP(-LN(2)/2))/(LN(2)/2)*AQ120*AT120*VLOOKUP('Données projet'!$B$10,Paramètres!$A$1:$I$89,3,0)*0.475*44/12</f>
        <v>2.7462832962617668E-4</v>
      </c>
      <c r="AX120" s="21">
        <f t="shared" si="60"/>
        <v>116.40698693118145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6.3550942286383367E-14</v>
      </c>
      <c r="BF120" s="13">
        <f t="shared" si="91"/>
        <v>1.0064464192543978E-12</v>
      </c>
      <c r="BG120" s="20">
        <f t="shared" si="61"/>
        <v>1.8635787380168604E-12</v>
      </c>
      <c r="BH120" s="59">
        <f t="shared" si="62"/>
        <v>293.33333333333519</v>
      </c>
      <c r="BI120" s="59">
        <f ca="1">AVERAGE(OFFSET($BH$3,0,0,'Données projet'!$E$11+1,1))-AVERAGE(OFFSET($H$3,0,0,'Données projet'!$E$11+1,1))</f>
        <v>304.91676868833792</v>
      </c>
      <c r="BJ120" s="59">
        <f t="shared" si="92"/>
        <v>365.95065044620048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71.040163689924753</v>
      </c>
      <c r="BQ120" s="21">
        <f>EXP(-LN(2)/25)*BQ119+(1-EXP(-LN(2)/25))/(LN(2)/25)*Calculateur!BL120*Calculateur!BN120*VLOOKUP('Données projet'!$B$11,Paramètres!$A$1:$I$89,3,0)*0.475*44/12</f>
        <v>10.71387808518646</v>
      </c>
      <c r="BR120" s="21">
        <f>EXP(-LN(2)/2)*BR119+(1-EXP(-LN(2)/2))/(LN(2)/2)*BL120*BO120*VLOOKUP('Données projet'!$B$11,Paramètres!$A$1:$I$89,3,0)*0.475*44/12</f>
        <v>1.2659353262327895E-7</v>
      </c>
      <c r="BS120" s="22">
        <f t="shared" si="63"/>
        <v>81.754041901704753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-3.4106051316484809E-13</v>
      </c>
      <c r="BZ120" s="13">
        <f>BY120*VLOOKUP('Données projet'!$B$12,Paramètres!$A$1:$I$89,3,0)*VLOOKUP('Données projet'!$B$12,Paramètres!$A$1:$I$89,5,0)</f>
        <v>-1.5961632016114892E-13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259.87681411271632</v>
      </c>
      <c r="CE120" s="59">
        <f t="shared" si="94"/>
        <v>191.8684235641158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169.79077333935842</v>
      </c>
      <c r="CL120" s="21">
        <f>EXP(-LN(2)/25)*CL119+(1-EXP(-LN(2)/25))/(LN(2)/25)*Calculateur!CG120*Calculateur!CI120*VLOOKUP('Données projet'!$B$12,Paramètres!$A$1:$I$89,3,0)*0.475*44/12</f>
        <v>34.19141404474194</v>
      </c>
      <c r="CM120" s="21">
        <f>EXP(-LN(2)/2)*CM119+(1-EXP(-LN(2)/2))/(LN(2)/2)*CG120*CJ120*VLOOKUP('Données projet'!$B$12,Paramètres!$A$1:$I$89,3,0)*0.475*44/12</f>
        <v>0.12975525582336656</v>
      </c>
      <c r="CN120" s="22">
        <f t="shared" si="66"/>
        <v>204.11194263992374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1.7053025658242404E-13</v>
      </c>
      <c r="CU120" s="17">
        <f>CT120*VLOOKUP('Données projet'!$B$13,Paramètres!$A$1:$I$89,3,0)*VLOOKUP('Données projet'!$B$13,Paramètres!$A$1:$I$89,5,0)</f>
        <v>7.9808160080574461E-14</v>
      </c>
      <c r="CV120" s="13">
        <f t="shared" si="95"/>
        <v>1.2308384591775343E-12</v>
      </c>
      <c r="CW120" s="20">
        <f t="shared" si="67"/>
        <v>2.282709528541206E-12</v>
      </c>
      <c r="CX120" s="59">
        <f t="shared" si="68"/>
        <v>293.33333333333559</v>
      </c>
      <c r="CY120" s="59">
        <f ca="1">AVERAGE(OFFSET($CX$3,0,0,'Données projet'!$E$13+1,1))-AVERAGE(OFFSET($H$3,0,0,'Données projet'!$E$13+1,1))</f>
        <v>137.59122085719031</v>
      </c>
      <c r="CZ120" s="59">
        <f t="shared" si="96"/>
        <v>130.1134470448718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90.492613201687888</v>
      </c>
      <c r="DG120" s="21">
        <f>EXP(-LN(2)/25)*DG119+(1-EXP(-LN(2)/25))/(LN(2)/25)*Calculateur!DB120*Calculateur!DD120*VLOOKUP('Données projet'!$B$13,Paramètres!$A$1:$I$89,3,0)*0.475*44/12</f>
        <v>17.903402725508627</v>
      </c>
      <c r="DH120" s="21">
        <f>EXP(-LN(2)/2)*DH119+(1-EXP(-LN(2)/2))/(LN(2)/2)*DB120*DE120*VLOOKUP('Données projet'!$B$13,Paramètres!$A$1:$I$89,3,0)*0.475*44/12</f>
        <v>6.6877398276398908E-2</v>
      </c>
      <c r="DI120" s="22">
        <f t="shared" si="69"/>
        <v>108.46289332547292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>
        <f>VLOOKUP(A120,'Données projet'!$A$165:$I$185,2,0)</f>
        <v>309</v>
      </c>
      <c r="DM120" s="12">
        <f>VLOOKUP(A120,'Données projet'!$A$165:$I$185,9,0)</f>
        <v>6.8</v>
      </c>
      <c r="DN120" s="12">
        <f t="array" ref="DN120">INDEX(DM:DM,MIN(IF(ISNUMBER(DM120:DM316),ROW(DM120:DM316),"")))</f>
        <v>6.8</v>
      </c>
      <c r="DO120" s="12">
        <f>IF('Données projet'!$A$166&gt;35,DO119+DN120-DW119,IF(A120&lt;'Données projet'!$A$166,$DL$205^A120,IF(A120='Données projet'!$A$166,'Données projet'!$B$166,DO119+DN120-DW119)))</f>
        <v>309.00000000000011</v>
      </c>
      <c r="DP120" s="17">
        <f>DO120*VLOOKUP('Données projet'!$B$14,Paramètres!$A$1:$I$89,3,0)*VLOOKUP('Données projet'!$B$14,Paramètres!$A$1:$I$89,5,0)</f>
        <v>313.32600000000014</v>
      </c>
      <c r="DQ120" s="13">
        <f t="shared" si="97"/>
        <v>73.962999342593321</v>
      </c>
      <c r="DR120" s="20">
        <f t="shared" si="70"/>
        <v>674.52834052168362</v>
      </c>
      <c r="DS120" s="59">
        <f t="shared" si="71"/>
        <v>967.86167385501699</v>
      </c>
      <c r="DT120" s="59">
        <f ca="1">AVERAGE(OFFSET($DS$3,0,0,'Données projet'!$E$14+1,1))-AVERAGE(OFFSET($H$3,0,0,'Données projet'!$E$14+1,1))</f>
        <v>313.90901812281373</v>
      </c>
      <c r="DU120" s="59">
        <f t="shared" si="98"/>
        <v>210.54265725995265</v>
      </c>
      <c r="DV120" s="15">
        <f>IF(ISNA(VLOOKUP(A120,'Données projet'!$A$165:$I$185,3,0)),0,VLOOKUP(A120,'Données projet'!$A$165:$I$185,3,0))</f>
        <v>11</v>
      </c>
      <c r="DW120" s="15">
        <f>IF(ISNA(VLOOKUP(A120,'Données projet'!$A$165:$I$185,4,0)),0,VLOOKUP(A120,'Données projet'!$A$165:$I$185,4,0))</f>
        <v>45</v>
      </c>
      <c r="DX120" s="16">
        <f>IF(ISNA(VLOOKUP(A120,'Données projet'!$A$165:$I$185,5,0)),0%,VLOOKUP(A120,'Données projet'!$A$165:$I$185,5,0)*VLOOKUP('Données projet'!$B$14,Paramètres!$A$1:$I$89,7,0))</f>
        <v>0.38700000000000001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78.519135567773816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78.519135567773816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-5.6843418860808015E-14</v>
      </c>
      <c r="EK120" s="17">
        <f>EJ120*VLOOKUP('Données projet'!$B$15,Paramètres!$A$1:$I$89,3,0)*VLOOKUP('Données projet'!$B$15,Paramètres!$A$1:$I$89,5,0)</f>
        <v>-4.5224624045658861E-14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316.52407313312403</v>
      </c>
      <c r="EP120" s="59">
        <f t="shared" si="100"/>
        <v>340.55949748167382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69.76056287813951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69.76056287813951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-5.6843418860808015E-14</v>
      </c>
      <c r="FF120" s="17">
        <f>FE120*VLOOKUP('Données projet'!$B$16,Paramètres!$A$1:$I$89,3,0)*VLOOKUP('Données projet'!$B$16,Paramètres!$A$1:$I$89,5,0)</f>
        <v>-3.7243808037601412E-14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199.99826357281154</v>
      </c>
      <c r="FK120" s="59">
        <f t="shared" si="102"/>
        <v>214.67424457475136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30.167965644993608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30.167965644993608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284.60021367910457</v>
      </c>
      <c r="T121" s="59">
        <f t="shared" si="88"/>
        <v>301.41905904220812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70.481450110796729</v>
      </c>
      <c r="AA121" s="21">
        <f>EXP(-LN(2)/25)*AA120+(1-EXP(-LN(2)/25))/(LN(2)/25)*Calculateur!V121*Calculateur!X121*VLOOKUP('Données projet'!$B$9,Paramètres!$A$1:$I$89,3,0)*0.475*44/12</f>
        <v>10.729580060788361</v>
      </c>
      <c r="AB121" s="21">
        <f>EXP(-LN(2)/2)*AB120+(1-EXP(-LN(2)/2))/(LN(2)/2)*V121*Y121*VLOOKUP('Données projet'!$B$9,Paramètres!$A$1:$I$89,3,0)*0.475*44/12</f>
        <v>5.2969362953671592E-7</v>
      </c>
      <c r="AC121" s="22">
        <f t="shared" si="57"/>
        <v>81.21103070127873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294.45857786714919</v>
      </c>
      <c r="AO121" s="59">
        <f t="shared" si="90"/>
        <v>221.9773436301067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97.245939544305855</v>
      </c>
      <c r="AV121" s="21">
        <f>EXP(-LN(2)/25)*AV120+(1-EXP(-LN(2)/25))/(LN(2)/25)*Calculateur!AQ121*Calculateur!AS121*VLOOKUP('Données projet'!$B$10,Paramètres!$A$1:$I$89,3,0)*0.475*44/12</f>
        <v>16.744933305660492</v>
      </c>
      <c r="AW121" s="21">
        <f>EXP(-LN(2)/2)*AW120+(1-EXP(-LN(2)/2))/(LN(2)/2)*AQ121*AT121*VLOOKUP('Données projet'!$B$10,Paramètres!$A$1:$I$89,3,0)*0.475*44/12</f>
        <v>1.9419155418460397E-4</v>
      </c>
      <c r="AX121" s="21">
        <f t="shared" si="60"/>
        <v>113.99106704152054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6.3550942286383367E-14</v>
      </c>
      <c r="BF121" s="13">
        <f t="shared" si="91"/>
        <v>1.0064464192543978E-12</v>
      </c>
      <c r="BG121" s="20">
        <f t="shared" si="61"/>
        <v>1.8635787380168604E-12</v>
      </c>
      <c r="BH121" s="59">
        <f t="shared" si="62"/>
        <v>293.33333333333519</v>
      </c>
      <c r="BI121" s="59">
        <f ca="1">AVERAGE(OFFSET($BH$3,0,0,'Données projet'!$E$11+1,1))-AVERAGE(OFFSET($H$3,0,0,'Données projet'!$E$11+1,1))</f>
        <v>304.91676868833792</v>
      </c>
      <c r="BJ121" s="59">
        <f t="shared" si="92"/>
        <v>365.95065044620048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69.647109410186673</v>
      </c>
      <c r="BQ121" s="21">
        <f>EXP(-LN(2)/25)*BQ120+(1-EXP(-LN(2)/25))/(LN(2)/25)*Calculateur!BL121*Calculateur!BN121*VLOOKUP('Données projet'!$B$11,Paramètres!$A$1:$I$89,3,0)*0.475*44/12</f>
        <v>10.420906525528675</v>
      </c>
      <c r="BR121" s="21">
        <f>EXP(-LN(2)/2)*BR120+(1-EXP(-LN(2)/2))/(LN(2)/2)*BL121*BO121*VLOOKUP('Données projet'!$B$11,Paramètres!$A$1:$I$89,3,0)*0.475*44/12</f>
        <v>8.9515145372280974E-8</v>
      </c>
      <c r="BS121" s="22">
        <f t="shared" si="63"/>
        <v>80.068016025230492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-3.4106051316484809E-13</v>
      </c>
      <c r="BZ121" s="13">
        <f>BY121*VLOOKUP('Données projet'!$B$12,Paramètres!$A$1:$I$89,3,0)*VLOOKUP('Données projet'!$B$12,Paramètres!$A$1:$I$89,5,0)</f>
        <v>-1.5961632016114892E-13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259.87681411271632</v>
      </c>
      <c r="CE121" s="59">
        <f t="shared" si="94"/>
        <v>191.8684235641158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166.46127983631942</v>
      </c>
      <c r="CL121" s="21">
        <f>EXP(-LN(2)/25)*CL120+(1-EXP(-LN(2)/25))/(LN(2)/25)*Calculateur!CG121*Calculateur!CI121*VLOOKUP('Données projet'!$B$12,Paramètres!$A$1:$I$89,3,0)*0.475*44/12</f>
        <v>33.256448029640154</v>
      </c>
      <c r="CM121" s="21">
        <f>EXP(-LN(2)/2)*CM120+(1-EXP(-LN(2)/2))/(LN(2)/2)*CG121*CJ121*VLOOKUP('Données projet'!$B$12,Paramètres!$A$1:$I$89,3,0)*0.475*44/12</f>
        <v>9.1750821287297751E-2</v>
      </c>
      <c r="CN121" s="22">
        <f t="shared" si="66"/>
        <v>199.80947868724687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1.7053025658242404E-13</v>
      </c>
      <c r="CU121" s="17">
        <f>CT121*VLOOKUP('Données projet'!$B$13,Paramètres!$A$1:$I$89,3,0)*VLOOKUP('Données projet'!$B$13,Paramètres!$A$1:$I$89,5,0)</f>
        <v>7.9808160080574461E-14</v>
      </c>
      <c r="CV121" s="13">
        <f t="shared" si="95"/>
        <v>1.2308384591775343E-12</v>
      </c>
      <c r="CW121" s="20">
        <f t="shared" si="67"/>
        <v>2.282709528541206E-12</v>
      </c>
      <c r="CX121" s="59">
        <f t="shared" si="68"/>
        <v>293.33333333333559</v>
      </c>
      <c r="CY121" s="59">
        <f ca="1">AVERAGE(OFFSET($CX$3,0,0,'Données projet'!$E$13+1,1))-AVERAGE(OFFSET($H$3,0,0,'Données projet'!$E$13+1,1))</f>
        <v>137.59122085719031</v>
      </c>
      <c r="CZ121" s="59">
        <f t="shared" si="96"/>
        <v>130.1134470448718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88.718108251846786</v>
      </c>
      <c r="DG121" s="21">
        <f>EXP(-LN(2)/25)*DG120+(1-EXP(-LN(2)/25))/(LN(2)/25)*Calculateur!DB121*Calculateur!DD121*VLOOKUP('Données projet'!$B$13,Paramètres!$A$1:$I$89,3,0)*0.475*44/12</f>
        <v>17.413833236480563</v>
      </c>
      <c r="DH121" s="21">
        <f>EXP(-LN(2)/2)*DH120+(1-EXP(-LN(2)/2))/(LN(2)/2)*DB121*DE121*VLOOKUP('Données projet'!$B$13,Paramètres!$A$1:$I$89,3,0)*0.475*44/12</f>
        <v>4.7289461829355194E-2</v>
      </c>
      <c r="DI121" s="22">
        <f t="shared" si="69"/>
        <v>106.17923095015671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6.083333333333333</v>
      </c>
      <c r="DO121" s="12">
        <f>IF('Données projet'!$A$166&gt;35,DO120+DN121-DW120,IF(A121&lt;'Données projet'!$A$166,$DL$205^A121,IF(A121='Données projet'!$A$166,'Données projet'!$B$166,DO120+DN121-DW120)))</f>
        <v>270.08333333333343</v>
      </c>
      <c r="DP121" s="17">
        <f>DO121*VLOOKUP('Données projet'!$B$14,Paramètres!$A$1:$I$89,3,0)*VLOOKUP('Données projet'!$B$14,Paramètres!$A$1:$I$89,5,0)</f>
        <v>273.86450000000013</v>
      </c>
      <c r="DQ121" s="13">
        <f t="shared" si="97"/>
        <v>65.66873414070767</v>
      </c>
      <c r="DR121" s="20">
        <f t="shared" si="70"/>
        <v>591.35371612839936</v>
      </c>
      <c r="DS121" s="59">
        <f t="shared" si="71"/>
        <v>884.68704946173261</v>
      </c>
      <c r="DT121" s="59">
        <f ca="1">AVERAGE(OFFSET($DS$3,0,0,'Données projet'!$E$14+1,1))-AVERAGE(OFFSET($H$3,0,0,'Données projet'!$E$14+1,1))</f>
        <v>313.90901812281373</v>
      </c>
      <c r="DU121" s="59">
        <f t="shared" si="98"/>
        <v>210.54265725995265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76.979423211233538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76.979423211233538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-5.6843418860808015E-14</v>
      </c>
      <c r="EK121" s="17">
        <f>EJ121*VLOOKUP('Données projet'!$B$15,Paramètres!$A$1:$I$89,3,0)*VLOOKUP('Données projet'!$B$15,Paramètres!$A$1:$I$89,5,0)</f>
        <v>-4.5224624045658861E-14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316.52407313312403</v>
      </c>
      <c r="EP121" s="59">
        <f t="shared" si="100"/>
        <v>340.55949748167382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68.392600789841111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68.392600789841111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-5.6843418860808015E-14</v>
      </c>
      <c r="FF121" s="17">
        <f>FE121*VLOOKUP('Données projet'!$B$16,Paramètres!$A$1:$I$89,3,0)*VLOOKUP('Données projet'!$B$16,Paramètres!$A$1:$I$89,5,0)</f>
        <v>-3.7243808037601412E-14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199.99826357281154</v>
      </c>
      <c r="FK121" s="59">
        <f t="shared" si="102"/>
        <v>214.67424457475136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29.576390239337414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29.576390239337414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284.60021367910457</v>
      </c>
      <c r="T122" s="59">
        <f t="shared" si="88"/>
        <v>301.41905904220812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69.099351863563712</v>
      </c>
      <c r="AA122" s="21">
        <f>EXP(-LN(2)/25)*AA121+(1-EXP(-LN(2)/25))/(LN(2)/25)*Calculateur!V122*Calculateur!X122*VLOOKUP('Données projet'!$B$9,Paramètres!$A$1:$I$89,3,0)*0.475*44/12</f>
        <v>10.43617912978201</v>
      </c>
      <c r="AB122" s="21">
        <f>EXP(-LN(2)/2)*AB121+(1-EXP(-LN(2)/2))/(LN(2)/2)*V122*Y122*VLOOKUP('Données projet'!$B$9,Paramètres!$A$1:$I$89,3,0)*0.475*44/12</f>
        <v>3.7454995739672676E-7</v>
      </c>
      <c r="AC122" s="22">
        <f t="shared" si="57"/>
        <v>79.535531367895672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294.45857786714919</v>
      </c>
      <c r="AO122" s="59">
        <f t="shared" si="90"/>
        <v>221.9773436301067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95.339005984008352</v>
      </c>
      <c r="AV122" s="21">
        <f>EXP(-LN(2)/25)*AV121+(1-EXP(-LN(2)/25))/(LN(2)/25)*Calculateur!AQ122*Calculateur!AS122*VLOOKUP('Données projet'!$B$10,Paramètres!$A$1:$I$89,3,0)*0.475*44/12</f>
        <v>16.287042223839435</v>
      </c>
      <c r="AW122" s="21">
        <f>EXP(-LN(2)/2)*AW121+(1-EXP(-LN(2)/2))/(LN(2)/2)*AQ122*AT122*VLOOKUP('Données projet'!$B$10,Paramètres!$A$1:$I$89,3,0)*0.475*44/12</f>
        <v>1.3731416481308834E-4</v>
      </c>
      <c r="AX122" s="21">
        <f t="shared" si="60"/>
        <v>111.62618552201261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6.3550942286383367E-14</v>
      </c>
      <c r="BF122" s="13">
        <f t="shared" si="91"/>
        <v>1.0064464192543978E-12</v>
      </c>
      <c r="BG122" s="20">
        <f t="shared" si="61"/>
        <v>1.8635787380168604E-12</v>
      </c>
      <c r="BH122" s="59">
        <f t="shared" si="62"/>
        <v>293.33333333333519</v>
      </c>
      <c r="BI122" s="59">
        <f ca="1">AVERAGE(OFFSET($BH$3,0,0,'Données projet'!$E$11+1,1))-AVERAGE(OFFSET($H$3,0,0,'Données projet'!$E$11+1,1))</f>
        <v>304.91676868833792</v>
      </c>
      <c r="BJ122" s="59">
        <f t="shared" si="92"/>
        <v>365.95065044620048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68.281372075195051</v>
      </c>
      <c r="BQ122" s="21">
        <f>EXP(-LN(2)/25)*BQ121+(1-EXP(-LN(2)/25))/(LN(2)/25)*Calculateur!BL122*Calculateur!BN122*VLOOKUP('Données projet'!$B$11,Paramètres!$A$1:$I$89,3,0)*0.475*44/12</f>
        <v>10.135946288576436</v>
      </c>
      <c r="BR122" s="21">
        <f>EXP(-LN(2)/2)*BR121+(1-EXP(-LN(2)/2))/(LN(2)/2)*BL122*BO122*VLOOKUP('Données projet'!$B$11,Paramètres!$A$1:$I$89,3,0)*0.475*44/12</f>
        <v>6.3296766311639474E-8</v>
      </c>
      <c r="BS122" s="22">
        <f t="shared" si="63"/>
        <v>78.417318427068253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-3.4106051316484809E-13</v>
      </c>
      <c r="BZ122" s="13">
        <f>BY122*VLOOKUP('Données projet'!$B$12,Paramètres!$A$1:$I$89,3,0)*VLOOKUP('Données projet'!$B$12,Paramètres!$A$1:$I$89,5,0)</f>
        <v>-1.5961632016114892E-13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259.87681411271632</v>
      </c>
      <c r="CE122" s="59">
        <f t="shared" si="94"/>
        <v>191.8684235641158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163.1970756700845</v>
      </c>
      <c r="CL122" s="21">
        <f>EXP(-LN(2)/25)*CL121+(1-EXP(-LN(2)/25))/(LN(2)/25)*Calculateur!CG122*Calculateur!CI122*VLOOKUP('Données projet'!$B$12,Paramètres!$A$1:$I$89,3,0)*0.475*44/12</f>
        <v>32.34704870938905</v>
      </c>
      <c r="CM122" s="21">
        <f>EXP(-LN(2)/2)*CM121+(1-EXP(-LN(2)/2))/(LN(2)/2)*CG122*CJ122*VLOOKUP('Données projet'!$B$12,Paramètres!$A$1:$I$89,3,0)*0.475*44/12</f>
        <v>6.4877627911683278E-2</v>
      </c>
      <c r="CN122" s="22">
        <f t="shared" si="66"/>
        <v>195.60900200738521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1.7053025658242404E-13</v>
      </c>
      <c r="CU122" s="17">
        <f>CT122*VLOOKUP('Données projet'!$B$13,Paramètres!$A$1:$I$89,3,0)*VLOOKUP('Données projet'!$B$13,Paramètres!$A$1:$I$89,5,0)</f>
        <v>7.9808160080574461E-14</v>
      </c>
      <c r="CV122" s="13">
        <f t="shared" si="95"/>
        <v>1.2308384591775343E-12</v>
      </c>
      <c r="CW122" s="20">
        <f t="shared" si="67"/>
        <v>2.282709528541206E-12</v>
      </c>
      <c r="CX122" s="59">
        <f t="shared" si="68"/>
        <v>293.33333333333559</v>
      </c>
      <c r="CY122" s="59">
        <f ca="1">AVERAGE(OFFSET($CX$3,0,0,'Données projet'!$E$13+1,1))-AVERAGE(OFFSET($H$3,0,0,'Données projet'!$E$13+1,1))</f>
        <v>137.59122085719031</v>
      </c>
      <c r="CZ122" s="59">
        <f t="shared" si="96"/>
        <v>130.1134470448718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86.978400261730926</v>
      </c>
      <c r="DG122" s="21">
        <f>EXP(-LN(2)/25)*DG121+(1-EXP(-LN(2)/25))/(LN(2)/25)*Calculateur!DB122*Calculateur!DD122*VLOOKUP('Données projet'!$B$13,Paramètres!$A$1:$I$89,3,0)*0.475*44/12</f>
        <v>16.937651050875314</v>
      </c>
      <c r="DH122" s="21">
        <f>EXP(-LN(2)/2)*DH121+(1-EXP(-LN(2)/2))/(LN(2)/2)*DB122*DE122*VLOOKUP('Données projet'!$B$13,Paramètres!$A$1:$I$89,3,0)*0.475*44/12</f>
        <v>3.3438699138199454E-2</v>
      </c>
      <c r="DI122" s="22">
        <f t="shared" si="69"/>
        <v>103.94949001174444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6.083333333333333</v>
      </c>
      <c r="DO122" s="12">
        <f>IF('Données projet'!$A$166&gt;35,DO121+DN122-DW121,IF(A122&lt;'Données projet'!$A$166,$DL$205^A122,IF(A122='Données projet'!$A$166,'Données projet'!$B$166,DO121+DN122-DW121)))</f>
        <v>276.16666666666674</v>
      </c>
      <c r="DP122" s="17">
        <f>DO122*VLOOKUP('Données projet'!$B$14,Paramètres!$A$1:$I$89,3,0)*VLOOKUP('Données projet'!$B$14,Paramètres!$A$1:$I$89,5,0)</f>
        <v>280.03300000000007</v>
      </c>
      <c r="DQ122" s="13">
        <f t="shared" si="97"/>
        <v>66.97398268191219</v>
      </c>
      <c r="DR122" s="20">
        <f t="shared" si="70"/>
        <v>604.37049483766395</v>
      </c>
      <c r="DS122" s="59">
        <f t="shared" si="71"/>
        <v>897.70382817099721</v>
      </c>
      <c r="DT122" s="59">
        <f ca="1">AVERAGE(OFFSET($DS$3,0,0,'Données projet'!$E$14+1,1))-AVERAGE(OFFSET($H$3,0,0,'Données projet'!$E$14+1,1))</f>
        <v>313.90901812281373</v>
      </c>
      <c r="DU122" s="59">
        <f t="shared" si="98"/>
        <v>210.54265725995265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75.469903674873208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75.469903674873208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-5.6843418860808015E-14</v>
      </c>
      <c r="EK122" s="17">
        <f>EJ122*VLOOKUP('Données projet'!$B$15,Paramètres!$A$1:$I$89,3,0)*VLOOKUP('Données projet'!$B$15,Paramètres!$A$1:$I$89,5,0)</f>
        <v>-4.5224624045658861E-14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316.52407313312403</v>
      </c>
      <c r="EP122" s="59">
        <f t="shared" si="100"/>
        <v>340.55949748167382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67.051463603719753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67.051463603719753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-5.6843418860808015E-14</v>
      </c>
      <c r="FF122" s="17">
        <f>FE122*VLOOKUP('Données projet'!$B$16,Paramètres!$A$1:$I$89,3,0)*VLOOKUP('Données projet'!$B$16,Paramètres!$A$1:$I$89,5,0)</f>
        <v>-3.7243808037601412E-14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199.99826357281154</v>
      </c>
      <c r="FK122" s="59">
        <f t="shared" si="102"/>
        <v>214.67424457475136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28.996415266560771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28.996415266560771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284.60021367910457</v>
      </c>
      <c r="T123" s="59">
        <f t="shared" si="88"/>
        <v>301.41905904220812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67.744355719962243</v>
      </c>
      <c r="AA123" s="21">
        <f>EXP(-LN(2)/25)*AA122+(1-EXP(-LN(2)/25))/(LN(2)/25)*Calculateur!V123*Calculateur!X123*VLOOKUP('Données projet'!$B$9,Paramètres!$A$1:$I$89,3,0)*0.475*44/12</f>
        <v>10.150801262663313</v>
      </c>
      <c r="AB123" s="21">
        <f>EXP(-LN(2)/2)*AB122+(1-EXP(-LN(2)/2))/(LN(2)/2)*V123*Y123*VLOOKUP('Données projet'!$B$9,Paramètres!$A$1:$I$89,3,0)*0.475*44/12</f>
        <v>2.6484681476835796E-7</v>
      </c>
      <c r="AC123" s="22">
        <f t="shared" si="57"/>
        <v>77.895157247472369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294.45857786714919</v>
      </c>
      <c r="AO123" s="59">
        <f t="shared" si="90"/>
        <v>221.9773436301067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93.469466227713653</v>
      </c>
      <c r="AV123" s="21">
        <f>EXP(-LN(2)/25)*AV122+(1-EXP(-LN(2)/25))/(LN(2)/25)*Calculateur!AQ123*Calculateur!AS123*VLOOKUP('Données projet'!$B$10,Paramètres!$A$1:$I$89,3,0)*0.475*44/12</f>
        <v>15.841672197730221</v>
      </c>
      <c r="AW123" s="21">
        <f>EXP(-LN(2)/2)*AW122+(1-EXP(-LN(2)/2))/(LN(2)/2)*AQ123*AT123*VLOOKUP('Données projet'!$B$10,Paramètres!$A$1:$I$89,3,0)*0.475*44/12</f>
        <v>9.7095777092301983E-5</v>
      </c>
      <c r="AX123" s="21">
        <f t="shared" si="60"/>
        <v>109.31123552122096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6.3550942286383367E-14</v>
      </c>
      <c r="BF123" s="13">
        <f t="shared" si="91"/>
        <v>1.0064464192543978E-12</v>
      </c>
      <c r="BG123" s="20">
        <f t="shared" si="61"/>
        <v>1.8635787380168604E-12</v>
      </c>
      <c r="BH123" s="59">
        <f t="shared" si="62"/>
        <v>293.33333333333519</v>
      </c>
      <c r="BI123" s="59">
        <f ca="1">AVERAGE(OFFSET($BH$3,0,0,'Données projet'!$E$11+1,1))-AVERAGE(OFFSET($H$3,0,0,'Données projet'!$E$11+1,1))</f>
        <v>304.91676868833792</v>
      </c>
      <c r="BJ123" s="59">
        <f t="shared" si="92"/>
        <v>365.95065044620048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66.942416016325097</v>
      </c>
      <c r="BQ123" s="21">
        <f>EXP(-LN(2)/25)*BQ122+(1-EXP(-LN(2)/25))/(LN(2)/25)*Calculateur!BL123*Calculateur!BN123*VLOOKUP('Données projet'!$B$11,Paramètres!$A$1:$I$89,3,0)*0.475*44/12</f>
        <v>9.8587783042890642</v>
      </c>
      <c r="BR123" s="21">
        <f>EXP(-LN(2)/2)*BR122+(1-EXP(-LN(2)/2))/(LN(2)/2)*BL123*BO123*VLOOKUP('Données projet'!$B$11,Paramètres!$A$1:$I$89,3,0)*0.475*44/12</f>
        <v>4.4757572686140487E-8</v>
      </c>
      <c r="BS123" s="22">
        <f t="shared" si="63"/>
        <v>76.801194365371728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-3.4106051316484809E-13</v>
      </c>
      <c r="BZ123" s="13">
        <f>BY123*VLOOKUP('Données projet'!$B$12,Paramètres!$A$1:$I$89,3,0)*VLOOKUP('Données projet'!$B$12,Paramètres!$A$1:$I$89,5,0)</f>
        <v>-1.5961632016114892E-13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259.87681411271632</v>
      </c>
      <c r="CE123" s="59">
        <f t="shared" si="94"/>
        <v>191.8684235641158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159.99688055658152</v>
      </c>
      <c r="CL123" s="21">
        <f>EXP(-LN(2)/25)*CL122+(1-EXP(-LN(2)/25))/(LN(2)/25)*Calculateur!CG123*Calculateur!CI123*VLOOKUP('Données projet'!$B$12,Paramètres!$A$1:$I$89,3,0)*0.475*44/12</f>
        <v>31.462516961373446</v>
      </c>
      <c r="CM123" s="21">
        <f>EXP(-LN(2)/2)*CM122+(1-EXP(-LN(2)/2))/(LN(2)/2)*CG123*CJ123*VLOOKUP('Données projet'!$B$12,Paramètres!$A$1:$I$89,3,0)*0.475*44/12</f>
        <v>4.5875410643648876E-2</v>
      </c>
      <c r="CN123" s="22">
        <f t="shared" si="66"/>
        <v>191.5052729285986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1.7053025658242404E-13</v>
      </c>
      <c r="CU123" s="17">
        <f>CT123*VLOOKUP('Données projet'!$B$13,Paramètres!$A$1:$I$89,3,0)*VLOOKUP('Données projet'!$B$13,Paramètres!$A$1:$I$89,5,0)</f>
        <v>7.9808160080574461E-14</v>
      </c>
      <c r="CV123" s="13">
        <f t="shared" si="95"/>
        <v>1.2308384591775343E-12</v>
      </c>
      <c r="CW123" s="20">
        <f t="shared" si="67"/>
        <v>2.282709528541206E-12</v>
      </c>
      <c r="CX123" s="59">
        <f t="shared" si="68"/>
        <v>293.33333333333559</v>
      </c>
      <c r="CY123" s="59">
        <f ca="1">AVERAGE(OFFSET($CX$3,0,0,'Données projet'!$E$13+1,1))-AVERAGE(OFFSET($H$3,0,0,'Données projet'!$E$13+1,1))</f>
        <v>137.59122085719031</v>
      </c>
      <c r="CZ123" s="59">
        <f t="shared" si="96"/>
        <v>130.1134470448718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85.272806884184135</v>
      </c>
      <c r="DG123" s="21">
        <f>EXP(-LN(2)/25)*DG122+(1-EXP(-LN(2)/25))/(LN(2)/25)*Calculateur!DB123*Calculateur!DD123*VLOOKUP('Données projet'!$B$13,Paramètres!$A$1:$I$89,3,0)*0.475*44/12</f>
        <v>16.474490092176772</v>
      </c>
      <c r="DH123" s="21">
        <f>EXP(-LN(2)/2)*DH122+(1-EXP(-LN(2)/2))/(LN(2)/2)*DB123*DE123*VLOOKUP('Données projet'!$B$13,Paramètres!$A$1:$I$89,3,0)*0.475*44/12</f>
        <v>2.3644730914677597E-2</v>
      </c>
      <c r="DI123" s="22">
        <f t="shared" si="69"/>
        <v>101.77094170727558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6.083333333333333</v>
      </c>
      <c r="DO123" s="12">
        <f>IF('Données projet'!$A$166&gt;35,DO122+DN123-DW122,IF(A123&lt;'Données projet'!$A$166,$DL$205^A123,IF(A123='Données projet'!$A$166,'Données projet'!$B$166,DO122+DN123-DW122)))</f>
        <v>282.25000000000006</v>
      </c>
      <c r="DP123" s="17">
        <f>DO123*VLOOKUP('Données projet'!$B$14,Paramètres!$A$1:$I$89,3,0)*VLOOKUP('Données projet'!$B$14,Paramètres!$A$1:$I$89,5,0)</f>
        <v>286.20150000000007</v>
      </c>
      <c r="DQ123" s="13">
        <f t="shared" si="97"/>
        <v>68.275888526025625</v>
      </c>
      <c r="DR123" s="20">
        <f t="shared" si="70"/>
        <v>617.38145168282813</v>
      </c>
      <c r="DS123" s="59">
        <f t="shared" si="71"/>
        <v>910.71478501616139</v>
      </c>
      <c r="DT123" s="59">
        <f ca="1">AVERAGE(OFFSET($DS$3,0,0,'Données projet'!$E$14+1,1))-AVERAGE(OFFSET($H$3,0,0,'Données projet'!$E$14+1,1))</f>
        <v>313.90901812281373</v>
      </c>
      <c r="DU123" s="59">
        <f t="shared" si="98"/>
        <v>210.54265725995265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73.989984895904897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73.989984895904897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-5.6843418860808015E-14</v>
      </c>
      <c r="EK123" s="17">
        <f>EJ123*VLOOKUP('Données projet'!$B$15,Paramètres!$A$1:$I$89,3,0)*VLOOKUP('Données projet'!$B$15,Paramètres!$A$1:$I$89,5,0)</f>
        <v>-4.5224624045658861E-14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316.52407313312403</v>
      </c>
      <c r="EP123" s="59">
        <f t="shared" si="100"/>
        <v>340.55949748167382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65.736625299805326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65.736625299805326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-5.6843418860808015E-14</v>
      </c>
      <c r="FF123" s="17">
        <f>FE123*VLOOKUP('Données projet'!$B$16,Paramètres!$A$1:$I$89,3,0)*VLOOKUP('Données projet'!$B$16,Paramètres!$A$1:$I$89,5,0)</f>
        <v>-3.7243808037601412E-14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199.99826357281154</v>
      </c>
      <c r="FK123" s="59">
        <f t="shared" si="102"/>
        <v>214.67424457475136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28.427813249250473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28.427813249250473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284.60021367910457</v>
      </c>
      <c r="T124" s="59">
        <f t="shared" si="88"/>
        <v>301.41905904220812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66.415930224270767</v>
      </c>
      <c r="AA124" s="21">
        <f>EXP(-LN(2)/25)*AA123+(1-EXP(-LN(2)/25))/(LN(2)/25)*Calculateur!V124*Calculateur!X124*VLOOKUP('Données projet'!$B$9,Paramètres!$A$1:$I$89,3,0)*0.475*44/12</f>
        <v>9.8732270683283456</v>
      </c>
      <c r="AB124" s="21">
        <f>EXP(-LN(2)/2)*AB123+(1-EXP(-LN(2)/2))/(LN(2)/2)*V124*Y124*VLOOKUP('Données projet'!$B$9,Paramètres!$A$1:$I$89,3,0)*0.475*44/12</f>
        <v>1.8727497869836338E-7</v>
      </c>
      <c r="AC124" s="22">
        <f t="shared" si="57"/>
        <v>76.289157479874092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294.45857786714919</v>
      </c>
      <c r="AO124" s="59">
        <f t="shared" si="90"/>
        <v>221.9773436301067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91.636587005733247</v>
      </c>
      <c r="AV124" s="21">
        <f>EXP(-LN(2)/25)*AV123+(1-EXP(-LN(2)/25))/(LN(2)/25)*Calculateur!AQ124*Calculateur!AS124*VLOOKUP('Données projet'!$B$10,Paramètres!$A$1:$I$89,3,0)*0.475*44/12</f>
        <v>15.408480838405954</v>
      </c>
      <c r="AW124" s="21">
        <f>EXP(-LN(2)/2)*AW123+(1-EXP(-LN(2)/2))/(LN(2)/2)*AQ124*AT124*VLOOKUP('Données projet'!$B$10,Paramètres!$A$1:$I$89,3,0)*0.475*44/12</f>
        <v>6.8657082406544171E-5</v>
      </c>
      <c r="AX124" s="21">
        <f t="shared" si="60"/>
        <v>107.04513650122161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6.3550942286383367E-14</v>
      </c>
      <c r="BF124" s="13">
        <f t="shared" si="91"/>
        <v>1.0064464192543978E-12</v>
      </c>
      <c r="BG124" s="20">
        <f t="shared" si="61"/>
        <v>1.8635787380168604E-12</v>
      </c>
      <c r="BH124" s="59">
        <f t="shared" si="62"/>
        <v>293.33333333333519</v>
      </c>
      <c r="BI124" s="59">
        <f ca="1">AVERAGE(OFFSET($BH$3,0,0,'Données projet'!$E$11+1,1))-AVERAGE(OFFSET($H$3,0,0,'Données projet'!$E$11+1,1))</f>
        <v>304.91676868833792</v>
      </c>
      <c r="BJ124" s="59">
        <f t="shared" si="92"/>
        <v>365.95065044620048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65.629716069087024</v>
      </c>
      <c r="BQ124" s="21">
        <f>EXP(-LN(2)/25)*BQ123+(1-EXP(-LN(2)/25))/(LN(2)/25)*Calculateur!BL124*Calculateur!BN124*VLOOKUP('Données projet'!$B$11,Paramètres!$A$1:$I$89,3,0)*0.475*44/12</f>
        <v>9.5891894931076607</v>
      </c>
      <c r="BR124" s="21">
        <f>EXP(-LN(2)/2)*BR123+(1-EXP(-LN(2)/2))/(LN(2)/2)*BL124*BO124*VLOOKUP('Données projet'!$B$11,Paramètres!$A$1:$I$89,3,0)*0.475*44/12</f>
        <v>3.1648383155819737E-8</v>
      </c>
      <c r="BS124" s="22">
        <f t="shared" si="63"/>
        <v>75.218905593843076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-1.5961632016114892E-13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259.87681411271632</v>
      </c>
      <c r="CE124" s="59">
        <f t="shared" si="94"/>
        <v>191.8684235641158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156.85943931732803</v>
      </c>
      <c r="CL124" s="21">
        <f>EXP(-LN(2)/25)*CL123+(1-EXP(-LN(2)/25))/(LN(2)/25)*Calculateur!CG124*Calculateur!CI124*VLOOKUP('Données projet'!$B$12,Paramètres!$A$1:$I$89,3,0)*0.475*44/12</f>
        <v>30.602172780522832</v>
      </c>
      <c r="CM124" s="21">
        <f>EXP(-LN(2)/2)*CM123+(1-EXP(-LN(2)/2))/(LN(2)/2)*CG124*CJ124*VLOOKUP('Données projet'!$B$12,Paramètres!$A$1:$I$89,3,0)*0.475*44/12</f>
        <v>3.2438813955841639E-2</v>
      </c>
      <c r="CN124" s="22">
        <f t="shared" si="66"/>
        <v>187.49405091180671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1.7053025658242404E-13</v>
      </c>
      <c r="CU124" s="17">
        <f>CT124*VLOOKUP('Données projet'!$B$13,Paramètres!$A$1:$I$89,3,0)*VLOOKUP('Données projet'!$B$13,Paramètres!$A$1:$I$89,5,0)</f>
        <v>7.9808160080574461E-14</v>
      </c>
      <c r="CV124" s="13">
        <f t="shared" si="95"/>
        <v>1.2308384591775343E-12</v>
      </c>
      <c r="CW124" s="20">
        <f t="shared" si="67"/>
        <v>2.282709528541206E-12</v>
      </c>
      <c r="CX124" s="59">
        <f t="shared" si="68"/>
        <v>293.33333333333559</v>
      </c>
      <c r="CY124" s="59">
        <f ca="1">AVERAGE(OFFSET($CX$3,0,0,'Données projet'!$E$13+1,1))-AVERAGE(OFFSET($H$3,0,0,'Données projet'!$E$13+1,1))</f>
        <v>137.59122085719031</v>
      </c>
      <c r="CZ124" s="59">
        <f t="shared" si="96"/>
        <v>130.1134470448718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83.600659152461802</v>
      </c>
      <c r="DG124" s="21">
        <f>EXP(-LN(2)/25)*DG123+(1-EXP(-LN(2)/25))/(LN(2)/25)*Calculateur!DB124*Calculateur!DD124*VLOOKUP('Données projet'!$B$13,Paramètres!$A$1:$I$89,3,0)*0.475*44/12</f>
        <v>16.023994294250418</v>
      </c>
      <c r="DH124" s="21">
        <f>EXP(-LN(2)/2)*DH123+(1-EXP(-LN(2)/2))/(LN(2)/2)*DB124*DE124*VLOOKUP('Données projet'!$B$13,Paramètres!$A$1:$I$89,3,0)*0.475*44/12</f>
        <v>1.6719349569099727E-2</v>
      </c>
      <c r="DI124" s="22">
        <f t="shared" si="69"/>
        <v>99.641372796281317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6.083333333333333</v>
      </c>
      <c r="DO124" s="12">
        <f>IF('Données projet'!$A$166&gt;35,DO123+DN124-DW123,IF(A124&lt;'Données projet'!$A$166,$DL$205^A124,IF(A124='Données projet'!$A$166,'Données projet'!$B$166,DO123+DN124-DW123)))</f>
        <v>288.33333333333337</v>
      </c>
      <c r="DP124" s="17">
        <f>DO124*VLOOKUP('Données projet'!$B$14,Paramètres!$A$1:$I$89,3,0)*VLOOKUP('Données projet'!$B$14,Paramètres!$A$1:$I$89,5,0)</f>
        <v>292.37000000000006</v>
      </c>
      <c r="DQ124" s="13">
        <f t="shared" si="97"/>
        <v>69.574532015997605</v>
      </c>
      <c r="DR124" s="20">
        <f t="shared" si="70"/>
        <v>630.38672659452925</v>
      </c>
      <c r="DS124" s="59">
        <f t="shared" si="71"/>
        <v>923.72005992786262</v>
      </c>
      <c r="DT124" s="59">
        <f ca="1">AVERAGE(OFFSET($DS$3,0,0,'Données projet'!$E$14+1,1))-AVERAGE(OFFSET($H$3,0,0,'Données projet'!$E$14+1,1))</f>
        <v>313.90901812281373</v>
      </c>
      <c r="DU124" s="59">
        <f t="shared" si="98"/>
        <v>210.54265725995265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72.539086421530826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72.539086421530826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-5.6843418860808015E-14</v>
      </c>
      <c r="EK124" s="17">
        <f>EJ124*VLOOKUP('Données projet'!$B$15,Paramètres!$A$1:$I$89,3,0)*VLOOKUP('Données projet'!$B$15,Paramètres!$A$1:$I$89,5,0)</f>
        <v>-4.5224624045658861E-14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316.52407313312403</v>
      </c>
      <c r="EP124" s="59">
        <f t="shared" si="100"/>
        <v>340.55949748167382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64.44757017305848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64.44757017305848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-5.6843418860808015E-14</v>
      </c>
      <c r="FF124" s="17">
        <f>FE124*VLOOKUP('Données projet'!$B$16,Paramètres!$A$1:$I$89,3,0)*VLOOKUP('Données projet'!$B$16,Paramètres!$A$1:$I$89,5,0)</f>
        <v>-3.7243808037601412E-14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199.99826357281154</v>
      </c>
      <c r="FK124" s="59">
        <f t="shared" si="102"/>
        <v>214.67424457475136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27.870361170686643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27.870361170686643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284.60021367910457</v>
      </c>
      <c r="T125" s="59">
        <f t="shared" si="88"/>
        <v>301.41905904220812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65.113554342290257</v>
      </c>
      <c r="AA125" s="21">
        <f>EXP(-LN(2)/25)*AA124+(1-EXP(-LN(2)/25))/(LN(2)/25)*Calculateur!V125*Calculateur!X125*VLOOKUP('Données projet'!$B$9,Paramètres!$A$1:$I$89,3,0)*0.475*44/12</f>
        <v>9.6032431549344608</v>
      </c>
      <c r="AB125" s="21">
        <f>EXP(-LN(2)/2)*AB124+(1-EXP(-LN(2)/2))/(LN(2)/2)*V125*Y125*VLOOKUP('Données projet'!$B$9,Paramètres!$A$1:$I$89,3,0)*0.475*44/12</f>
        <v>1.3242340738417898E-7</v>
      </c>
      <c r="AC125" s="22">
        <f t="shared" si="57"/>
        <v>74.716797629648127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294.45857786714919</v>
      </c>
      <c r="AO125" s="59">
        <f t="shared" si="90"/>
        <v>221.9773436301067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89.83964942734994</v>
      </c>
      <c r="AV125" s="21">
        <f>EXP(-LN(2)/25)*AV124+(1-EXP(-LN(2)/25))/(LN(2)/25)*Calculateur!AQ125*Calculateur!AS125*VLOOKUP('Données projet'!$B$10,Paramètres!$A$1:$I$89,3,0)*0.475*44/12</f>
        <v>14.987135119582952</v>
      </c>
      <c r="AW125" s="21">
        <f>EXP(-LN(2)/2)*AW124+(1-EXP(-LN(2)/2))/(LN(2)/2)*AQ125*AT125*VLOOKUP('Données projet'!$B$10,Paramètres!$A$1:$I$89,3,0)*0.475*44/12</f>
        <v>4.8547888546150992E-5</v>
      </c>
      <c r="AX125" s="21">
        <f t="shared" si="60"/>
        <v>104.82683309482142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6.3550942286383367E-14</v>
      </c>
      <c r="BF125" s="13">
        <f t="shared" si="91"/>
        <v>1.0064464192543978E-12</v>
      </c>
      <c r="BG125" s="20">
        <f t="shared" si="61"/>
        <v>1.8635787380168604E-12</v>
      </c>
      <c r="BH125" s="59">
        <f t="shared" si="62"/>
        <v>293.33333333333519</v>
      </c>
      <c r="BI125" s="59">
        <f ca="1">AVERAGE(OFFSET($BH$3,0,0,'Données projet'!$E$11+1,1))-AVERAGE(OFFSET($H$3,0,0,'Données projet'!$E$11+1,1))</f>
        <v>304.91676868833792</v>
      </c>
      <c r="BJ125" s="59">
        <f t="shared" si="92"/>
        <v>365.95065044620048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64.342757367146376</v>
      </c>
      <c r="BQ125" s="21">
        <f>EXP(-LN(2)/25)*BQ124+(1-EXP(-LN(2)/25))/(LN(2)/25)*Calculateur!BL125*Calculateur!BN125*VLOOKUP('Données projet'!$B$11,Paramètres!$A$1:$I$89,3,0)*0.475*44/12</f>
        <v>9.326972602145073</v>
      </c>
      <c r="BR125" s="21">
        <f>EXP(-LN(2)/2)*BR124+(1-EXP(-LN(2)/2))/(LN(2)/2)*BL125*BO125*VLOOKUP('Données projet'!$B$11,Paramètres!$A$1:$I$89,3,0)*0.475*44/12</f>
        <v>2.2378786343070243E-8</v>
      </c>
      <c r="BS125" s="22">
        <f t="shared" si="63"/>
        <v>73.669729991670238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-1.5961632016114892E-13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259.87681411271632</v>
      </c>
      <c r="CE125" s="59">
        <f t="shared" si="94"/>
        <v>191.8684235641158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153.78352138712611</v>
      </c>
      <c r="CL125" s="21">
        <f>EXP(-LN(2)/25)*CL124+(1-EXP(-LN(2)/25))/(LN(2)/25)*Calculateur!CG125*Calculateur!CI125*VLOOKUP('Données projet'!$B$12,Paramètres!$A$1:$I$89,3,0)*0.475*44/12</f>
        <v>29.765354756541111</v>
      </c>
      <c r="CM125" s="21">
        <f>EXP(-LN(2)/2)*CM124+(1-EXP(-LN(2)/2))/(LN(2)/2)*CG125*CJ125*VLOOKUP('Données projet'!$B$12,Paramètres!$A$1:$I$89,3,0)*0.475*44/12</f>
        <v>2.2937705321824438E-2</v>
      </c>
      <c r="CN125" s="22">
        <f t="shared" si="66"/>
        <v>183.57181384898905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1.7053025658242404E-13</v>
      </c>
      <c r="CU125" s="17">
        <f>CT125*VLOOKUP('Données projet'!$B$13,Paramètres!$A$1:$I$89,3,0)*VLOOKUP('Données projet'!$B$13,Paramètres!$A$1:$I$89,5,0)</f>
        <v>7.9808160080574461E-14</v>
      </c>
      <c r="CV125" s="13">
        <f t="shared" si="95"/>
        <v>1.2308384591775343E-12</v>
      </c>
      <c r="CW125" s="20">
        <f t="shared" si="67"/>
        <v>2.282709528541206E-12</v>
      </c>
      <c r="CX125" s="59">
        <f t="shared" si="68"/>
        <v>293.33333333333559</v>
      </c>
      <c r="CY125" s="59">
        <f ca="1">AVERAGE(OFFSET($CX$3,0,0,'Données projet'!$E$13+1,1))-AVERAGE(OFFSET($H$3,0,0,'Données projet'!$E$13+1,1))</f>
        <v>137.59122085719031</v>
      </c>
      <c r="CZ125" s="59">
        <f t="shared" si="96"/>
        <v>130.1134470448718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81.961301217849126</v>
      </c>
      <c r="DG125" s="21">
        <f>EXP(-LN(2)/25)*DG124+(1-EXP(-LN(2)/25))/(LN(2)/25)*Calculateur!DB125*Calculateur!DD125*VLOOKUP('Données projet'!$B$13,Paramètres!$A$1:$I$89,3,0)*0.475*44/12</f>
        <v>15.585817327608904</v>
      </c>
      <c r="DH125" s="21">
        <f>EXP(-LN(2)/2)*DH124+(1-EXP(-LN(2)/2))/(LN(2)/2)*DB125*DE125*VLOOKUP('Données projet'!$B$13,Paramètres!$A$1:$I$89,3,0)*0.475*44/12</f>
        <v>1.1822365457338798E-2</v>
      </c>
      <c r="DI125" s="22">
        <f t="shared" si="69"/>
        <v>97.558940910915368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6.083333333333333</v>
      </c>
      <c r="DO125" s="12">
        <f>IF('Données projet'!$A$166&gt;35,DO124+DN125-DW124,IF(A125&lt;'Données projet'!$A$166,$DL$205^A125,IF(A125='Données projet'!$A$166,'Données projet'!$B$166,DO124+DN125-DW124)))</f>
        <v>294.41666666666669</v>
      </c>
      <c r="DP125" s="17">
        <f>DO125*VLOOKUP('Données projet'!$B$14,Paramètres!$A$1:$I$89,3,0)*VLOOKUP('Données projet'!$B$14,Paramètres!$A$1:$I$89,5,0)</f>
        <v>298.53850000000006</v>
      </c>
      <c r="DQ125" s="13">
        <f t="shared" si="97"/>
        <v>70.869989910878061</v>
      </c>
      <c r="DR125" s="20">
        <f t="shared" si="70"/>
        <v>643.38645326144604</v>
      </c>
      <c r="DS125" s="59">
        <f t="shared" si="71"/>
        <v>936.71978659477941</v>
      </c>
      <c r="DT125" s="59">
        <f ca="1">AVERAGE(OFFSET($DS$3,0,0,'Données projet'!$E$14+1,1))-AVERAGE(OFFSET($H$3,0,0,'Données projet'!$E$14+1,1))</f>
        <v>313.90901812281373</v>
      </c>
      <c r="DU125" s="59">
        <f t="shared" si="98"/>
        <v>210.54265725995265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71.116639181278543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71.116639181278543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-5.6843418860808015E-14</v>
      </c>
      <c r="EK125" s="17">
        <f>EJ125*VLOOKUP('Données projet'!$B$15,Paramètres!$A$1:$I$89,3,0)*VLOOKUP('Données projet'!$B$15,Paramètres!$A$1:$I$89,5,0)</f>
        <v>-4.5224624045658861E-14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316.52407313312403</v>
      </c>
      <c r="EP125" s="59">
        <f t="shared" si="100"/>
        <v>340.55949748167382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63.183792631101156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63.183792631101156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-5.6843418860808015E-14</v>
      </c>
      <c r="FF125" s="17">
        <f>FE125*VLOOKUP('Données projet'!$B$16,Paramètres!$A$1:$I$89,3,0)*VLOOKUP('Données projet'!$B$16,Paramètres!$A$1:$I$89,5,0)</f>
        <v>-3.7243808037601412E-14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199.99826357281154</v>
      </c>
      <c r="FK125" s="59">
        <f t="shared" si="102"/>
        <v>214.67424457475136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27.323840387371256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27.323840387371256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284.60021367910457</v>
      </c>
      <c r="T126" s="59">
        <f t="shared" si="88"/>
        <v>301.41905904220812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63.836717256984528</v>
      </c>
      <c r="AA126" s="21">
        <f>EXP(-LN(2)/25)*AA125+(1-EXP(-LN(2)/25))/(LN(2)/25)*Calculateur!V126*Calculateur!X126*VLOOKUP('Données projet'!$B$9,Paramètres!$A$1:$I$89,3,0)*0.475*44/12</f>
        <v>9.3406419658501694</v>
      </c>
      <c r="AB126" s="21">
        <f>EXP(-LN(2)/2)*AB125+(1-EXP(-LN(2)/2))/(LN(2)/2)*V126*Y126*VLOOKUP('Données projet'!$B$9,Paramètres!$A$1:$I$89,3,0)*0.475*44/12</f>
        <v>9.363748934918169E-8</v>
      </c>
      <c r="AC126" s="22">
        <f t="shared" si="57"/>
        <v>73.177359316472192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294.45857786714919</v>
      </c>
      <c r="AO126" s="59">
        <f t="shared" si="90"/>
        <v>221.9773436301067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88.077948698855025</v>
      </c>
      <c r="AV126" s="21">
        <f>EXP(-LN(2)/25)*AV125+(1-EXP(-LN(2)/25))/(LN(2)/25)*Calculateur!AQ126*Calculateur!AS126*VLOOKUP('Données projet'!$B$10,Paramètres!$A$1:$I$89,3,0)*0.475*44/12</f>
        <v>14.577311121598774</v>
      </c>
      <c r="AW126" s="21">
        <f>EXP(-LN(2)/2)*AW125+(1-EXP(-LN(2)/2))/(LN(2)/2)*AQ126*AT126*VLOOKUP('Données projet'!$B$10,Paramètres!$A$1:$I$89,3,0)*0.475*44/12</f>
        <v>3.4328541203272085E-5</v>
      </c>
      <c r="AX126" s="21">
        <f t="shared" si="60"/>
        <v>102.655294148995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6.3550942286383367E-14</v>
      </c>
      <c r="BF126" s="13">
        <f t="shared" si="91"/>
        <v>1.0064464192543978E-12</v>
      </c>
      <c r="BG126" s="20">
        <f t="shared" si="61"/>
        <v>1.8635787380168604E-12</v>
      </c>
      <c r="BH126" s="59">
        <f t="shared" si="62"/>
        <v>293.33333333333519</v>
      </c>
      <c r="BI126" s="59">
        <f ca="1">AVERAGE(OFFSET($BH$3,0,0,'Données projet'!$E$11+1,1))-AVERAGE(OFFSET($H$3,0,0,'Données projet'!$E$11+1,1))</f>
        <v>304.91676868833792</v>
      </c>
      <c r="BJ126" s="59">
        <f t="shared" si="92"/>
        <v>365.95065044620048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63.081035140383484</v>
      </c>
      <c r="BQ126" s="21">
        <f>EXP(-LN(2)/25)*BQ125+(1-EXP(-LN(2)/25))/(LN(2)/25)*Calculateur!BL126*Calculateur!BN126*VLOOKUP('Données projet'!$B$11,Paramètres!$A$1:$I$89,3,0)*0.475*44/12</f>
        <v>9.0719260458552444</v>
      </c>
      <c r="BR126" s="21">
        <f>EXP(-LN(2)/2)*BR125+(1-EXP(-LN(2)/2))/(LN(2)/2)*BL126*BO126*VLOOKUP('Données projet'!$B$11,Paramètres!$A$1:$I$89,3,0)*0.475*44/12</f>
        <v>1.5824191577909869E-8</v>
      </c>
      <c r="BS126" s="22">
        <f t="shared" si="63"/>
        <v>72.152961202062912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-1.5961632016114892E-13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259.87681411271632</v>
      </c>
      <c r="CE126" s="59">
        <f t="shared" si="94"/>
        <v>191.8684235641158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150.76792033141078</v>
      </c>
      <c r="CL126" s="21">
        <f>EXP(-LN(2)/25)*CL125+(1-EXP(-LN(2)/25))/(LN(2)/25)*Calculateur!CG126*Calculateur!CI126*VLOOKUP('Données projet'!$B$12,Paramètres!$A$1:$I$89,3,0)*0.475*44/12</f>
        <v>28.951419565431518</v>
      </c>
      <c r="CM126" s="21">
        <f>EXP(-LN(2)/2)*CM125+(1-EXP(-LN(2)/2))/(LN(2)/2)*CG126*CJ126*VLOOKUP('Données projet'!$B$12,Paramètres!$A$1:$I$89,3,0)*0.475*44/12</f>
        <v>1.6219406977920819E-2</v>
      </c>
      <c r="CN126" s="22">
        <f t="shared" si="66"/>
        <v>179.7355593038202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1.7053025658242404E-13</v>
      </c>
      <c r="CU126" s="17">
        <f>CT126*VLOOKUP('Données projet'!$B$13,Paramètres!$A$1:$I$89,3,0)*VLOOKUP('Données projet'!$B$13,Paramètres!$A$1:$I$89,5,0)</f>
        <v>7.9808160080574461E-14</v>
      </c>
      <c r="CV126" s="13">
        <f t="shared" si="95"/>
        <v>1.2308384591775343E-12</v>
      </c>
      <c r="CW126" s="20">
        <f t="shared" si="67"/>
        <v>2.282709528541206E-12</v>
      </c>
      <c r="CX126" s="59">
        <f t="shared" si="68"/>
        <v>293.33333333333559</v>
      </c>
      <c r="CY126" s="59">
        <f ca="1">AVERAGE(OFFSET($CX$3,0,0,'Données projet'!$E$13+1,1))-AVERAGE(OFFSET($H$3,0,0,'Données projet'!$E$13+1,1))</f>
        <v>137.59122085719031</v>
      </c>
      <c r="CZ126" s="59">
        <f t="shared" si="96"/>
        <v>130.1134470448718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80.354090092424599</v>
      </c>
      <c r="DG126" s="21">
        <f>EXP(-LN(2)/25)*DG125+(1-EXP(-LN(2)/25))/(LN(2)/25)*Calculateur!DB126*Calculateur!DD126*VLOOKUP('Données projet'!$B$13,Paramètres!$A$1:$I$89,3,0)*0.475*44/12</f>
        <v>15.159622333162927</v>
      </c>
      <c r="DH126" s="21">
        <f>EXP(-LN(2)/2)*DH125+(1-EXP(-LN(2)/2))/(LN(2)/2)*DB126*DE126*VLOOKUP('Données projet'!$B$13,Paramètres!$A$1:$I$89,3,0)*0.475*44/12</f>
        <v>8.3596747845498635E-3</v>
      </c>
      <c r="DI126" s="22">
        <f t="shared" si="69"/>
        <v>95.522072100372071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6.083333333333333</v>
      </c>
      <c r="DO126" s="12">
        <f>IF('Données projet'!$A$166&gt;35,DO125+DN126-DW125,IF(A126&lt;'Données projet'!$A$166,$DL$205^A126,IF(A126='Données projet'!$A$166,'Données projet'!$B$166,DO125+DN126-DW125)))</f>
        <v>300.5</v>
      </c>
      <c r="DP126" s="17">
        <f>DO126*VLOOKUP('Données projet'!$B$14,Paramètres!$A$1:$I$89,3,0)*VLOOKUP('Données projet'!$B$14,Paramètres!$A$1:$I$89,5,0)</f>
        <v>304.70700000000005</v>
      </c>
      <c r="DQ126" s="13">
        <f t="shared" si="97"/>
        <v>72.162335616379949</v>
      </c>
      <c r="DR126" s="20">
        <f t="shared" si="70"/>
        <v>656.38075953186183</v>
      </c>
      <c r="DS126" s="59">
        <f t="shared" si="71"/>
        <v>949.7140928651952</v>
      </c>
      <c r="DT126" s="59">
        <f ca="1">AVERAGE(OFFSET($DS$3,0,0,'Données projet'!$E$14+1,1))-AVERAGE(OFFSET($H$3,0,0,'Données projet'!$E$14+1,1))</f>
        <v>313.90901812281373</v>
      </c>
      <c r="DU126" s="59">
        <f t="shared" si="98"/>
        <v>210.54265725995265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69.722085263800466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69.722085263800466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-5.6843418860808015E-14</v>
      </c>
      <c r="EK126" s="17">
        <f>EJ126*VLOOKUP('Données projet'!$B$15,Paramètres!$A$1:$I$89,3,0)*VLOOKUP('Données projet'!$B$15,Paramètres!$A$1:$I$89,5,0)</f>
        <v>-4.5224624045658861E-14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316.52407313312403</v>
      </c>
      <c r="EP126" s="59">
        <f t="shared" si="100"/>
        <v>340.55949748167382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61.944796995913428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61.944796995913428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-5.6843418860808015E-14</v>
      </c>
      <c r="FF126" s="17">
        <f>FE126*VLOOKUP('Données projet'!$B$16,Paramètres!$A$1:$I$89,3,0)*VLOOKUP('Données projet'!$B$16,Paramètres!$A$1:$I$89,5,0)</f>
        <v>-3.7243808037601412E-14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199.99826357281154</v>
      </c>
      <c r="FK126" s="59">
        <f t="shared" si="102"/>
        <v>214.67424457475136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26.788036543271922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26.788036543271922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284.60021367910457</v>
      </c>
      <c r="T127" s="59">
        <f t="shared" si="88"/>
        <v>301.41905904220812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62.584918168127921</v>
      </c>
      <c r="AA127" s="21">
        <f>EXP(-LN(2)/25)*AA126+(1-EXP(-LN(2)/25))/(LN(2)/25)*Calculateur!V127*Calculateur!X127*VLOOKUP('Données projet'!$B$9,Paramètres!$A$1:$I$89,3,0)*0.475*44/12</f>
        <v>9.0852216200909837</v>
      </c>
      <c r="AB127" s="21">
        <f>EXP(-LN(2)/2)*AB126+(1-EXP(-LN(2)/2))/(LN(2)/2)*V127*Y127*VLOOKUP('Données projet'!$B$9,Paramètres!$A$1:$I$89,3,0)*0.475*44/12</f>
        <v>6.6211703692089491E-8</v>
      </c>
      <c r="AC127" s="22">
        <f t="shared" si="57"/>
        <v>71.670139854430602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294.45857786714919</v>
      </c>
      <c r="AO127" s="59">
        <f t="shared" si="90"/>
        <v>221.9773436301067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86.350793847114559</v>
      </c>
      <c r="AV127" s="21">
        <f>EXP(-LN(2)/25)*AV126+(1-EXP(-LN(2)/25))/(LN(2)/25)*Calculateur!AQ127*Calculateur!AS127*VLOOKUP('Données projet'!$B$10,Paramètres!$A$1:$I$89,3,0)*0.475*44/12</f>
        <v>14.17869378239118</v>
      </c>
      <c r="AW127" s="21">
        <f>EXP(-LN(2)/2)*AW126+(1-EXP(-LN(2)/2))/(LN(2)/2)*AQ127*AT127*VLOOKUP('Données projet'!$B$10,Paramètres!$A$1:$I$89,3,0)*0.475*44/12</f>
        <v>2.4273944273075496E-5</v>
      </c>
      <c r="AX127" s="21">
        <f t="shared" si="60"/>
        <v>100.52951190345001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6.3550942286383367E-14</v>
      </c>
      <c r="BF127" s="13">
        <f t="shared" si="91"/>
        <v>1.0064464192543978E-12</v>
      </c>
      <c r="BG127" s="20">
        <f t="shared" si="61"/>
        <v>1.8635787380168604E-12</v>
      </c>
      <c r="BH127" s="59">
        <f t="shared" si="62"/>
        <v>293.33333333333519</v>
      </c>
      <c r="BI127" s="59">
        <f ca="1">AVERAGE(OFFSET($BH$3,0,0,'Données projet'!$E$11+1,1))-AVERAGE(OFFSET($H$3,0,0,'Données projet'!$E$11+1,1))</f>
        <v>304.91676868833792</v>
      </c>
      <c r="BJ127" s="59">
        <f t="shared" si="92"/>
        <v>365.95065044620048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61.844054516912848</v>
      </c>
      <c r="BQ127" s="21">
        <f>EXP(-LN(2)/25)*BQ126+(1-EXP(-LN(2)/25))/(LN(2)/25)*Calculateur!BL127*Calculateur!BN127*VLOOKUP('Données projet'!$B$11,Paramètres!$A$1:$I$89,3,0)*0.475*44/12</f>
        <v>8.8238537510594757</v>
      </c>
      <c r="BR127" s="21">
        <f>EXP(-LN(2)/2)*BR126+(1-EXP(-LN(2)/2))/(LN(2)/2)*BL127*BO127*VLOOKUP('Données projet'!$B$11,Paramètres!$A$1:$I$89,3,0)*0.475*44/12</f>
        <v>1.1189393171535122E-8</v>
      </c>
      <c r="BS127" s="22">
        <f t="shared" si="63"/>
        <v>70.667908279161722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-1.5961632016114892E-13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259.87681411271632</v>
      </c>
      <c r="CE127" s="59">
        <f t="shared" si="94"/>
        <v>191.8684235641158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147.81145337306299</v>
      </c>
      <c r="CL127" s="21">
        <f>EXP(-LN(2)/25)*CL126+(1-EXP(-LN(2)/25))/(LN(2)/25)*Calculateur!CG127*Calculateur!CI127*VLOOKUP('Données projet'!$B$12,Paramètres!$A$1:$I$89,3,0)*0.475*44/12</f>
        <v>28.159741474925809</v>
      </c>
      <c r="CM127" s="21">
        <f>EXP(-LN(2)/2)*CM126+(1-EXP(-LN(2)/2))/(LN(2)/2)*CG127*CJ127*VLOOKUP('Données projet'!$B$12,Paramètres!$A$1:$I$89,3,0)*0.475*44/12</f>
        <v>1.1468852660912219E-2</v>
      </c>
      <c r="CN127" s="22">
        <f t="shared" si="66"/>
        <v>175.98266370064971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1.7053025658242404E-13</v>
      </c>
      <c r="CU127" s="17">
        <f>CT127*VLOOKUP('Données projet'!$B$13,Paramètres!$A$1:$I$89,3,0)*VLOOKUP('Données projet'!$B$13,Paramètres!$A$1:$I$89,5,0)</f>
        <v>7.9808160080574461E-14</v>
      </c>
      <c r="CV127" s="13">
        <f t="shared" si="95"/>
        <v>1.2308384591775343E-12</v>
      </c>
      <c r="CW127" s="20">
        <f t="shared" si="67"/>
        <v>2.282709528541206E-12</v>
      </c>
      <c r="CX127" s="59">
        <f t="shared" si="68"/>
        <v>293.33333333333559</v>
      </c>
      <c r="CY127" s="59">
        <f ca="1">AVERAGE(OFFSET($CX$3,0,0,'Données projet'!$E$13+1,1))-AVERAGE(OFFSET($H$3,0,0,'Données projet'!$E$13+1,1))</f>
        <v>137.59122085719031</v>
      </c>
      <c r="CZ127" s="59">
        <f t="shared" si="96"/>
        <v>130.1134470448718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78.778395396867666</v>
      </c>
      <c r="DG127" s="21">
        <f>EXP(-LN(2)/25)*DG126+(1-EXP(-LN(2)/25))/(LN(2)/25)*Calculateur!DB127*Calculateur!DD127*VLOOKUP('Données projet'!$B$13,Paramètres!$A$1:$I$89,3,0)*0.475*44/12</f>
        <v>14.745081663252696</v>
      </c>
      <c r="DH127" s="21">
        <f>EXP(-LN(2)/2)*DH126+(1-EXP(-LN(2)/2))/(LN(2)/2)*DB127*DE127*VLOOKUP('Données projet'!$B$13,Paramètres!$A$1:$I$89,3,0)*0.475*44/12</f>
        <v>5.9111827286693992E-3</v>
      </c>
      <c r="DI127" s="22">
        <f t="shared" si="69"/>
        <v>93.529388242849024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6.083333333333333</v>
      </c>
      <c r="DO127" s="12">
        <f>IF('Données projet'!$A$166&gt;35,DO126+DN127-DW126,IF(A127&lt;'Données projet'!$A$166,$DL$205^A127,IF(A127='Données projet'!$A$166,'Données projet'!$B$166,DO126+DN127-DW126)))</f>
        <v>306.58333333333331</v>
      </c>
      <c r="DP127" s="17">
        <f>DO127*VLOOKUP('Données projet'!$B$14,Paramètres!$A$1:$I$89,3,0)*VLOOKUP('Données projet'!$B$14,Paramètres!$A$1:$I$89,5,0)</f>
        <v>310.87549999999999</v>
      </c>
      <c r="DQ127" s="13">
        <f t="shared" si="97"/>
        <v>73.451639396245227</v>
      </c>
      <c r="DR127" s="20">
        <f t="shared" si="70"/>
        <v>669.36976778179371</v>
      </c>
      <c r="DS127" s="59">
        <f t="shared" si="71"/>
        <v>962.70310111512708</v>
      </c>
      <c r="DT127" s="59">
        <f ca="1">AVERAGE(OFFSET($DS$3,0,0,'Données projet'!$E$14+1,1))-AVERAGE(OFFSET($H$3,0,0,'Données projet'!$E$14+1,1))</f>
        <v>313.90901812281373</v>
      </c>
      <c r="DU127" s="59">
        <f t="shared" si="98"/>
        <v>210.54265725995265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68.354877698050231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68.354877698050231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-5.6843418860808015E-14</v>
      </c>
      <c r="EK127" s="17">
        <f>EJ127*VLOOKUP('Données projet'!$B$15,Paramètres!$A$1:$I$89,3,0)*VLOOKUP('Données projet'!$B$15,Paramètres!$A$1:$I$89,5,0)</f>
        <v>-4.5224624045658861E-14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316.52407313312403</v>
      </c>
      <c r="EP127" s="59">
        <f t="shared" si="100"/>
        <v>340.55949748167382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60.730097309419016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60.730097309419016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-5.6843418860808015E-14</v>
      </c>
      <c r="FF127" s="17">
        <f>FE127*VLOOKUP('Données projet'!$B$16,Paramètres!$A$1:$I$89,3,0)*VLOOKUP('Données projet'!$B$16,Paramètres!$A$1:$I$89,5,0)</f>
        <v>-3.7243808037601412E-14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199.99826357281154</v>
      </c>
      <c r="FK127" s="59">
        <f t="shared" si="102"/>
        <v>214.67424457475136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26.2627394857473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26.2627394857473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284.60021367910457</v>
      </c>
      <c r="T128" s="59">
        <f t="shared" si="88"/>
        <v>301.41905904220812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61.35766609588174</v>
      </c>
      <c r="AA128" s="21">
        <f>EXP(-LN(2)/25)*AA127+(1-EXP(-LN(2)/25))/(LN(2)/25)*Calculateur!V128*Calculateur!X128*VLOOKUP('Données projet'!$B$9,Paramètres!$A$1:$I$89,3,0)*0.475*44/12</f>
        <v>8.8367857571185553</v>
      </c>
      <c r="AB128" s="21">
        <f>EXP(-LN(2)/2)*AB127+(1-EXP(-LN(2)/2))/(LN(2)/2)*V128*Y128*VLOOKUP('Données projet'!$B$9,Paramètres!$A$1:$I$89,3,0)*0.475*44/12</f>
        <v>4.6818744674590845E-8</v>
      </c>
      <c r="AC128" s="22">
        <f t="shared" si="57"/>
        <v>70.194451899819029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294.45857786714919</v>
      </c>
      <c r="AO128" s="59">
        <f t="shared" si="90"/>
        <v>221.9773436301067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84.657507448556274</v>
      </c>
      <c r="AV128" s="21">
        <f>EXP(-LN(2)/25)*AV127+(1-EXP(-LN(2)/25))/(LN(2)/25)*Calculateur!AQ128*Calculateur!AS128*VLOOKUP('Données projet'!$B$10,Paramètres!$A$1:$I$89,3,0)*0.475*44/12</f>
        <v>13.790976655286594</v>
      </c>
      <c r="AW128" s="21">
        <f>EXP(-LN(2)/2)*AW127+(1-EXP(-LN(2)/2))/(LN(2)/2)*AQ128*AT128*VLOOKUP('Données projet'!$B$10,Paramètres!$A$1:$I$89,3,0)*0.475*44/12</f>
        <v>1.7164270601636043E-5</v>
      </c>
      <c r="AX128" s="21">
        <f t="shared" si="60"/>
        <v>98.448501268113475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6.3550942286383367E-14</v>
      </c>
      <c r="BF128" s="13">
        <f t="shared" si="91"/>
        <v>1.0064464192543978E-12</v>
      </c>
      <c r="BG128" s="20">
        <f t="shared" si="61"/>
        <v>1.8635787380168604E-12</v>
      </c>
      <c r="BH128" s="59">
        <f t="shared" si="62"/>
        <v>293.33333333333519</v>
      </c>
      <c r="BI128" s="59">
        <f ca="1">AVERAGE(OFFSET($BH$3,0,0,'Données projet'!$E$11+1,1))-AVERAGE(OFFSET($H$3,0,0,'Données projet'!$E$11+1,1))</f>
        <v>304.91676868833792</v>
      </c>
      <c r="BJ128" s="59">
        <f t="shared" si="92"/>
        <v>365.95065044620048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60.631330328984788</v>
      </c>
      <c r="BQ128" s="21">
        <f>EXP(-LN(2)/25)*BQ127+(1-EXP(-LN(2)/25))/(LN(2)/25)*Calculateur!BL128*Calculateur!BN128*VLOOKUP('Données projet'!$B$11,Paramètres!$A$1:$I$89,3,0)*0.475*44/12</f>
        <v>8.5825650062104533</v>
      </c>
      <c r="BR128" s="21">
        <f>EXP(-LN(2)/2)*BR127+(1-EXP(-LN(2)/2))/(LN(2)/2)*BL128*BO128*VLOOKUP('Données projet'!$B$11,Paramètres!$A$1:$I$89,3,0)*0.475*44/12</f>
        <v>7.9120957889549343E-9</v>
      </c>
      <c r="BS128" s="22">
        <f t="shared" si="63"/>
        <v>69.213895343107339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-1.5961632016114892E-13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259.87681411271632</v>
      </c>
      <c r="CE128" s="59">
        <f t="shared" si="94"/>
        <v>191.8684235641158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144.9129609285016</v>
      </c>
      <c r="CL128" s="21">
        <f>EXP(-LN(2)/25)*CL127+(1-EXP(-LN(2)/25))/(LN(2)/25)*Calculateur!CG128*Calculateur!CI128*VLOOKUP('Données projet'!$B$12,Paramètres!$A$1:$I$89,3,0)*0.475*44/12</f>
        <v>27.389711863437519</v>
      </c>
      <c r="CM128" s="21">
        <f>EXP(-LN(2)/2)*CM127+(1-EXP(-LN(2)/2))/(LN(2)/2)*CG128*CJ128*VLOOKUP('Données projet'!$B$12,Paramètres!$A$1:$I$89,3,0)*0.475*44/12</f>
        <v>8.1097034889604097E-3</v>
      </c>
      <c r="CN128" s="22">
        <f t="shared" si="66"/>
        <v>172.3107824954281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1.7053025658242404E-13</v>
      </c>
      <c r="CU128" s="17">
        <f>CT128*VLOOKUP('Données projet'!$B$13,Paramètres!$A$1:$I$89,3,0)*VLOOKUP('Données projet'!$B$13,Paramètres!$A$1:$I$89,5,0)</f>
        <v>7.9808160080574461E-14</v>
      </c>
      <c r="CV128" s="13">
        <f t="shared" si="95"/>
        <v>1.2308384591775343E-12</v>
      </c>
      <c r="CW128" s="20">
        <f t="shared" si="67"/>
        <v>2.282709528541206E-12</v>
      </c>
      <c r="CX128" s="59">
        <f t="shared" si="68"/>
        <v>293.33333333333559</v>
      </c>
      <c r="CY128" s="59">
        <f ca="1">AVERAGE(OFFSET($CX$3,0,0,'Données projet'!$E$13+1,1))-AVERAGE(OFFSET($H$3,0,0,'Données projet'!$E$13+1,1))</f>
        <v>137.59122085719031</v>
      </c>
      <c r="CZ128" s="59">
        <f t="shared" si="96"/>
        <v>130.1134470448718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77.233599113211739</v>
      </c>
      <c r="DG128" s="21">
        <f>EXP(-LN(2)/25)*DG127+(1-EXP(-LN(2)/25))/(LN(2)/25)*Calculateur!DB128*Calculateur!DD128*VLOOKUP('Données projet'!$B$13,Paramètres!$A$1:$I$89,3,0)*0.475*44/12</f>
        <v>14.341876629760907</v>
      </c>
      <c r="DH128" s="21">
        <f>EXP(-LN(2)/2)*DH127+(1-EXP(-LN(2)/2))/(LN(2)/2)*DB128*DE128*VLOOKUP('Données projet'!$B$13,Paramètres!$A$1:$I$89,3,0)*0.475*44/12</f>
        <v>4.1798373922749318E-3</v>
      </c>
      <c r="DI128" s="22">
        <f t="shared" si="69"/>
        <v>91.579655580364914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6.083333333333333</v>
      </c>
      <c r="DO128" s="12">
        <f>IF('Données projet'!$A$166&gt;35,DO127+DN128-DW127,IF(A128&lt;'Données projet'!$A$166,$DL$205^A128,IF(A128='Données projet'!$A$166,'Données projet'!$B$166,DO127+DN128-DW127)))</f>
        <v>312.66666666666663</v>
      </c>
      <c r="DP128" s="17">
        <f>DO128*VLOOKUP('Données projet'!$B$14,Paramètres!$A$1:$I$89,3,0)*VLOOKUP('Données projet'!$B$14,Paramètres!$A$1:$I$89,5,0)</f>
        <v>317.04399999999998</v>
      </c>
      <c r="DQ128" s="13">
        <f t="shared" si="97"/>
        <v>74.737968566360848</v>
      </c>
      <c r="DR128" s="20">
        <f t="shared" si="70"/>
        <v>682.35359525307842</v>
      </c>
      <c r="DS128" s="59">
        <f t="shared" si="71"/>
        <v>975.6869285864118</v>
      </c>
      <c r="DT128" s="59">
        <f ca="1">AVERAGE(OFFSET($DS$3,0,0,'Données projet'!$E$14+1,1))-AVERAGE(OFFSET($H$3,0,0,'Données projet'!$E$14+1,1))</f>
        <v>313.90901812281373</v>
      </c>
      <c r="DU128" s="59">
        <f t="shared" si="98"/>
        <v>210.54265725995265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67.014480238750082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67.014480238750082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-5.6843418860808015E-14</v>
      </c>
      <c r="EK128" s="17">
        <f>EJ128*VLOOKUP('Données projet'!$B$15,Paramètres!$A$1:$I$89,3,0)*VLOOKUP('Données projet'!$B$15,Paramètres!$A$1:$I$89,5,0)</f>
        <v>-4.5224624045658861E-14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316.52407313312403</v>
      </c>
      <c r="EP128" s="59">
        <f t="shared" si="100"/>
        <v>340.55949748167382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59.539217142883103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59.539217142883103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-5.6843418860808015E-14</v>
      </c>
      <c r="FF128" s="17">
        <f>FE128*VLOOKUP('Données projet'!$B$16,Paramètres!$A$1:$I$89,3,0)*VLOOKUP('Données projet'!$B$16,Paramètres!$A$1:$I$89,5,0)</f>
        <v>-3.7243808037601412E-14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199.99826357281154</v>
      </c>
      <c r="FK128" s="59">
        <f t="shared" si="102"/>
        <v>214.67424457475136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25.747743183121166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25.747743183121166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284.60021367910457</v>
      </c>
      <c r="T129" s="59">
        <f t="shared" si="88"/>
        <v>301.41905904220812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60.154479688222459</v>
      </c>
      <c r="AA129" s="21">
        <f>EXP(-LN(2)/25)*AA128+(1-EXP(-LN(2)/25))/(LN(2)/25)*Calculateur!V129*Calculateur!X129*VLOOKUP('Données projet'!$B$9,Paramètres!$A$1:$I$89,3,0)*0.475*44/12</f>
        <v>8.595143385883782</v>
      </c>
      <c r="AB129" s="21">
        <f>EXP(-LN(2)/2)*AB128+(1-EXP(-LN(2)/2))/(LN(2)/2)*V129*Y129*VLOOKUP('Données projet'!$B$9,Paramètres!$A$1:$I$89,3,0)*0.475*44/12</f>
        <v>3.3105851846044745E-8</v>
      </c>
      <c r="AC129" s="22">
        <f t="shared" si="57"/>
        <v>68.749623107212088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294.45857786714919</v>
      </c>
      <c r="AO129" s="59">
        <f t="shared" si="90"/>
        <v>221.9773436301067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82.997425363470995</v>
      </c>
      <c r="AV129" s="21">
        <f>EXP(-LN(2)/25)*AV128+(1-EXP(-LN(2)/25))/(LN(2)/25)*Calculateur!AQ129*Calculateur!AS129*VLOOKUP('Données projet'!$B$10,Paramètres!$A$1:$I$89,3,0)*0.475*44/12</f>
        <v>13.413861673411839</v>
      </c>
      <c r="AW129" s="21">
        <f>EXP(-LN(2)/2)*AW128+(1-EXP(-LN(2)/2))/(LN(2)/2)*AQ129*AT129*VLOOKUP('Données projet'!$B$10,Paramètres!$A$1:$I$89,3,0)*0.475*44/12</f>
        <v>1.2136972136537748E-5</v>
      </c>
      <c r="AX129" s="21">
        <f t="shared" si="60"/>
        <v>96.411299173854971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6.3550942286383367E-14</v>
      </c>
      <c r="BF129" s="13">
        <f t="shared" si="91"/>
        <v>1.0064464192543978E-12</v>
      </c>
      <c r="BG129" s="20">
        <f t="shared" si="61"/>
        <v>1.8635787380168604E-12</v>
      </c>
      <c r="BH129" s="59">
        <f t="shared" si="62"/>
        <v>293.33333333333519</v>
      </c>
      <c r="BI129" s="59">
        <f ca="1">AVERAGE(OFFSET($BH$3,0,0,'Données projet'!$E$11+1,1))-AVERAGE(OFFSET($H$3,0,0,'Données projet'!$E$11+1,1))</f>
        <v>304.91676868833792</v>
      </c>
      <c r="BJ129" s="59">
        <f t="shared" si="92"/>
        <v>365.95065044620048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59.442386922693281</v>
      </c>
      <c r="BQ129" s="21">
        <f>EXP(-LN(2)/25)*BQ128+(1-EXP(-LN(2)/25))/(LN(2)/25)*Calculateur!BL129*Calculateur!BN129*VLOOKUP('Données projet'!$B$11,Paramètres!$A$1:$I$89,3,0)*0.475*44/12</f>
        <v>8.3478743147781511</v>
      </c>
      <c r="BR129" s="21">
        <f>EXP(-LN(2)/2)*BR128+(1-EXP(-LN(2)/2))/(LN(2)/2)*BL129*BO129*VLOOKUP('Données projet'!$B$11,Paramètres!$A$1:$I$89,3,0)*0.475*44/12</f>
        <v>5.5946965857675609E-9</v>
      </c>
      <c r="BS129" s="22">
        <f t="shared" si="63"/>
        <v>67.790261243066126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-1.5961632016114892E-13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259.87681411271632</v>
      </c>
      <c r="CE129" s="59">
        <f t="shared" si="94"/>
        <v>191.8684235641158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142.07130615287224</v>
      </c>
      <c r="CL129" s="21">
        <f>EXP(-LN(2)/25)*CL128+(1-EXP(-LN(2)/25))/(LN(2)/25)*Calculateur!CG129*Calculateur!CI129*VLOOKUP('Données projet'!$B$12,Paramètres!$A$1:$I$89,3,0)*0.475*44/12</f>
        <v>26.640738752169472</v>
      </c>
      <c r="CM129" s="21">
        <f>EXP(-LN(2)/2)*CM128+(1-EXP(-LN(2)/2))/(LN(2)/2)*CG129*CJ129*VLOOKUP('Données projet'!$B$12,Paramètres!$A$1:$I$89,3,0)*0.475*44/12</f>
        <v>5.7344263304561095E-3</v>
      </c>
      <c r="CN129" s="22">
        <f t="shared" si="66"/>
        <v>168.71777933137218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1.7053025658242404E-13</v>
      </c>
      <c r="CU129" s="17">
        <f>CT129*VLOOKUP('Données projet'!$B$13,Paramètres!$A$1:$I$89,3,0)*VLOOKUP('Données projet'!$B$13,Paramètres!$A$1:$I$89,5,0)</f>
        <v>7.9808160080574461E-14</v>
      </c>
      <c r="CV129" s="13">
        <f t="shared" si="95"/>
        <v>1.2308384591775343E-12</v>
      </c>
      <c r="CW129" s="20">
        <f t="shared" si="67"/>
        <v>2.282709528541206E-12</v>
      </c>
      <c r="CX129" s="59">
        <f t="shared" si="68"/>
        <v>293.33333333333559</v>
      </c>
      <c r="CY129" s="59">
        <f ca="1">AVERAGE(OFFSET($CX$3,0,0,'Données projet'!$E$13+1,1))-AVERAGE(OFFSET($H$3,0,0,'Données projet'!$E$13+1,1))</f>
        <v>137.59122085719031</v>
      </c>
      <c r="CZ129" s="59">
        <f t="shared" si="96"/>
        <v>130.1134470448718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75.719095342445598</v>
      </c>
      <c r="DG129" s="21">
        <f>EXP(-LN(2)/25)*DG128+(1-EXP(-LN(2)/25))/(LN(2)/25)*Calculateur!DB129*Calculateur!DD129*VLOOKUP('Données projet'!$B$13,Paramètres!$A$1:$I$89,3,0)*0.475*44/12</f>
        <v>13.949697259113583</v>
      </c>
      <c r="DH129" s="21">
        <f>EXP(-LN(2)/2)*DH128+(1-EXP(-LN(2)/2))/(LN(2)/2)*DB129*DE129*VLOOKUP('Données projet'!$B$13,Paramètres!$A$1:$I$89,3,0)*0.475*44/12</f>
        <v>2.9555913643346996E-3</v>
      </c>
      <c r="DI129" s="22">
        <f t="shared" si="69"/>
        <v>89.671748192923516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6.083333333333333</v>
      </c>
      <c r="DO129" s="12">
        <f>IF('Données projet'!$A$166&gt;35,DO128+DN129-DW128,IF(A129&lt;'Données projet'!$A$166,$DL$205^A129,IF(A129='Données projet'!$A$166,'Données projet'!$B$166,DO128+DN129-DW128)))</f>
        <v>318.74999999999994</v>
      </c>
      <c r="DP129" s="17">
        <f>DO129*VLOOKUP('Données projet'!$B$14,Paramètres!$A$1:$I$89,3,0)*VLOOKUP('Données projet'!$B$14,Paramètres!$A$1:$I$89,5,0)</f>
        <v>323.21249999999998</v>
      </c>
      <c r="DQ129" s="13">
        <f t="shared" si="97"/>
        <v>76.021387673340371</v>
      </c>
      <c r="DR129" s="20">
        <f t="shared" si="70"/>
        <v>695.33235436440111</v>
      </c>
      <c r="DS129" s="59">
        <f t="shared" si="71"/>
        <v>988.66568769773448</v>
      </c>
      <c r="DT129" s="59">
        <f ca="1">AVERAGE(OFFSET($DS$3,0,0,'Données projet'!$E$14+1,1))-AVERAGE(OFFSET($H$3,0,0,'Données projet'!$E$14+1,1))</f>
        <v>313.90901812281373</v>
      </c>
      <c r="DU129" s="59">
        <f t="shared" si="98"/>
        <v>210.54265725995265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65.700367156065084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65.700367156065084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-5.6843418860808015E-14</v>
      </c>
      <c r="EK129" s="17">
        <f>EJ129*VLOOKUP('Données projet'!$B$15,Paramètres!$A$1:$I$89,3,0)*VLOOKUP('Données projet'!$B$15,Paramètres!$A$1:$I$89,5,0)</f>
        <v>-4.5224624045658861E-14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316.52407313312403</v>
      </c>
      <c r="EP129" s="59">
        <f t="shared" si="100"/>
        <v>340.55949748167382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58.371689410047779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58.371689410047779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-5.6843418860808015E-14</v>
      </c>
      <c r="FF129" s="17">
        <f>FE129*VLOOKUP('Données projet'!$B$16,Paramètres!$A$1:$I$89,3,0)*VLOOKUP('Données projet'!$B$16,Paramètres!$A$1:$I$89,5,0)</f>
        <v>-3.7243808037601412E-14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199.99826357281154</v>
      </c>
      <c r="FK129" s="59">
        <f t="shared" si="102"/>
        <v>214.67424457475136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25.242845643872805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25.242845643872805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284.60021367910457</v>
      </c>
      <c r="T130" s="59">
        <f t="shared" si="88"/>
        <v>301.41905904220812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58.974887032146128</v>
      </c>
      <c r="AA130" s="21">
        <f>EXP(-LN(2)/25)*AA129+(1-EXP(-LN(2)/25))/(LN(2)/25)*Calculateur!V130*Calculateur!X130*VLOOKUP('Données projet'!$B$9,Paramètres!$A$1:$I$89,3,0)*0.475*44/12</f>
        <v>8.3601087379978445</v>
      </c>
      <c r="AB130" s="21">
        <f>EXP(-LN(2)/2)*AB129+(1-EXP(-LN(2)/2))/(LN(2)/2)*V130*Y130*VLOOKUP('Données projet'!$B$9,Paramètres!$A$1:$I$89,3,0)*0.475*44/12</f>
        <v>2.3409372337295422E-8</v>
      </c>
      <c r="AC130" s="22">
        <f t="shared" si="57"/>
        <v>67.334995793553347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294.45857786714919</v>
      </c>
      <c r="AO130" s="59">
        <f t="shared" si="90"/>
        <v>221.9773436301067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81.369896475524158</v>
      </c>
      <c r="AV130" s="21">
        <f>EXP(-LN(2)/25)*AV129+(1-EXP(-LN(2)/25))/(LN(2)/25)*Calculateur!AQ130*Calculateur!AS130*VLOOKUP('Données projet'!$B$10,Paramètres!$A$1:$I$89,3,0)*0.475*44/12</f>
        <v>13.047058920548064</v>
      </c>
      <c r="AW130" s="21">
        <f>EXP(-LN(2)/2)*AW129+(1-EXP(-LN(2)/2))/(LN(2)/2)*AQ130*AT130*VLOOKUP('Données projet'!$B$10,Paramètres!$A$1:$I$89,3,0)*0.475*44/12</f>
        <v>8.5821353008180213E-6</v>
      </c>
      <c r="AX130" s="21">
        <f t="shared" si="60"/>
        <v>94.416963978207519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6.3550942286383367E-14</v>
      </c>
      <c r="BF130" s="13">
        <f t="shared" si="91"/>
        <v>1.0064464192543978E-12</v>
      </c>
      <c r="BG130" s="20">
        <f t="shared" si="61"/>
        <v>1.8635787380168604E-12</v>
      </c>
      <c r="BH130" s="59">
        <f t="shared" si="62"/>
        <v>293.33333333333519</v>
      </c>
      <c r="BI130" s="59">
        <f ca="1">AVERAGE(OFFSET($BH$3,0,0,'Données projet'!$E$11+1,1))-AVERAGE(OFFSET($H$3,0,0,'Données projet'!$E$11+1,1))</f>
        <v>304.91676868833792</v>
      </c>
      <c r="BJ130" s="59">
        <f t="shared" si="92"/>
        <v>365.95065044620048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58.276757971415279</v>
      </c>
      <c r="BQ130" s="21">
        <f>EXP(-LN(2)/25)*BQ129+(1-EXP(-LN(2)/25))/(LN(2)/25)*Calculateur!BL130*Calculateur!BN130*VLOOKUP('Données projet'!$B$11,Paramètres!$A$1:$I$89,3,0)*0.475*44/12</f>
        <v>8.1196012526449124</v>
      </c>
      <c r="BR130" s="21">
        <f>EXP(-LN(2)/2)*BR129+(1-EXP(-LN(2)/2))/(LN(2)/2)*BL130*BO130*VLOOKUP('Données projet'!$B$11,Paramètres!$A$1:$I$89,3,0)*0.475*44/12</f>
        <v>3.9560478944774671E-9</v>
      </c>
      <c r="BS130" s="22">
        <f t="shared" si="63"/>
        <v>66.396359228016237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-1.5961632016114892E-13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259.87681411271632</v>
      </c>
      <c r="CE130" s="59">
        <f t="shared" si="94"/>
        <v>191.8684235641158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139.28537449415469</v>
      </c>
      <c r="CL130" s="21">
        <f>EXP(-LN(2)/25)*CL129+(1-EXP(-LN(2)/25))/(LN(2)/25)*Calculateur!CG130*Calculateur!CI130*VLOOKUP('Données projet'!$B$12,Paramètres!$A$1:$I$89,3,0)*0.475*44/12</f>
        <v>25.912246350015835</v>
      </c>
      <c r="CM130" s="21">
        <f>EXP(-LN(2)/2)*CM129+(1-EXP(-LN(2)/2))/(LN(2)/2)*CG130*CJ130*VLOOKUP('Données projet'!$B$12,Paramètres!$A$1:$I$89,3,0)*0.475*44/12</f>
        <v>4.0548517444802049E-3</v>
      </c>
      <c r="CN130" s="22">
        <f t="shared" si="66"/>
        <v>165.20167569591501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1.7053025658242404E-13</v>
      </c>
      <c r="CU130" s="17">
        <f>CT130*VLOOKUP('Données projet'!$B$13,Paramètres!$A$1:$I$89,3,0)*VLOOKUP('Données projet'!$B$13,Paramètres!$A$1:$I$89,5,0)</f>
        <v>7.9808160080574461E-14</v>
      </c>
      <c r="CV130" s="13">
        <f t="shared" si="95"/>
        <v>1.2308384591775343E-12</v>
      </c>
      <c r="CW130" s="20">
        <f t="shared" si="67"/>
        <v>2.282709528541206E-12</v>
      </c>
      <c r="CX130" s="59">
        <f t="shared" si="68"/>
        <v>293.33333333333559</v>
      </c>
      <c r="CY130" s="59">
        <f ca="1">AVERAGE(OFFSET($CX$3,0,0,'Données projet'!$E$13+1,1))-AVERAGE(OFFSET($H$3,0,0,'Données projet'!$E$13+1,1))</f>
        <v>137.59122085719031</v>
      </c>
      <c r="CZ130" s="59">
        <f t="shared" si="96"/>
        <v>130.1134470448718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74.234290066868098</v>
      </c>
      <c r="DG130" s="21">
        <f>EXP(-LN(2)/25)*DG129+(1-EXP(-LN(2)/25))/(LN(2)/25)*Calculateur!DB130*Calculateur!DD130*VLOOKUP('Données projet'!$B$13,Paramètres!$A$1:$I$89,3,0)*0.475*44/12</f>
        <v>13.568242053980425</v>
      </c>
      <c r="DH130" s="21">
        <f>EXP(-LN(2)/2)*DH129+(1-EXP(-LN(2)/2))/(LN(2)/2)*DB130*DE130*VLOOKUP('Données projet'!$B$13,Paramètres!$A$1:$I$89,3,0)*0.475*44/12</f>
        <v>2.0899186961374659E-3</v>
      </c>
      <c r="DI130" s="22">
        <f t="shared" si="69"/>
        <v>87.804622039544668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6.083333333333333</v>
      </c>
      <c r="DO130" s="12">
        <f>IF('Données projet'!$A$166&gt;35,DO129+DN130-DW129,IF(A130&lt;'Données projet'!$A$166,$DL$205^A130,IF(A130='Données projet'!$A$166,'Données projet'!$B$166,DO129+DN130-DW129)))</f>
        <v>324.83333333333326</v>
      </c>
      <c r="DP130" s="17">
        <f>DO130*VLOOKUP('Données projet'!$B$14,Paramètres!$A$1:$I$89,3,0)*VLOOKUP('Données projet'!$B$14,Paramètres!$A$1:$I$89,5,0)</f>
        <v>329.38099999999991</v>
      </c>
      <c r="DQ130" s="13">
        <f t="shared" si="97"/>
        <v>77.301958659087447</v>
      </c>
      <c r="DR130" s="20">
        <f t="shared" si="70"/>
        <v>708.30615299791043</v>
      </c>
      <c r="DS130" s="59">
        <f t="shared" si="71"/>
        <v>1001.6394863312437</v>
      </c>
      <c r="DT130" s="59">
        <f ca="1">AVERAGE(OFFSET($DS$3,0,0,'Données projet'!$E$14+1,1))-AVERAGE(OFFSET($H$3,0,0,'Données projet'!$E$14+1,1))</f>
        <v>313.90901812281373</v>
      </c>
      <c r="DU130" s="59">
        <f t="shared" si="98"/>
        <v>210.54265725995265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64.412023029401709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64.412023029401709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-5.6843418860808015E-14</v>
      </c>
      <c r="EK130" s="17">
        <f>EJ130*VLOOKUP('Données projet'!$B$15,Paramètres!$A$1:$I$89,3,0)*VLOOKUP('Données projet'!$B$15,Paramètres!$A$1:$I$89,5,0)</f>
        <v>-4.5224624045658861E-14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316.52407313312403</v>
      </c>
      <c r="EP130" s="59">
        <f t="shared" si="100"/>
        <v>340.55949748167382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57.227056183931758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57.227056183931758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-5.6843418860808015E-14</v>
      </c>
      <c r="FF130" s="17">
        <f>FE130*VLOOKUP('Données projet'!$B$16,Paramètres!$A$1:$I$89,3,0)*VLOOKUP('Données projet'!$B$16,Paramètres!$A$1:$I$89,5,0)</f>
        <v>-3.7243808037601412E-14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199.99826357281154</v>
      </c>
      <c r="FK130" s="59">
        <f t="shared" si="102"/>
        <v>214.67424457475136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24.747848837412011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24.747848837412011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284.60021367910457</v>
      </c>
      <c r="T131" s="59">
        <f t="shared" si="88"/>
        <v>301.41905904220812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57.818425468574979</v>
      </c>
      <c r="AA131" s="21">
        <f>EXP(-LN(2)/25)*AA130+(1-EXP(-LN(2)/25))/(LN(2)/25)*Calculateur!V131*Calculateur!X131*VLOOKUP('Données projet'!$B$9,Paramètres!$A$1:$I$89,3,0)*0.475*44/12</f>
        <v>8.131501124918282</v>
      </c>
      <c r="AB131" s="21">
        <f>EXP(-LN(2)/2)*AB130+(1-EXP(-LN(2)/2))/(LN(2)/2)*V131*Y131*VLOOKUP('Données projet'!$B$9,Paramètres!$A$1:$I$89,3,0)*0.475*44/12</f>
        <v>1.6552925923022373E-8</v>
      </c>
      <c r="AC131" s="22">
        <f t="shared" si="57"/>
        <v>65.949926610046191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294.45857786714919</v>
      </c>
      <c r="AO131" s="59">
        <f t="shared" si="90"/>
        <v>221.9773436301067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79.774282436375344</v>
      </c>
      <c r="AV131" s="21">
        <f>EXP(-LN(2)/25)*AV130+(1-EXP(-LN(2)/25))/(LN(2)/25)*Calculateur!AQ131*Calculateur!AS131*VLOOKUP('Données projet'!$B$10,Paramètres!$A$1:$I$89,3,0)*0.475*44/12</f>
        <v>12.690286408250667</v>
      </c>
      <c r="AW131" s="21">
        <f>EXP(-LN(2)/2)*AW130+(1-EXP(-LN(2)/2))/(LN(2)/2)*AQ131*AT131*VLOOKUP('Données projet'!$B$10,Paramètres!$A$1:$I$89,3,0)*0.475*44/12</f>
        <v>6.068486068268874E-6</v>
      </c>
      <c r="AX131" s="21">
        <f t="shared" si="60"/>
        <v>92.464574913112088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6.3550942286383367E-14</v>
      </c>
      <c r="BF131" s="13">
        <f t="shared" si="91"/>
        <v>1.0064464192543978E-12</v>
      </c>
      <c r="BG131" s="20">
        <f t="shared" si="61"/>
        <v>1.8635787380168604E-12</v>
      </c>
      <c r="BH131" s="59">
        <f t="shared" si="62"/>
        <v>293.33333333333519</v>
      </c>
      <c r="BI131" s="59">
        <f ca="1">AVERAGE(OFFSET($BH$3,0,0,'Données projet'!$E$11+1,1))-AVERAGE(OFFSET($H$3,0,0,'Données projet'!$E$11+1,1))</f>
        <v>304.91676868833792</v>
      </c>
      <c r="BJ131" s="59">
        <f t="shared" si="92"/>
        <v>365.95065044620048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57.133986292908382</v>
      </c>
      <c r="BQ131" s="21">
        <f>EXP(-LN(2)/25)*BQ130+(1-EXP(-LN(2)/25))/(LN(2)/25)*Calculateur!BL131*Calculateur!BN131*VLOOKUP('Données projet'!$B$11,Paramètres!$A$1:$I$89,3,0)*0.475*44/12</f>
        <v>7.8975703294000654</v>
      </c>
      <c r="BR131" s="21">
        <f>EXP(-LN(2)/2)*BR130+(1-EXP(-LN(2)/2))/(LN(2)/2)*BL131*BO131*VLOOKUP('Données projet'!$B$11,Paramètres!$A$1:$I$89,3,0)*0.475*44/12</f>
        <v>2.7973482928837804E-9</v>
      </c>
      <c r="BS131" s="22">
        <f t="shared" si="63"/>
        <v>65.031556625105793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-1.5961632016114892E-13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259.87681411271632</v>
      </c>
      <c r="CE131" s="59">
        <f t="shared" si="94"/>
        <v>191.8684235641158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136.55407325601408</v>
      </c>
      <c r="CL131" s="21">
        <f>EXP(-LN(2)/25)*CL130+(1-EXP(-LN(2)/25))/(LN(2)/25)*Calculateur!CG131*Calculateur!CI131*VLOOKUP('Données projet'!$B$12,Paramètres!$A$1:$I$89,3,0)*0.475*44/12</f>
        <v>25.203674610908838</v>
      </c>
      <c r="CM131" s="21">
        <f>EXP(-LN(2)/2)*CM130+(1-EXP(-LN(2)/2))/(LN(2)/2)*CG131*CJ131*VLOOKUP('Données projet'!$B$12,Paramètres!$A$1:$I$89,3,0)*0.475*44/12</f>
        <v>2.8672131652280547E-3</v>
      </c>
      <c r="CN131" s="22">
        <f t="shared" si="66"/>
        <v>161.76061508008814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1.7053025658242404E-13</v>
      </c>
      <c r="CU131" s="17">
        <f>CT131*VLOOKUP('Données projet'!$B$13,Paramètres!$A$1:$I$89,3,0)*VLOOKUP('Données projet'!$B$13,Paramètres!$A$1:$I$89,5,0)</f>
        <v>7.9808160080574461E-14</v>
      </c>
      <c r="CV131" s="13">
        <f t="shared" si="95"/>
        <v>1.2308384591775343E-12</v>
      </c>
      <c r="CW131" s="20">
        <f t="shared" si="67"/>
        <v>2.282709528541206E-12</v>
      </c>
      <c r="CX131" s="59">
        <f t="shared" si="68"/>
        <v>293.33333333333559</v>
      </c>
      <c r="CY131" s="59">
        <f ca="1">AVERAGE(OFFSET($CX$3,0,0,'Données projet'!$E$13+1,1))-AVERAGE(OFFSET($H$3,0,0,'Données projet'!$E$13+1,1))</f>
        <v>137.59122085719031</v>
      </c>
      <c r="CZ131" s="59">
        <f t="shared" si="96"/>
        <v>130.1134470448718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72.778600917102878</v>
      </c>
      <c r="DG131" s="21">
        <f>EXP(-LN(2)/25)*DG130+(1-EXP(-LN(2)/25))/(LN(2)/25)*Calculateur!DB131*Calculateur!DD131*VLOOKUP('Données projet'!$B$13,Paramètres!$A$1:$I$89,3,0)*0.475*44/12</f>
        <v>13.197217761491492</v>
      </c>
      <c r="DH131" s="21">
        <f>EXP(-LN(2)/2)*DH130+(1-EXP(-LN(2)/2))/(LN(2)/2)*DB131*DE131*VLOOKUP('Données projet'!$B$13,Paramètres!$A$1:$I$89,3,0)*0.475*44/12</f>
        <v>1.4777956821673498E-3</v>
      </c>
      <c r="DI131" s="22">
        <f t="shared" si="69"/>
        <v>85.977296474276528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6.083333333333333</v>
      </c>
      <c r="DO131" s="12">
        <f>IF('Données projet'!$A$166&gt;35,DO130+DN131-DW130,IF(A131&lt;'Données projet'!$A$166,$DL$205^A131,IF(A131='Données projet'!$A$166,'Données projet'!$B$166,DO130+DN131-DW130)))</f>
        <v>330.91666666666657</v>
      </c>
      <c r="DP131" s="17">
        <f>DO131*VLOOKUP('Données projet'!$B$14,Paramètres!$A$1:$I$89,3,0)*VLOOKUP('Données projet'!$B$14,Paramètres!$A$1:$I$89,5,0)</f>
        <v>335.54949999999991</v>
      </c>
      <c r="DQ131" s="13">
        <f t="shared" si="97"/>
        <v>78.579741012683428</v>
      </c>
      <c r="DR131" s="20">
        <f t="shared" si="70"/>
        <v>721.27509476375678</v>
      </c>
      <c r="DS131" s="59">
        <f t="shared" si="71"/>
        <v>1014.6084280970902</v>
      </c>
      <c r="DT131" s="59">
        <f ca="1">AVERAGE(OFFSET($DS$3,0,0,'Données projet'!$E$14+1,1))-AVERAGE(OFFSET($H$3,0,0,'Données projet'!$E$14+1,1))</f>
        <v>313.90901812281373</v>
      </c>
      <c r="DU131" s="59">
        <f t="shared" si="98"/>
        <v>210.54265725995265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63.148942545249874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63.148942545249874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-5.6843418860808015E-14</v>
      </c>
      <c r="EK131" s="17">
        <f>EJ131*VLOOKUP('Données projet'!$B$15,Paramètres!$A$1:$I$89,3,0)*VLOOKUP('Données projet'!$B$15,Paramètres!$A$1:$I$89,5,0)</f>
        <v>-4.5224624045658861E-14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316.52407313312403</v>
      </c>
      <c r="EP131" s="59">
        <f t="shared" si="100"/>
        <v>340.55949748167382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56.104868517222542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56.104868517222542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-5.6843418860808015E-14</v>
      </c>
      <c r="FF131" s="17">
        <f>FE131*VLOOKUP('Données projet'!$B$16,Paramètres!$A$1:$I$89,3,0)*VLOOKUP('Données projet'!$B$16,Paramètres!$A$1:$I$89,5,0)</f>
        <v>-3.7243808037601412E-14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199.99826357281154</v>
      </c>
      <c r="FK131" s="59">
        <f t="shared" si="102"/>
        <v>214.67424457475136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24.262558616407674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24.262558616407674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284.60021367910457</v>
      </c>
      <c r="T132" s="59">
        <f t="shared" si="88"/>
        <v>301.41905904220812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56.684641410893555</v>
      </c>
      <c r="AA132" s="21">
        <f>EXP(-LN(2)/25)*AA131+(1-EXP(-LN(2)/25))/(LN(2)/25)*Calculateur!V132*Calculateur!X132*VLOOKUP('Données projet'!$B$9,Paramètres!$A$1:$I$89,3,0)*0.475*44/12</f>
        <v>7.9091447990403321</v>
      </c>
      <c r="AB132" s="21">
        <f>EXP(-LN(2)/2)*AB131+(1-EXP(-LN(2)/2))/(LN(2)/2)*V132*Y132*VLOOKUP('Données projet'!$B$9,Paramètres!$A$1:$I$89,3,0)*0.475*44/12</f>
        <v>1.1704686168647711E-8</v>
      </c>
      <c r="AC132" s="22">
        <f t="shared" ref="AC132:AC153" si="111">SUM(Z132:AB132)</f>
        <v>64.593786221638567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294.45857786714919</v>
      </c>
      <c r="AO132" s="59">
        <f t="shared" si="90"/>
        <v>221.9773436301067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78.20995741530578</v>
      </c>
      <c r="AV132" s="21">
        <f>EXP(-LN(2)/25)*AV131+(1-EXP(-LN(2)/25))/(LN(2)/25)*Calculateur!AQ132*Calculateur!AS132*VLOOKUP('Données projet'!$B$10,Paramètres!$A$1:$I$89,3,0)*0.475*44/12</f>
        <v>12.343269859063895</v>
      </c>
      <c r="AW132" s="21">
        <f>EXP(-LN(2)/2)*AW131+(1-EXP(-LN(2)/2))/(LN(2)/2)*AQ132*AT132*VLOOKUP('Données projet'!$B$10,Paramètres!$A$1:$I$89,3,0)*0.475*44/12</f>
        <v>4.2910676504090107E-6</v>
      </c>
      <c r="AX132" s="21">
        <f t="shared" ref="AX132:AX153" si="114">SUM(AU132:AW132)</f>
        <v>90.553231565437329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6.3550942286383367E-14</v>
      </c>
      <c r="BF132" s="13">
        <f t="shared" si="91"/>
        <v>1.0064464192543978E-12</v>
      </c>
      <c r="BG132" s="20">
        <f t="shared" ref="BG132:BG153" si="115">(BE132+BF132)*0.475*44/12</f>
        <v>1.8635787380168604E-12</v>
      </c>
      <c r="BH132" s="59">
        <f t="shared" ref="BH132:BH195" si="116">BG132+(AY132+AZ132)*44/12</f>
        <v>293.33333333333519</v>
      </c>
      <c r="BI132" s="59">
        <f ca="1">AVERAGE(OFFSET($BH$3,0,0,'Données projet'!$E$11+1,1))-AVERAGE(OFFSET($H$3,0,0,'Données projet'!$E$11+1,1))</f>
        <v>304.91676868833792</v>
      </c>
      <c r="BJ132" s="59">
        <f t="shared" si="92"/>
        <v>365.95065044620048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56.013623669995106</v>
      </c>
      <c r="BQ132" s="21">
        <f>EXP(-LN(2)/25)*BQ131+(1-EXP(-LN(2)/25))/(LN(2)/25)*Calculateur!BL132*Calculateur!BN132*VLOOKUP('Données projet'!$B$11,Paramètres!$A$1:$I$89,3,0)*0.475*44/12</f>
        <v>7.681610853427447</v>
      </c>
      <c r="BR132" s="21">
        <f>EXP(-LN(2)/2)*BR131+(1-EXP(-LN(2)/2))/(LN(2)/2)*BL132*BO132*VLOOKUP('Données projet'!$B$11,Paramètres!$A$1:$I$89,3,0)*0.475*44/12</f>
        <v>1.9780239472387336E-9</v>
      </c>
      <c r="BS132" s="22">
        <f t="shared" ref="BS132:BS153" si="117">SUM(BP132:BR132)</f>
        <v>63.695234525400579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-1.5961632016114892E-13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259.87681411271632</v>
      </c>
      <c r="CE132" s="59">
        <f t="shared" si="94"/>
        <v>191.8684235641158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133.87633116922416</v>
      </c>
      <c r="CL132" s="21">
        <f>EXP(-LN(2)/25)*CL131+(1-EXP(-LN(2)/25))/(LN(2)/25)*Calculateur!CG132*Calculateur!CI132*VLOOKUP('Données projet'!$B$12,Paramètres!$A$1:$I$89,3,0)*0.475*44/12</f>
        <v>24.514478803269892</v>
      </c>
      <c r="CM132" s="21">
        <f>EXP(-LN(2)/2)*CM131+(1-EXP(-LN(2)/2))/(LN(2)/2)*CG132*CJ132*VLOOKUP('Données projet'!$B$12,Paramètres!$A$1:$I$89,3,0)*0.475*44/12</f>
        <v>2.0274258722401024E-3</v>
      </c>
      <c r="CN132" s="22">
        <f t="shared" ref="CN132:CN153" si="120">SUM(CK132:CM132)</f>
        <v>158.39283739836628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1.7053025658242404E-13</v>
      </c>
      <c r="CU132" s="17">
        <f>CT132*VLOOKUP('Données projet'!$B$13,Paramètres!$A$1:$I$89,3,0)*VLOOKUP('Données projet'!$B$13,Paramètres!$A$1:$I$89,5,0)</f>
        <v>7.9808160080574461E-14</v>
      </c>
      <c r="CV132" s="13">
        <f t="shared" si="95"/>
        <v>1.2308384591775343E-12</v>
      </c>
      <c r="CW132" s="20">
        <f t="shared" ref="CW132:CW153" si="121">(CU132+CV132)*0.475*44/12</f>
        <v>2.282709528541206E-12</v>
      </c>
      <c r="CX132" s="59">
        <f t="shared" ref="CX132:CX195" si="122">CW132+(CO132+CP132)*44/12</f>
        <v>293.33333333333559</v>
      </c>
      <c r="CY132" s="59">
        <f ca="1">AVERAGE(OFFSET($CX$3,0,0,'Données projet'!$E$13+1,1))-AVERAGE(OFFSET($H$3,0,0,'Données projet'!$E$13+1,1))</f>
        <v>137.59122085719031</v>
      </c>
      <c r="CZ132" s="59">
        <f t="shared" si="96"/>
        <v>130.1134470448718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71.351456943681839</v>
      </c>
      <c r="DG132" s="21">
        <f>EXP(-LN(2)/25)*DG131+(1-EXP(-LN(2)/25))/(LN(2)/25)*Calculateur!DB132*Calculateur!DD132*VLOOKUP('Données projet'!$B$13,Paramètres!$A$1:$I$89,3,0)*0.475*44/12</f>
        <v>12.836339147791987</v>
      </c>
      <c r="DH132" s="21">
        <f>EXP(-LN(2)/2)*DH131+(1-EXP(-LN(2)/2))/(LN(2)/2)*DB132*DE132*VLOOKUP('Données projet'!$B$13,Paramètres!$A$1:$I$89,3,0)*0.475*44/12</f>
        <v>1.0449593480687329E-3</v>
      </c>
      <c r="DI132" s="22">
        <f t="shared" ref="DI132:DI153" si="123">SUM(DF132:DH132)</f>
        <v>84.188841050821893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>
        <f>VLOOKUP(A132,'Données projet'!$A$165:$I$185,2,0)</f>
        <v>337</v>
      </c>
      <c r="DM132" s="12">
        <f>VLOOKUP(A132,'Données projet'!$A$165:$I$185,9,0)</f>
        <v>6.083333333333333</v>
      </c>
      <c r="DN132" s="12">
        <f t="array" ref="DN132">INDEX(DM:DM,MIN(IF(ISNUMBER(DM132:DM328),ROW(DM132:DM328),"")))</f>
        <v>6.083333333333333</v>
      </c>
      <c r="DO132" s="12">
        <f>IF('Données projet'!$A$166&gt;35,DO131+DN132-DW131,IF(A132&lt;'Données projet'!$A$166,$DL$205^A132,IF(A132='Données projet'!$A$166,'Données projet'!$B$166,DO131+DN132-DW131)))</f>
        <v>336.99999999999989</v>
      </c>
      <c r="DP132" s="17">
        <f>DO132*VLOOKUP('Données projet'!$B$14,Paramètres!$A$1:$I$89,3,0)*VLOOKUP('Données projet'!$B$14,Paramètres!$A$1:$I$89,5,0)</f>
        <v>341.7179999999999</v>
      </c>
      <c r="DQ132" s="13">
        <f t="shared" si="97"/>
        <v>79.854791910789757</v>
      </c>
      <c r="DR132" s="20">
        <f t="shared" ref="DR132:DR153" si="124">(DP132+DQ132)*0.475*44/12</f>
        <v>734.23927924462521</v>
      </c>
      <c r="DS132" s="59">
        <f t="shared" ref="DS132:DS195" si="125">DR132+(DJ132+DK132)*44/12</f>
        <v>1027.5726125779586</v>
      </c>
      <c r="DT132" s="59">
        <f ca="1">AVERAGE(OFFSET($DS$3,0,0,'Données projet'!$E$14+1,1))-AVERAGE(OFFSET($H$3,0,0,'Données projet'!$E$14+1,1))</f>
        <v>313.90901812281373</v>
      </c>
      <c r="DU132" s="59">
        <f t="shared" si="98"/>
        <v>210.54265725995265</v>
      </c>
      <c r="DV132" s="15" t="str">
        <f>IF(ISNA(VLOOKUP(A132,'Données projet'!$A$165:$I$185,3,0)),0,VLOOKUP(A132,'Données projet'!$A$165:$I$185,3,0))</f>
        <v>CR</v>
      </c>
      <c r="DW132" s="15">
        <f>IF(ISNA(VLOOKUP(A132,'Données projet'!$A$165:$I$185,4,0)),0,VLOOKUP(A132,'Données projet'!$A$165:$I$185,4,0))</f>
        <v>337</v>
      </c>
      <c r="DX132" s="16">
        <f>IF(ISNA(VLOOKUP(A132,'Données projet'!$A$165:$I$185,5,0)),0%,VLOOKUP(A132,'Données projet'!$A$165:$I$185,5,0)*VLOOKUP('Données projet'!$B$14,Paramètres!$A$1:$I$89,7,0))</f>
        <v>0.38700000000000001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208.1034125072934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208.1034125072934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-5.6843418860808015E-14</v>
      </c>
      <c r="EK132" s="17">
        <f>EJ132*VLOOKUP('Données projet'!$B$15,Paramètres!$A$1:$I$89,3,0)*VLOOKUP('Données projet'!$B$15,Paramètres!$A$1:$I$89,5,0)</f>
        <v>-4.5224624045658861E-14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316.52407313312403</v>
      </c>
      <c r="EP132" s="59">
        <f t="shared" si="100"/>
        <v>340.55949748167382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55.004686266190603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55.004686266190603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-5.6843418860808015E-14</v>
      </c>
      <c r="FF132" s="17">
        <f>FE132*VLOOKUP('Données projet'!$B$16,Paramètres!$A$1:$I$89,3,0)*VLOOKUP('Données projet'!$B$16,Paramètres!$A$1:$I$89,5,0)</f>
        <v>-3.7243808037601412E-14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199.99826357281154</v>
      </c>
      <c r="FK132" s="59">
        <f t="shared" si="102"/>
        <v>214.67424457475136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23.786784640639425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23.786784640639425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284.60021367910457</v>
      </c>
      <c r="T133" s="59">
        <f t="shared" ref="T133:T196" si="142">$T$3</f>
        <v>301.41905904220812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55.573090167043276</v>
      </c>
      <c r="AA133" s="21">
        <f>EXP(-LN(2)/25)*AA132+(1-EXP(-LN(2)/25))/(LN(2)/25)*Calculateur!V133*Calculateur!X133*VLOOKUP('Données projet'!$B$9,Paramètres!$A$1:$I$89,3,0)*0.475*44/12</f>
        <v>7.6928688185867262</v>
      </c>
      <c r="AB133" s="21">
        <f>EXP(-LN(2)/2)*AB132+(1-EXP(-LN(2)/2))/(LN(2)/2)*V133*Y133*VLOOKUP('Données projet'!$B$9,Paramètres!$A$1:$I$89,3,0)*0.475*44/12</f>
        <v>8.2764629615111863E-9</v>
      </c>
      <c r="AC133" s="22">
        <f t="shared" si="111"/>
        <v>63.265958993906466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294.45857786714919</v>
      </c>
      <c r="AO133" s="59">
        <f t="shared" ref="AO133:AO196" si="144">$AO$3</f>
        <v>221.9773436301067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76.676307853755347</v>
      </c>
      <c r="AV133" s="21">
        <f>EXP(-LN(2)/25)*AV132+(1-EXP(-LN(2)/25))/(LN(2)/25)*Calculateur!AQ133*Calculateur!AS133*VLOOKUP('Données projet'!$B$10,Paramètres!$A$1:$I$89,3,0)*0.475*44/12</f>
        <v>12.005742495663442</v>
      </c>
      <c r="AW133" s="21">
        <f>EXP(-LN(2)/2)*AW132+(1-EXP(-LN(2)/2))/(LN(2)/2)*AQ133*AT133*VLOOKUP('Données projet'!$B$10,Paramètres!$A$1:$I$89,3,0)*0.475*44/12</f>
        <v>3.034243034134437E-6</v>
      </c>
      <c r="AX133" s="21">
        <f t="shared" si="114"/>
        <v>88.682053383661824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6.3550942286383367E-14</v>
      </c>
      <c r="BF133" s="13">
        <f t="shared" ref="BF133:BF153" si="145">EXP(-1.0587+0.8836*LN(BE133)+0.284)</f>
        <v>1.0064464192543978E-12</v>
      </c>
      <c r="BG133" s="20">
        <f t="shared" si="115"/>
        <v>1.8635787380168604E-12</v>
      </c>
      <c r="BH133" s="59">
        <f t="shared" si="116"/>
        <v>293.33333333333519</v>
      </c>
      <c r="BI133" s="59">
        <f ca="1">AVERAGE(OFFSET($BH$3,0,0,'Données projet'!$E$11+1,1))-AVERAGE(OFFSET($H$3,0,0,'Données projet'!$E$11+1,1))</f>
        <v>304.91676868833792</v>
      </c>
      <c r="BJ133" s="59">
        <f t="shared" ref="BJ133:BJ196" si="146">$BJ$3</f>
        <v>365.95065044620048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54.915230674763436</v>
      </c>
      <c r="BQ133" s="21">
        <f>EXP(-LN(2)/25)*BQ132+(1-EXP(-LN(2)/25))/(LN(2)/25)*Calculateur!BL133*Calculateur!BN133*VLOOKUP('Données projet'!$B$11,Paramètres!$A$1:$I$89,3,0)*0.475*44/12</f>
        <v>7.4715568006821149</v>
      </c>
      <c r="BR133" s="21">
        <f>EXP(-LN(2)/2)*BR132+(1-EXP(-LN(2)/2))/(LN(2)/2)*BL133*BO133*VLOOKUP('Données projet'!$B$11,Paramètres!$A$1:$I$89,3,0)*0.475*44/12</f>
        <v>1.3986741464418902E-9</v>
      </c>
      <c r="BS133" s="22">
        <f t="shared" si="117"/>
        <v>62.386787476844226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-1.5961632016114892E-13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259.87681411271632</v>
      </c>
      <c r="CE133" s="59">
        <f t="shared" ref="CE133:CE196" si="148">$CE$3</f>
        <v>191.8684235641158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131.25109797149477</v>
      </c>
      <c r="CL133" s="21">
        <f>EXP(-LN(2)/25)*CL132+(1-EXP(-LN(2)/25))/(LN(2)/25)*Calculateur!CG133*Calculateur!CI133*VLOOKUP('Données projet'!$B$12,Paramètres!$A$1:$I$89,3,0)*0.475*44/12</f>
        <v>23.844129091234066</v>
      </c>
      <c r="CM133" s="21">
        <f>EXP(-LN(2)/2)*CM132+(1-EXP(-LN(2)/2))/(LN(2)/2)*CG133*CJ133*VLOOKUP('Données projet'!$B$12,Paramètres!$A$1:$I$89,3,0)*0.475*44/12</f>
        <v>1.4336065826140274E-3</v>
      </c>
      <c r="CN133" s="22">
        <f t="shared" si="120"/>
        <v>155.09666066931146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1.7053025658242404E-13</v>
      </c>
      <c r="CU133" s="17">
        <f>CT133*VLOOKUP('Données projet'!$B$13,Paramètres!$A$1:$I$89,3,0)*VLOOKUP('Données projet'!$B$13,Paramètres!$A$1:$I$89,5,0)</f>
        <v>7.9808160080574461E-14</v>
      </c>
      <c r="CV133" s="13">
        <f t="shared" ref="CV133:CV153" si="149">EXP(-1.0587+0.8836*LN(CU133)+0.284)</f>
        <v>1.2308384591775343E-12</v>
      </c>
      <c r="CW133" s="20">
        <f t="shared" si="121"/>
        <v>2.282709528541206E-12</v>
      </c>
      <c r="CX133" s="59">
        <f t="shared" si="122"/>
        <v>293.33333333333559</v>
      </c>
      <c r="CY133" s="59">
        <f ca="1">AVERAGE(OFFSET($CX$3,0,0,'Données projet'!$E$13+1,1))-AVERAGE(OFFSET($H$3,0,0,'Données projet'!$E$13+1,1))</f>
        <v>137.59122085719031</v>
      </c>
      <c r="CZ133" s="59">
        <f t="shared" ref="CZ133:CZ196" si="150">$CZ$3</f>
        <v>130.1134470448718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69.952298393107725</v>
      </c>
      <c r="DG133" s="21">
        <f>EXP(-LN(2)/25)*DG132+(1-EXP(-LN(2)/25))/(LN(2)/25)*Calculateur!DB133*Calculateur!DD133*VLOOKUP('Données projet'!$B$13,Paramètres!$A$1:$I$89,3,0)*0.475*44/12</f>
        <v>12.485328778761877</v>
      </c>
      <c r="DH133" s="21">
        <f>EXP(-LN(2)/2)*DH132+(1-EXP(-LN(2)/2))/(LN(2)/2)*DB133*DE133*VLOOKUP('Données projet'!$B$13,Paramètres!$A$1:$I$89,3,0)*0.475*44/12</f>
        <v>7.388978410836749E-4</v>
      </c>
      <c r="DI133" s="22">
        <f t="shared" si="123"/>
        <v>82.438366069710696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-1.1527845344971866E-13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313.90901812281373</v>
      </c>
      <c r="DU133" s="59">
        <f t="shared" ref="DU133:DU196" si="152">$DU$3</f>
        <v>210.54265725995265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204.02263151857366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204.02263151857366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-5.6843418860808015E-14</v>
      </c>
      <c r="EK133" s="17">
        <f>EJ133*VLOOKUP('Données projet'!$B$15,Paramètres!$A$1:$I$89,3,0)*VLOOKUP('Données projet'!$B$15,Paramètres!$A$1:$I$89,5,0)</f>
        <v>-4.5224624045658861E-14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316.52407313312403</v>
      </c>
      <c r="EP133" s="59">
        <f t="shared" ref="EP133:EP196" si="154">$EP$3</f>
        <v>340.55949748167382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53.926077918056485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53.926077918056485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-5.6843418860808015E-14</v>
      </c>
      <c r="FF133" s="17">
        <f>FE133*VLOOKUP('Données projet'!$B$16,Paramètres!$A$1:$I$89,3,0)*VLOOKUP('Données projet'!$B$16,Paramètres!$A$1:$I$89,5,0)</f>
        <v>-3.7243808037601412E-14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199.99826357281154</v>
      </c>
      <c r="FK133" s="59">
        <f t="shared" ref="FK133:FK196" si="156">$FK$3</f>
        <v>214.67424457475136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23.320340302342522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23.320340302342522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284.60021367910457</v>
      </c>
      <c r="T134" s="59">
        <f t="shared" si="142"/>
        <v>301.41905904220812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54.483335765105586</v>
      </c>
      <c r="AA134" s="21">
        <f>EXP(-LN(2)/25)*AA133+(1-EXP(-LN(2)/25))/(LN(2)/25)*Calculateur!V134*Calculateur!X134*VLOOKUP('Données projet'!$B$9,Paramètres!$A$1:$I$89,3,0)*0.475*44/12</f>
        <v>7.482506916192083</v>
      </c>
      <c r="AB134" s="21">
        <f>EXP(-LN(2)/2)*AB133+(1-EXP(-LN(2)/2))/(LN(2)/2)*V134*Y134*VLOOKUP('Données projet'!$B$9,Paramètres!$A$1:$I$89,3,0)*0.475*44/12</f>
        <v>5.8523430843238556E-9</v>
      </c>
      <c r="AC134" s="22">
        <f t="shared" si="111"/>
        <v>61.965842687150015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294.45857786714919</v>
      </c>
      <c r="AO134" s="59">
        <f t="shared" si="144"/>
        <v>221.9773436301067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75.172732224673041</v>
      </c>
      <c r="AV134" s="21">
        <f>EXP(-LN(2)/25)*AV133+(1-EXP(-LN(2)/25))/(LN(2)/25)*Calculateur!AQ134*Calculateur!AS134*VLOOKUP('Données projet'!$B$10,Paramètres!$A$1:$I$89,3,0)*0.475*44/12</f>
        <v>11.677444835764968</v>
      </c>
      <c r="AW134" s="21">
        <f>EXP(-LN(2)/2)*AW133+(1-EXP(-LN(2)/2))/(LN(2)/2)*AQ134*AT134*VLOOKUP('Données projet'!$B$10,Paramètres!$A$1:$I$89,3,0)*0.475*44/12</f>
        <v>2.1455338252045053E-6</v>
      </c>
      <c r="AX134" s="21">
        <f t="shared" si="114"/>
        <v>86.850179205971841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6.3550942286383367E-14</v>
      </c>
      <c r="BF134" s="13">
        <f t="shared" si="145"/>
        <v>1.0064464192543978E-12</v>
      </c>
      <c r="BG134" s="20">
        <f t="shared" si="115"/>
        <v>1.8635787380168604E-12</v>
      </c>
      <c r="BH134" s="59">
        <f t="shared" si="116"/>
        <v>293.33333333333519</v>
      </c>
      <c r="BI134" s="59">
        <f ca="1">AVERAGE(OFFSET($BH$3,0,0,'Données projet'!$E$11+1,1))-AVERAGE(OFFSET($H$3,0,0,'Données projet'!$E$11+1,1))</f>
        <v>304.91676868833792</v>
      </c>
      <c r="BJ134" s="59">
        <f t="shared" si="146"/>
        <v>365.95065044620048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53.838376496214678</v>
      </c>
      <c r="BQ134" s="21">
        <f>EXP(-LN(2)/25)*BQ133+(1-EXP(-LN(2)/25))/(LN(2)/25)*Calculateur!BL134*Calculateur!BN134*VLOOKUP('Données projet'!$B$11,Paramètres!$A$1:$I$89,3,0)*0.475*44/12</f>
        <v>7.2672466870553665</v>
      </c>
      <c r="BR134" s="21">
        <f>EXP(-LN(2)/2)*BR133+(1-EXP(-LN(2)/2))/(LN(2)/2)*BL134*BO134*VLOOKUP('Données projet'!$B$11,Paramètres!$A$1:$I$89,3,0)*0.475*44/12</f>
        <v>9.8901197361936679E-10</v>
      </c>
      <c r="BS134" s="22">
        <f t="shared" si="117"/>
        <v>61.105623184259059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-1.5961632016114892E-13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259.87681411271632</v>
      </c>
      <c r="CE134" s="59">
        <f t="shared" si="148"/>
        <v>191.8684235641158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128.67734399553873</v>
      </c>
      <c r="CL134" s="21">
        <f>EXP(-LN(2)/25)*CL133+(1-EXP(-LN(2)/25))/(LN(2)/25)*Calculateur!CG134*Calculateur!CI134*VLOOKUP('Données projet'!$B$12,Paramètres!$A$1:$I$89,3,0)*0.475*44/12</f>
        <v>23.192110127326018</v>
      </c>
      <c r="CM134" s="21">
        <f>EXP(-LN(2)/2)*CM133+(1-EXP(-LN(2)/2))/(LN(2)/2)*CG134*CJ134*VLOOKUP('Données projet'!$B$12,Paramètres!$A$1:$I$89,3,0)*0.475*44/12</f>
        <v>1.0137129361200512E-3</v>
      </c>
      <c r="CN134" s="22">
        <f t="shared" si="120"/>
        <v>151.87046783580087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1.7053025658242404E-13</v>
      </c>
      <c r="CU134" s="17">
        <f>CT134*VLOOKUP('Données projet'!$B$13,Paramètres!$A$1:$I$89,3,0)*VLOOKUP('Données projet'!$B$13,Paramètres!$A$1:$I$89,5,0)</f>
        <v>7.9808160080574461E-14</v>
      </c>
      <c r="CV134" s="13">
        <f t="shared" si="149"/>
        <v>1.2308384591775343E-12</v>
      </c>
      <c r="CW134" s="20">
        <f t="shared" si="121"/>
        <v>2.282709528541206E-12</v>
      </c>
      <c r="CX134" s="59">
        <f t="shared" si="122"/>
        <v>293.33333333333559</v>
      </c>
      <c r="CY134" s="59">
        <f ca="1">AVERAGE(OFFSET($CX$3,0,0,'Données projet'!$E$13+1,1))-AVERAGE(OFFSET($H$3,0,0,'Données projet'!$E$13+1,1))</f>
        <v>137.59122085719031</v>
      </c>
      <c r="CZ134" s="59">
        <f t="shared" si="150"/>
        <v>130.1134470448718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68.580576488307912</v>
      </c>
      <c r="DG134" s="21">
        <f>EXP(-LN(2)/25)*DG133+(1-EXP(-LN(2)/25))/(LN(2)/25)*Calculateur!DB134*Calculateur!DD134*VLOOKUP('Données projet'!$B$13,Paramètres!$A$1:$I$89,3,0)*0.475*44/12</f>
        <v>12.143916806731729</v>
      </c>
      <c r="DH134" s="21">
        <f>EXP(-LN(2)/2)*DH133+(1-EXP(-LN(2)/2))/(LN(2)/2)*DB134*DE134*VLOOKUP('Données projet'!$B$13,Paramètres!$A$1:$I$89,3,0)*0.475*44/12</f>
        <v>5.2247967403436647E-4</v>
      </c>
      <c r="DI134" s="22">
        <f t="shared" si="123"/>
        <v>80.725015774713668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-1.1527845344971866E-13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313.90901812281373</v>
      </c>
      <c r="DU134" s="59">
        <f t="shared" si="152"/>
        <v>210.54265725995265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200.02187215601208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200.02187215601208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-5.6843418860808015E-14</v>
      </c>
      <c r="EK134" s="17">
        <f>EJ134*VLOOKUP('Données projet'!$B$15,Paramètres!$A$1:$I$89,3,0)*VLOOKUP('Données projet'!$B$15,Paramètres!$A$1:$I$89,5,0)</f>
        <v>-4.5224624045658861E-14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316.52407313312403</v>
      </c>
      <c r="EP134" s="59">
        <f t="shared" si="154"/>
        <v>340.55949748167382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52.868620421743145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52.868620421743145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-5.6843418860808015E-14</v>
      </c>
      <c r="FF134" s="17">
        <f>FE134*VLOOKUP('Données projet'!$B$16,Paramètres!$A$1:$I$89,3,0)*VLOOKUP('Données projet'!$B$16,Paramètres!$A$1:$I$89,5,0)</f>
        <v>-3.7243808037601412E-14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199.99826357281154</v>
      </c>
      <c r="FK134" s="59">
        <f t="shared" si="156"/>
        <v>214.67424457475136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22.863042653016667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22.863042653016667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284.60021367910457</v>
      </c>
      <c r="T135" s="59">
        <f t="shared" si="142"/>
        <v>301.41905904220812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53.41495078230534</v>
      </c>
      <c r="AA135" s="21">
        <f>EXP(-LN(2)/25)*AA134+(1-EXP(-LN(2)/25))/(LN(2)/25)*Calculateur!V135*Calculateur!X135*VLOOKUP('Données projet'!$B$9,Paramètres!$A$1:$I$89,3,0)*0.475*44/12</f>
        <v>7.277897371080873</v>
      </c>
      <c r="AB135" s="21">
        <f>EXP(-LN(2)/2)*AB134+(1-EXP(-LN(2)/2))/(LN(2)/2)*V135*Y135*VLOOKUP('Données projet'!$B$9,Paramètres!$A$1:$I$89,3,0)*0.475*44/12</f>
        <v>4.1382314807555932E-9</v>
      </c>
      <c r="AC135" s="22">
        <f t="shared" si="111"/>
        <v>60.692848157524445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294.45857786714919</v>
      </c>
      <c r="AO135" s="59">
        <f t="shared" si="144"/>
        <v>221.9773436301067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73.69864079658646</v>
      </c>
      <c r="AV135" s="21">
        <f>EXP(-LN(2)/25)*AV134+(1-EXP(-LN(2)/25))/(LN(2)/25)*Calculateur!AQ135*Calculateur!AS135*VLOOKUP('Données projet'!$B$10,Paramètres!$A$1:$I$89,3,0)*0.475*44/12</f>
        <v>11.35812449264084</v>
      </c>
      <c r="AW135" s="21">
        <f>EXP(-LN(2)/2)*AW134+(1-EXP(-LN(2)/2))/(LN(2)/2)*AQ135*AT135*VLOOKUP('Données projet'!$B$10,Paramètres!$A$1:$I$89,3,0)*0.475*44/12</f>
        <v>1.5171215170672185E-6</v>
      </c>
      <c r="AX135" s="21">
        <f t="shared" si="114"/>
        <v>85.056766806348818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6.3550942286383367E-14</v>
      </c>
      <c r="BF135" s="13">
        <f t="shared" si="145"/>
        <v>1.0064464192543978E-12</v>
      </c>
      <c r="BG135" s="20">
        <f t="shared" si="115"/>
        <v>1.8635787380168604E-12</v>
      </c>
      <c r="BH135" s="59">
        <f t="shared" si="116"/>
        <v>293.33333333333519</v>
      </c>
      <c r="BI135" s="59">
        <f ca="1">AVERAGE(OFFSET($BH$3,0,0,'Données projet'!$E$11+1,1))-AVERAGE(OFFSET($H$3,0,0,'Données projet'!$E$11+1,1))</f>
        <v>304.91676868833792</v>
      </c>
      <c r="BJ135" s="59">
        <f t="shared" si="146"/>
        <v>365.95065044620048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52.782638771291069</v>
      </c>
      <c r="BQ135" s="21">
        <f>EXP(-LN(2)/25)*BQ134+(1-EXP(-LN(2)/25))/(LN(2)/25)*Calculateur!BL135*Calculateur!BN135*VLOOKUP('Données projet'!$B$11,Paramètres!$A$1:$I$89,3,0)*0.475*44/12</f>
        <v>7.0685234442299434</v>
      </c>
      <c r="BR135" s="21">
        <f>EXP(-LN(2)/2)*BR134+(1-EXP(-LN(2)/2))/(LN(2)/2)*BL135*BO135*VLOOKUP('Données projet'!$B$11,Paramètres!$A$1:$I$89,3,0)*0.475*44/12</f>
        <v>6.9933707322094511E-10</v>
      </c>
      <c r="BS135" s="22">
        <f t="shared" si="117"/>
        <v>59.851162216220352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-1.5961632016114892E-13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259.87681411271632</v>
      </c>
      <c r="CE135" s="59">
        <f t="shared" si="148"/>
        <v>191.8684235641158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126.15405976521626</v>
      </c>
      <c r="CL135" s="21">
        <f>EXP(-LN(2)/25)*CL134+(1-EXP(-LN(2)/25))/(LN(2)/25)*Calculateur!CG135*Calculateur!CI135*VLOOKUP('Données projet'!$B$12,Paramètres!$A$1:$I$89,3,0)*0.475*44/12</f>
        <v>22.557920656274224</v>
      </c>
      <c r="CM135" s="21">
        <f>EXP(-LN(2)/2)*CM134+(1-EXP(-LN(2)/2))/(LN(2)/2)*CG135*CJ135*VLOOKUP('Données projet'!$B$12,Paramètres!$A$1:$I$89,3,0)*0.475*44/12</f>
        <v>7.1680329130701368E-4</v>
      </c>
      <c r="CN135" s="22">
        <f t="shared" si="120"/>
        <v>148.71269722478181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1.7053025658242404E-13</v>
      </c>
      <c r="CU135" s="17">
        <f>CT135*VLOOKUP('Données projet'!$B$13,Paramètres!$A$1:$I$89,3,0)*VLOOKUP('Données projet'!$B$13,Paramètres!$A$1:$I$89,5,0)</f>
        <v>7.9808160080574461E-14</v>
      </c>
      <c r="CV135" s="13">
        <f t="shared" si="149"/>
        <v>1.2308384591775343E-12</v>
      </c>
      <c r="CW135" s="20">
        <f t="shared" si="121"/>
        <v>2.282709528541206E-12</v>
      </c>
      <c r="CX135" s="59">
        <f t="shared" si="122"/>
        <v>293.33333333333559</v>
      </c>
      <c r="CY135" s="59">
        <f ca="1">AVERAGE(OFFSET($CX$3,0,0,'Données projet'!$E$13+1,1))-AVERAGE(OFFSET($H$3,0,0,'Données projet'!$E$13+1,1))</f>
        <v>137.59122085719031</v>
      </c>
      <c r="CZ135" s="59">
        <f t="shared" si="150"/>
        <v>130.1134470448718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67.23575321339348</v>
      </c>
      <c r="DG135" s="21">
        <f>EXP(-LN(2)/25)*DG134+(1-EXP(-LN(2)/25))/(LN(2)/25)*Calculateur!DB135*Calculateur!DD135*VLOOKUP('Données projet'!$B$13,Paramètres!$A$1:$I$89,3,0)*0.475*44/12</f>
        <v>11.811840763030821</v>
      </c>
      <c r="DH135" s="21">
        <f>EXP(-LN(2)/2)*DH134+(1-EXP(-LN(2)/2))/(LN(2)/2)*DB135*DE135*VLOOKUP('Données projet'!$B$13,Paramètres!$A$1:$I$89,3,0)*0.475*44/12</f>
        <v>3.6944892054183745E-4</v>
      </c>
      <c r="DI135" s="22">
        <f t="shared" si="123"/>
        <v>79.047963425344832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-1.1527845344971866E-13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313.90901812281373</v>
      </c>
      <c r="DU135" s="59">
        <f t="shared" si="152"/>
        <v>210.54265725995265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196.09956524432806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196.09956524432806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-5.6843418860808015E-14</v>
      </c>
      <c r="EK135" s="17">
        <f>EJ135*VLOOKUP('Données projet'!$B$15,Paramètres!$A$1:$I$89,3,0)*VLOOKUP('Données projet'!$B$15,Paramètres!$A$1:$I$89,5,0)</f>
        <v>-4.5224624045658861E-14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316.52407313312403</v>
      </c>
      <c r="EP135" s="59">
        <f t="shared" si="154"/>
        <v>340.55949748167382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51.831899021947123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51.831899021947123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-5.6843418860808015E-14</v>
      </c>
      <c r="FF135" s="17">
        <f>FE135*VLOOKUP('Données projet'!$B$16,Paramètres!$A$1:$I$89,3,0)*VLOOKUP('Données projet'!$B$16,Paramètres!$A$1:$I$89,5,0)</f>
        <v>-3.7243808037601412E-14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199.99826357281154</v>
      </c>
      <c r="FK135" s="59">
        <f t="shared" si="156"/>
        <v>214.67424457475136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22.414712331670067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22.414712331670067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284.60021367910457</v>
      </c>
      <c r="T136" s="59">
        <f t="shared" si="142"/>
        <v>301.41905904220812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52.367516177367314</v>
      </c>
      <c r="AA136" s="21">
        <f>EXP(-LN(2)/25)*AA135+(1-EXP(-LN(2)/25))/(LN(2)/25)*Calculateur!V136*Calculateur!X136*VLOOKUP('Données projet'!$B$9,Paramètres!$A$1:$I$89,3,0)*0.475*44/12</f>
        <v>7.0788828847406773</v>
      </c>
      <c r="AB136" s="21">
        <f>EXP(-LN(2)/2)*AB135+(1-EXP(-LN(2)/2))/(LN(2)/2)*V136*Y136*VLOOKUP('Données projet'!$B$9,Paramètres!$A$1:$I$89,3,0)*0.475*44/12</f>
        <v>2.9261715421619278E-9</v>
      </c>
      <c r="AC136" s="22">
        <f t="shared" si="111"/>
        <v>59.446399065034164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294.45857786714919</v>
      </c>
      <c r="AO136" s="59">
        <f t="shared" si="144"/>
        <v>221.9773436301067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72.253455402297675</v>
      </c>
      <c r="AV136" s="21">
        <f>EXP(-LN(2)/25)*AV135+(1-EXP(-LN(2)/25))/(LN(2)/25)*Calculateur!AQ136*Calculateur!AS136*VLOOKUP('Données projet'!$B$10,Paramètres!$A$1:$I$89,3,0)*0.475*44/12</f>
        <v>11.047535981091769</v>
      </c>
      <c r="AW136" s="21">
        <f>EXP(-LN(2)/2)*AW135+(1-EXP(-LN(2)/2))/(LN(2)/2)*AQ136*AT136*VLOOKUP('Données projet'!$B$10,Paramètres!$A$1:$I$89,3,0)*0.475*44/12</f>
        <v>1.0727669126022527E-6</v>
      </c>
      <c r="AX136" s="21">
        <f t="shared" si="114"/>
        <v>83.300992456156351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6.3550942286383367E-14</v>
      </c>
      <c r="BF136" s="13">
        <f t="shared" si="145"/>
        <v>1.0064464192543978E-12</v>
      </c>
      <c r="BG136" s="20">
        <f t="shared" si="115"/>
        <v>1.8635787380168604E-12</v>
      </c>
      <c r="BH136" s="59">
        <f t="shared" si="116"/>
        <v>293.33333333333519</v>
      </c>
      <c r="BI136" s="59">
        <f ca="1">AVERAGE(OFFSET($BH$3,0,0,'Données projet'!$E$11+1,1))-AVERAGE(OFFSET($H$3,0,0,'Données projet'!$E$11+1,1))</f>
        <v>304.91676868833792</v>
      </c>
      <c r="BJ136" s="59">
        <f t="shared" si="146"/>
        <v>365.95065044620048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51.747603419216787</v>
      </c>
      <c r="BQ136" s="21">
        <f>EXP(-LN(2)/25)*BQ135+(1-EXP(-LN(2)/25))/(LN(2)/25)*Calculateur!BL136*Calculateur!BN136*VLOOKUP('Données projet'!$B$11,Paramètres!$A$1:$I$89,3,0)*0.475*44/12</f>
        <v>6.8752342989299828</v>
      </c>
      <c r="BR136" s="21">
        <f>EXP(-LN(2)/2)*BR135+(1-EXP(-LN(2)/2))/(LN(2)/2)*BL136*BO136*VLOOKUP('Données projet'!$B$11,Paramètres!$A$1:$I$89,3,0)*0.475*44/12</f>
        <v>4.9450598680968339E-10</v>
      </c>
      <c r="BS136" s="22">
        <f t="shared" si="117"/>
        <v>58.622837718641279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-1.5961632016114892E-13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259.87681411271632</v>
      </c>
      <c r="CE136" s="59">
        <f t="shared" si="148"/>
        <v>191.8684235641158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123.68025559959901</v>
      </c>
      <c r="CL136" s="21">
        <f>EXP(-LN(2)/25)*CL135+(1-EXP(-LN(2)/25))/(LN(2)/25)*Calculateur!CG136*Calculateur!CI136*VLOOKUP('Données projet'!$B$12,Paramètres!$A$1:$I$89,3,0)*0.475*44/12</f>
        <v>21.941073129658914</v>
      </c>
      <c r="CM136" s="21">
        <f>EXP(-LN(2)/2)*CM135+(1-EXP(-LN(2)/2))/(LN(2)/2)*CG136*CJ136*VLOOKUP('Données projet'!$B$12,Paramètres!$A$1:$I$89,3,0)*0.475*44/12</f>
        <v>5.0685646806002561E-4</v>
      </c>
      <c r="CN136" s="22">
        <f t="shared" si="120"/>
        <v>145.62183558572599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1.7053025658242404E-13</v>
      </c>
      <c r="CU136" s="17">
        <f>CT136*VLOOKUP('Données projet'!$B$13,Paramètres!$A$1:$I$89,3,0)*VLOOKUP('Données projet'!$B$13,Paramètres!$A$1:$I$89,5,0)</f>
        <v>7.9808160080574461E-14</v>
      </c>
      <c r="CV136" s="13">
        <f t="shared" si="149"/>
        <v>1.2308384591775343E-12</v>
      </c>
      <c r="CW136" s="20">
        <f t="shared" si="121"/>
        <v>2.282709528541206E-12</v>
      </c>
      <c r="CX136" s="59">
        <f t="shared" si="122"/>
        <v>293.33333333333559</v>
      </c>
      <c r="CY136" s="59">
        <f ca="1">AVERAGE(OFFSET($CX$3,0,0,'Données projet'!$E$13+1,1))-AVERAGE(OFFSET($H$3,0,0,'Données projet'!$E$13+1,1))</f>
        <v>137.59122085719031</v>
      </c>
      <c r="CZ136" s="59">
        <f t="shared" si="150"/>
        <v>130.1134470448718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65.917301102638916</v>
      </c>
      <c r="DG136" s="21">
        <f>EXP(-LN(2)/25)*DG135+(1-EXP(-LN(2)/25))/(LN(2)/25)*Calculateur!DB136*Calculateur!DD136*VLOOKUP('Données projet'!$B$13,Paramètres!$A$1:$I$89,3,0)*0.475*44/12</f>
        <v>11.488845356208033</v>
      </c>
      <c r="DH136" s="21">
        <f>EXP(-LN(2)/2)*DH135+(1-EXP(-LN(2)/2))/(LN(2)/2)*DB136*DE136*VLOOKUP('Données projet'!$B$13,Paramètres!$A$1:$I$89,3,0)*0.475*44/12</f>
        <v>2.6123983701718324E-4</v>
      </c>
      <c r="DI136" s="22">
        <f t="shared" si="123"/>
        <v>77.406407698683964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-1.1527845344971866E-13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313.90901812281373</v>
      </c>
      <c r="DU136" s="59">
        <f t="shared" si="152"/>
        <v>210.54265725995265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192.25417237881118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192.25417237881118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-5.6843418860808015E-14</v>
      </c>
      <c r="EK136" s="17">
        <f>EJ136*VLOOKUP('Données projet'!$B$15,Paramètres!$A$1:$I$89,3,0)*VLOOKUP('Données projet'!$B$15,Paramètres!$A$1:$I$89,5,0)</f>
        <v>-4.5224624045658861E-14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316.52407313312403</v>
      </c>
      <c r="EP136" s="59">
        <f t="shared" si="154"/>
        <v>340.55949748167382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50.815507096463485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50.815507096463485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-5.6843418860808015E-14</v>
      </c>
      <c r="FF136" s="17">
        <f>FE136*VLOOKUP('Données projet'!$B$16,Paramètres!$A$1:$I$89,3,0)*VLOOKUP('Données projet'!$B$16,Paramètres!$A$1:$I$89,5,0)</f>
        <v>-3.7243808037601412E-14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199.99826357281154</v>
      </c>
      <c r="FK136" s="59">
        <f t="shared" si="156"/>
        <v>214.67424457475136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21.975173494470578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21.975173494470578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284.60021367910457</v>
      </c>
      <c r="T137" s="59">
        <f t="shared" si="142"/>
        <v>301.41905904220812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51.340621126160094</v>
      </c>
      <c r="AA137" s="21">
        <f>EXP(-LN(2)/25)*AA136+(1-EXP(-LN(2)/25))/(LN(2)/25)*Calculateur!V137*Calculateur!X137*VLOOKUP('Données projet'!$B$9,Paramètres!$A$1:$I$89,3,0)*0.475*44/12</f>
        <v>6.8853104599951713</v>
      </c>
      <c r="AB137" s="21">
        <f>EXP(-LN(2)/2)*AB136+(1-EXP(-LN(2)/2))/(LN(2)/2)*V137*Y137*VLOOKUP('Données projet'!$B$9,Paramètres!$A$1:$I$89,3,0)*0.475*44/12</f>
        <v>2.0691157403777966E-9</v>
      </c>
      <c r="AC137" s="22">
        <f t="shared" si="111"/>
        <v>58.225931588224384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294.45857786714919</v>
      </c>
      <c r="AO137" s="59">
        <f t="shared" si="144"/>
        <v>221.9773436301067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70.836609212114837</v>
      </c>
      <c r="AV137" s="21">
        <f>EXP(-LN(2)/25)*AV136+(1-EXP(-LN(2)/25))/(LN(2)/25)*Calculateur!AQ137*Calculateur!AS137*VLOOKUP('Données projet'!$B$10,Paramètres!$A$1:$I$89,3,0)*0.475*44/12</f>
        <v>10.745440528724147</v>
      </c>
      <c r="AW137" s="21">
        <f>EXP(-LN(2)/2)*AW136+(1-EXP(-LN(2)/2))/(LN(2)/2)*AQ137*AT137*VLOOKUP('Données projet'!$B$10,Paramètres!$A$1:$I$89,3,0)*0.475*44/12</f>
        <v>7.5856075853360924E-7</v>
      </c>
      <c r="AX137" s="21">
        <f t="shared" si="114"/>
        <v>81.582050499399742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6.3550942286383367E-14</v>
      </c>
      <c r="BF137" s="13">
        <f t="shared" si="145"/>
        <v>1.0064464192543978E-12</v>
      </c>
      <c r="BG137" s="20">
        <f t="shared" si="115"/>
        <v>1.8635787380168604E-12</v>
      </c>
      <c r="BH137" s="59">
        <f t="shared" si="116"/>
        <v>293.33333333333519</v>
      </c>
      <c r="BI137" s="59">
        <f ca="1">AVERAGE(OFFSET($BH$3,0,0,'Données projet'!$E$11+1,1))-AVERAGE(OFFSET($H$3,0,0,'Données projet'!$E$11+1,1))</f>
        <v>304.91676868833792</v>
      </c>
      <c r="BJ137" s="59">
        <f t="shared" si="146"/>
        <v>365.95065044620048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50.732864479087453</v>
      </c>
      <c r="BQ137" s="21">
        <f>EXP(-LN(2)/25)*BQ136+(1-EXP(-LN(2)/25))/(LN(2)/25)*Calculateur!BL137*Calculateur!BN137*VLOOKUP('Données projet'!$B$11,Paramètres!$A$1:$I$89,3,0)*0.475*44/12</f>
        <v>6.6872306554728844</v>
      </c>
      <c r="BR137" s="21">
        <f>EXP(-LN(2)/2)*BR136+(1-EXP(-LN(2)/2))/(LN(2)/2)*BL137*BO137*VLOOKUP('Données projet'!$B$11,Paramètres!$A$1:$I$89,3,0)*0.475*44/12</f>
        <v>3.4966853661047255E-10</v>
      </c>
      <c r="BS137" s="22">
        <f t="shared" si="117"/>
        <v>57.420095134910007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-1.5961632016114892E-13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259.87681411271632</v>
      </c>
      <c r="CE137" s="59">
        <f t="shared" si="148"/>
        <v>191.8684235641158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121.25496122479795</v>
      </c>
      <c r="CL137" s="21">
        <f>EXP(-LN(2)/25)*CL136+(1-EXP(-LN(2)/25))/(LN(2)/25)*Calculateur!CG137*Calculateur!CI137*VLOOKUP('Données projet'!$B$12,Paramètres!$A$1:$I$89,3,0)*0.475*44/12</f>
        <v>21.341093331097504</v>
      </c>
      <c r="CM137" s="21">
        <f>EXP(-LN(2)/2)*CM136+(1-EXP(-LN(2)/2))/(LN(2)/2)*CG137*CJ137*VLOOKUP('Données projet'!$B$12,Paramètres!$A$1:$I$89,3,0)*0.475*44/12</f>
        <v>3.5840164565350684E-4</v>
      </c>
      <c r="CN137" s="22">
        <f t="shared" si="120"/>
        <v>142.59641295754111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1.7053025658242404E-13</v>
      </c>
      <c r="CU137" s="17">
        <f>CT137*VLOOKUP('Données projet'!$B$13,Paramètres!$A$1:$I$89,3,0)*VLOOKUP('Données projet'!$B$13,Paramètres!$A$1:$I$89,5,0)</f>
        <v>7.9808160080574461E-14</v>
      </c>
      <c r="CV137" s="13">
        <f t="shared" si="149"/>
        <v>1.2308384591775343E-12</v>
      </c>
      <c r="CW137" s="20">
        <f t="shared" si="121"/>
        <v>2.282709528541206E-12</v>
      </c>
      <c r="CX137" s="59">
        <f t="shared" si="122"/>
        <v>293.33333333333559</v>
      </c>
      <c r="CY137" s="59">
        <f ca="1">AVERAGE(OFFSET($CX$3,0,0,'Données projet'!$E$13+1,1))-AVERAGE(OFFSET($H$3,0,0,'Données projet'!$E$13+1,1))</f>
        <v>137.59122085719031</v>
      </c>
      <c r="CZ137" s="59">
        <f t="shared" si="150"/>
        <v>130.1134470448718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64.624703033599872</v>
      </c>
      <c r="DG137" s="21">
        <f>EXP(-LN(2)/25)*DG136+(1-EXP(-LN(2)/25))/(LN(2)/25)*Calculateur!DB137*Calculateur!DD137*VLOOKUP('Données projet'!$B$13,Paramètres!$A$1:$I$89,3,0)*0.475*44/12</f>
        <v>11.174682275770406</v>
      </c>
      <c r="DH137" s="21">
        <f>EXP(-LN(2)/2)*DH136+(1-EXP(-LN(2)/2))/(LN(2)/2)*DB137*DE137*VLOOKUP('Données projet'!$B$13,Paramètres!$A$1:$I$89,3,0)*0.475*44/12</f>
        <v>1.8472446027091872E-4</v>
      </c>
      <c r="DI137" s="22">
        <f t="shared" si="123"/>
        <v>75.799570033830548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-1.1527845344971866E-13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313.90901812281373</v>
      </c>
      <c r="DU137" s="59">
        <f t="shared" si="152"/>
        <v>210.54265725995265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188.48418532192903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188.48418532192903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-5.6843418860808015E-14</v>
      </c>
      <c r="EK137" s="17">
        <f>EJ137*VLOOKUP('Données projet'!$B$15,Paramètres!$A$1:$I$89,3,0)*VLOOKUP('Données projet'!$B$15,Paramètres!$A$1:$I$89,5,0)</f>
        <v>-4.5224624045658861E-14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316.52407313312403</v>
      </c>
      <c r="EP137" s="59">
        <f t="shared" si="154"/>
        <v>340.55949748167382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49.819045996700723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49.819045996700723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-5.6843418860808015E-14</v>
      </c>
      <c r="FF137" s="17">
        <f>FE137*VLOOKUP('Données projet'!$B$16,Paramètres!$A$1:$I$89,3,0)*VLOOKUP('Données projet'!$B$16,Paramètres!$A$1:$I$89,5,0)</f>
        <v>-3.7243808037601412E-14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199.99826357281154</v>
      </c>
      <c r="FK137" s="59">
        <f t="shared" si="156"/>
        <v>214.67424457475136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21.544253745776352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21.544253745776352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284.60021367910457</v>
      </c>
      <c r="T138" s="59">
        <f t="shared" si="142"/>
        <v>301.41905904220812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50.333862860562917</v>
      </c>
      <c r="AA138" s="21">
        <f>EXP(-LN(2)/25)*AA137+(1-EXP(-LN(2)/25))/(LN(2)/25)*Calculateur!V138*Calculateur!X138*VLOOKUP('Données projet'!$B$9,Paramètres!$A$1:$I$89,3,0)*0.475*44/12</f>
        <v>6.697031283383863</v>
      </c>
      <c r="AB138" s="21">
        <f>EXP(-LN(2)/2)*AB137+(1-EXP(-LN(2)/2))/(LN(2)/2)*V138*Y138*VLOOKUP('Données projet'!$B$9,Paramètres!$A$1:$I$89,3,0)*0.475*44/12</f>
        <v>1.4630857710809639E-9</v>
      </c>
      <c r="AC138" s="22">
        <f t="shared" si="111"/>
        <v>57.030894145409867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294.45857786714919</v>
      </c>
      <c r="AO138" s="59">
        <f t="shared" si="144"/>
        <v>221.9773436301067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69.447546511530646</v>
      </c>
      <c r="AV138" s="21">
        <f>EXP(-LN(2)/25)*AV137+(1-EXP(-LN(2)/25))/(LN(2)/25)*Calculateur!AQ138*Calculateur!AS138*VLOOKUP('Données projet'!$B$10,Paramètres!$A$1:$I$89,3,0)*0.475*44/12</f>
        <v>10.451605892388027</v>
      </c>
      <c r="AW138" s="21">
        <f>EXP(-LN(2)/2)*AW137+(1-EXP(-LN(2)/2))/(LN(2)/2)*AQ138*AT138*VLOOKUP('Données projet'!$B$10,Paramètres!$A$1:$I$89,3,0)*0.475*44/12</f>
        <v>5.3638345630112633E-7</v>
      </c>
      <c r="AX138" s="21">
        <f t="shared" si="114"/>
        <v>79.89915294030213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6.3550942286383367E-14</v>
      </c>
      <c r="BF138" s="13">
        <f t="shared" si="145"/>
        <v>1.0064464192543978E-12</v>
      </c>
      <c r="BG138" s="20">
        <f t="shared" si="115"/>
        <v>1.8635787380168604E-12</v>
      </c>
      <c r="BH138" s="59">
        <f t="shared" si="116"/>
        <v>293.33333333333519</v>
      </c>
      <c r="BI138" s="59">
        <f ca="1">AVERAGE(OFFSET($BH$3,0,0,'Données projet'!$E$11+1,1))-AVERAGE(OFFSET($H$3,0,0,'Données projet'!$E$11+1,1))</f>
        <v>304.91676868833792</v>
      </c>
      <c r="BJ138" s="59">
        <f t="shared" si="146"/>
        <v>365.95065044620048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49.738023950644418</v>
      </c>
      <c r="BQ138" s="21">
        <f>EXP(-LN(2)/25)*BQ137+(1-EXP(-LN(2)/25))/(LN(2)/25)*Calculateur!BL138*Calculateur!BN138*VLOOKUP('Données projet'!$B$11,Paramètres!$A$1:$I$89,3,0)*0.475*44/12</f>
        <v>6.5043679815328019</v>
      </c>
      <c r="BR138" s="21">
        <f>EXP(-LN(2)/2)*BR137+(1-EXP(-LN(2)/2))/(LN(2)/2)*BL138*BO138*VLOOKUP('Données projet'!$B$11,Paramètres!$A$1:$I$89,3,0)*0.475*44/12</f>
        <v>2.472529934048417E-10</v>
      </c>
      <c r="BS138" s="22">
        <f t="shared" si="117"/>
        <v>56.242391932424475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-1.5961632016114892E-13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259.87681411271632</v>
      </c>
      <c r="CE138" s="59">
        <f t="shared" si="148"/>
        <v>191.8684235641158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118.87722539340325</v>
      </c>
      <c r="CL138" s="21">
        <f>EXP(-LN(2)/25)*CL137+(1-EXP(-LN(2)/25))/(LN(2)/25)*Calculateur!CG138*Calculateur!CI138*VLOOKUP('Données projet'!$B$12,Paramètres!$A$1:$I$89,3,0)*0.475*44/12</f>
        <v>20.757520011679322</v>
      </c>
      <c r="CM138" s="21">
        <f>EXP(-LN(2)/2)*CM137+(1-EXP(-LN(2)/2))/(LN(2)/2)*CG138*CJ138*VLOOKUP('Données projet'!$B$12,Paramètres!$A$1:$I$89,3,0)*0.475*44/12</f>
        <v>2.534282340300128E-4</v>
      </c>
      <c r="CN138" s="22">
        <f t="shared" si="120"/>
        <v>139.63499883331662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1.7053025658242404E-13</v>
      </c>
      <c r="CU138" s="17">
        <f>CT138*VLOOKUP('Données projet'!$B$13,Paramètres!$A$1:$I$89,3,0)*VLOOKUP('Données projet'!$B$13,Paramètres!$A$1:$I$89,5,0)</f>
        <v>7.9808160080574461E-14</v>
      </c>
      <c r="CV138" s="13">
        <f t="shared" si="149"/>
        <v>1.2308384591775343E-12</v>
      </c>
      <c r="CW138" s="20">
        <f t="shared" si="121"/>
        <v>2.282709528541206E-12</v>
      </c>
      <c r="CX138" s="59">
        <f t="shared" si="122"/>
        <v>293.33333333333559</v>
      </c>
      <c r="CY138" s="59">
        <f ca="1">AVERAGE(OFFSET($CX$3,0,0,'Données projet'!$E$13+1,1))-AVERAGE(OFFSET($H$3,0,0,'Données projet'!$E$13+1,1))</f>
        <v>137.59122085719031</v>
      </c>
      <c r="CZ138" s="59">
        <f t="shared" si="150"/>
        <v>130.1134470448718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63.357452024287703</v>
      </c>
      <c r="DG138" s="21">
        <f>EXP(-LN(2)/25)*DG137+(1-EXP(-LN(2)/25))/(LN(2)/25)*Calculateur!DB138*Calculateur!DD138*VLOOKUP('Données projet'!$B$13,Paramètres!$A$1:$I$89,3,0)*0.475*44/12</f>
        <v>10.869110001288464</v>
      </c>
      <c r="DH138" s="21">
        <f>EXP(-LN(2)/2)*DH137+(1-EXP(-LN(2)/2))/(LN(2)/2)*DB138*DE138*VLOOKUP('Données projet'!$B$13,Paramètres!$A$1:$I$89,3,0)*0.475*44/12</f>
        <v>1.3061991850859162E-4</v>
      </c>
      <c r="DI138" s="22">
        <f t="shared" si="123"/>
        <v>74.22669264549468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-1.1527845344971866E-13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313.90901812281373</v>
      </c>
      <c r="DU138" s="59">
        <f t="shared" si="152"/>
        <v>210.54265725995265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184.78812541176731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184.78812541176731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-5.6843418860808015E-14</v>
      </c>
      <c r="EK138" s="17">
        <f>EJ138*VLOOKUP('Données projet'!$B$15,Paramètres!$A$1:$I$89,3,0)*VLOOKUP('Données projet'!$B$15,Paramètres!$A$1:$I$89,5,0)</f>
        <v>-4.5224624045658861E-14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316.52407313312403</v>
      </c>
      <c r="EP138" s="59">
        <f t="shared" si="154"/>
        <v>340.55949748167382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48.842124891323053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48.842124891323053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-5.6843418860808015E-14</v>
      </c>
      <c r="FF138" s="17">
        <f>FE138*VLOOKUP('Données projet'!$B$16,Paramètres!$A$1:$I$89,3,0)*VLOOKUP('Données projet'!$B$16,Paramètres!$A$1:$I$89,5,0)</f>
        <v>-3.7243808037601412E-14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199.99826357281154</v>
      </c>
      <c r="FK138" s="59">
        <f t="shared" si="156"/>
        <v>214.67424457475136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21.121784070518927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21.121784070518927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284.60021367910457</v>
      </c>
      <c r="T139" s="59">
        <f t="shared" si="142"/>
        <v>301.41905904220812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49.346846510492185</v>
      </c>
      <c r="AA139" s="21">
        <f>EXP(-LN(2)/25)*AA138+(1-EXP(-LN(2)/25))/(LN(2)/25)*Calculateur!V139*Calculateur!X139*VLOOKUP('Données projet'!$B$9,Paramètres!$A$1:$I$89,3,0)*0.475*44/12</f>
        <v>6.5139006107581627</v>
      </c>
      <c r="AB139" s="21">
        <f>EXP(-LN(2)/2)*AB138+(1-EXP(-LN(2)/2))/(LN(2)/2)*V139*Y139*VLOOKUP('Données projet'!$B$9,Paramètres!$A$1:$I$89,3,0)*0.475*44/12</f>
        <v>1.0345578701888983E-9</v>
      </c>
      <c r="AC139" s="22">
        <f t="shared" si="111"/>
        <v>55.860747122284906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294.45857786714919</v>
      </c>
      <c r="AO139" s="59">
        <f t="shared" si="144"/>
        <v>221.9773436301067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68.085722483260312</v>
      </c>
      <c r="AV139" s="21">
        <f>EXP(-LN(2)/25)*AV138+(1-EXP(-LN(2)/25))/(LN(2)/25)*Calculateur!AQ139*Calculateur!AS139*VLOOKUP('Données projet'!$B$10,Paramètres!$A$1:$I$89,3,0)*0.475*44/12</f>
        <v>10.165806179634611</v>
      </c>
      <c r="AW139" s="21">
        <f>EXP(-LN(2)/2)*AW138+(1-EXP(-LN(2)/2))/(LN(2)/2)*AQ139*AT139*VLOOKUP('Données projet'!$B$10,Paramètres!$A$1:$I$89,3,0)*0.475*44/12</f>
        <v>3.7928037926680462E-7</v>
      </c>
      <c r="AX139" s="21">
        <f t="shared" si="114"/>
        <v>78.251529042175306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6.3550942286383367E-14</v>
      </c>
      <c r="BF139" s="13">
        <f t="shared" si="145"/>
        <v>1.0064464192543978E-12</v>
      </c>
      <c r="BG139" s="20">
        <f t="shared" si="115"/>
        <v>1.8635787380168604E-12</v>
      </c>
      <c r="BH139" s="59">
        <f t="shared" si="116"/>
        <v>293.33333333333519</v>
      </c>
      <c r="BI139" s="59">
        <f ca="1">AVERAGE(OFFSET($BH$3,0,0,'Données projet'!$E$11+1,1))-AVERAGE(OFFSET($H$3,0,0,'Données projet'!$E$11+1,1))</f>
        <v>304.91676868833792</v>
      </c>
      <c r="BJ139" s="59">
        <f t="shared" si="146"/>
        <v>365.95065044620048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48.76269163817134</v>
      </c>
      <c r="BQ139" s="21">
        <f>EXP(-LN(2)/25)*BQ138+(1-EXP(-LN(2)/25))/(LN(2)/25)*Calculateur!BL139*Calculateur!BN139*VLOOKUP('Données projet'!$B$11,Paramètres!$A$1:$I$89,3,0)*0.475*44/12</f>
        <v>6.3265056970279412</v>
      </c>
      <c r="BR139" s="21">
        <f>EXP(-LN(2)/2)*BR138+(1-EXP(-LN(2)/2))/(LN(2)/2)*BL139*BO139*VLOOKUP('Données projet'!$B$11,Paramètres!$A$1:$I$89,3,0)*0.475*44/12</f>
        <v>1.7483426830523628E-10</v>
      </c>
      <c r="BS139" s="22">
        <f t="shared" si="117"/>
        <v>55.089197335374116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-1.5961632016114892E-13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259.87681411271632</v>
      </c>
      <c r="CE139" s="59">
        <f t="shared" si="148"/>
        <v>191.8684235641158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116.54611551138653</v>
      </c>
      <c r="CL139" s="21">
        <f>EXP(-LN(2)/25)*CL138+(1-EXP(-LN(2)/25))/(LN(2)/25)*Calculateur!CG139*Calculateur!CI139*VLOOKUP('Données projet'!$B$12,Paramètres!$A$1:$I$89,3,0)*0.475*44/12</f>
        <v>20.189904535369415</v>
      </c>
      <c r="CM139" s="21">
        <f>EXP(-LN(2)/2)*CM138+(1-EXP(-LN(2)/2))/(LN(2)/2)*CG139*CJ139*VLOOKUP('Données projet'!$B$12,Paramètres!$A$1:$I$89,3,0)*0.475*44/12</f>
        <v>1.7920082282675342E-4</v>
      </c>
      <c r="CN139" s="22">
        <f t="shared" si="120"/>
        <v>136.73619924757878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1.7053025658242404E-13</v>
      </c>
      <c r="CU139" s="17">
        <f>CT139*VLOOKUP('Données projet'!$B$13,Paramètres!$A$1:$I$89,3,0)*VLOOKUP('Données projet'!$B$13,Paramètres!$A$1:$I$89,5,0)</f>
        <v>7.9808160080574461E-14</v>
      </c>
      <c r="CV139" s="13">
        <f t="shared" si="149"/>
        <v>1.2308384591775343E-12</v>
      </c>
      <c r="CW139" s="20">
        <f t="shared" si="121"/>
        <v>2.282709528541206E-12</v>
      </c>
      <c r="CX139" s="59">
        <f t="shared" si="122"/>
        <v>293.33333333333559</v>
      </c>
      <c r="CY139" s="59">
        <f ca="1">AVERAGE(OFFSET($CX$3,0,0,'Données projet'!$E$13+1,1))-AVERAGE(OFFSET($H$3,0,0,'Données projet'!$E$13+1,1))</f>
        <v>137.59122085719031</v>
      </c>
      <c r="CZ139" s="59">
        <f t="shared" si="150"/>
        <v>130.1134470448718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62.115051034321354</v>
      </c>
      <c r="DG139" s="21">
        <f>EXP(-LN(2)/25)*DG138+(1-EXP(-LN(2)/25))/(LN(2)/25)*Calculateur!DB139*Calculateur!DD139*VLOOKUP('Données projet'!$B$13,Paramètres!$A$1:$I$89,3,0)*0.475*44/12</f>
        <v>10.571893616721578</v>
      </c>
      <c r="DH139" s="21">
        <f>EXP(-LN(2)/2)*DH138+(1-EXP(-LN(2)/2))/(LN(2)/2)*DB139*DE139*VLOOKUP('Données projet'!$B$13,Paramètres!$A$1:$I$89,3,0)*0.475*44/12</f>
        <v>9.2362230135459362E-5</v>
      </c>
      <c r="DI139" s="22">
        <f t="shared" si="123"/>
        <v>72.68703701327307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-1.1527845344971866E-13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313.90901812281373</v>
      </c>
      <c r="DU139" s="59">
        <f t="shared" si="152"/>
        <v>210.54265725995265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181.16454298206992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181.16454298206992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-5.6843418860808015E-14</v>
      </c>
      <c r="EK139" s="17">
        <f>EJ139*VLOOKUP('Données projet'!$B$15,Paramètres!$A$1:$I$89,3,0)*VLOOKUP('Données projet'!$B$15,Paramètres!$A$1:$I$89,5,0)</f>
        <v>-4.5224624045658861E-14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316.52407313312403</v>
      </c>
      <c r="EP139" s="59">
        <f t="shared" si="154"/>
        <v>340.55949748167382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47.884360612958801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47.884360612958801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-5.6843418860808015E-14</v>
      </c>
      <c r="FF139" s="17">
        <f>FE139*VLOOKUP('Données projet'!$B$16,Paramètres!$A$1:$I$89,3,0)*VLOOKUP('Données projet'!$B$16,Paramètres!$A$1:$I$89,5,0)</f>
        <v>-3.7243808037601412E-14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199.99826357281154</v>
      </c>
      <c r="FK139" s="59">
        <f t="shared" si="156"/>
        <v>214.67424457475136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20.707598767912241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20.707598767912241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284.60021367910457</v>
      </c>
      <c r="T140" s="59">
        <f t="shared" si="142"/>
        <v>301.41905904220812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48.379184949025813</v>
      </c>
      <c r="AA140" s="21">
        <f>EXP(-LN(2)/25)*AA139+(1-EXP(-LN(2)/25))/(LN(2)/25)*Calculateur!V140*Calculateur!X140*VLOOKUP('Données projet'!$B$9,Paramètres!$A$1:$I$89,3,0)*0.475*44/12</f>
        <v>6.3357776560058356</v>
      </c>
      <c r="AB140" s="21">
        <f>EXP(-LN(2)/2)*AB139+(1-EXP(-LN(2)/2))/(LN(2)/2)*V140*Y140*VLOOKUP('Données projet'!$B$9,Paramètres!$A$1:$I$89,3,0)*0.475*44/12</f>
        <v>7.3154288554048195E-10</v>
      </c>
      <c r="AC140" s="22">
        <f t="shared" si="111"/>
        <v>54.714962605763198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294.45857786714919</v>
      </c>
      <c r="AO140" s="59">
        <f t="shared" si="144"/>
        <v>221.9773436301067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66.750602993553727</v>
      </c>
      <c r="AV140" s="21">
        <f>EXP(-LN(2)/25)*AV139+(1-EXP(-LN(2)/25))/(LN(2)/25)*Calculateur!AQ140*Calculateur!AS140*VLOOKUP('Données projet'!$B$10,Paramètres!$A$1:$I$89,3,0)*0.475*44/12</f>
        <v>9.8878216750559904</v>
      </c>
      <c r="AW140" s="21">
        <f>EXP(-LN(2)/2)*AW139+(1-EXP(-LN(2)/2))/(LN(2)/2)*AQ140*AT140*VLOOKUP('Données projet'!$B$10,Paramètres!$A$1:$I$89,3,0)*0.475*44/12</f>
        <v>2.6819172815056317E-7</v>
      </c>
      <c r="AX140" s="21">
        <f t="shared" si="114"/>
        <v>76.638424936801442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6.3550942286383367E-14</v>
      </c>
      <c r="BF140" s="13">
        <f t="shared" si="145"/>
        <v>1.0064464192543978E-12</v>
      </c>
      <c r="BG140" s="20">
        <f t="shared" si="115"/>
        <v>1.8635787380168604E-12</v>
      </c>
      <c r="BH140" s="59">
        <f t="shared" si="116"/>
        <v>293.33333333333519</v>
      </c>
      <c r="BI140" s="59">
        <f ca="1">AVERAGE(OFFSET($BH$3,0,0,'Données projet'!$E$11+1,1))-AVERAGE(OFFSET($H$3,0,0,'Données projet'!$E$11+1,1))</f>
        <v>304.91676868833792</v>
      </c>
      <c r="BJ140" s="59">
        <f t="shared" si="146"/>
        <v>365.95065044620048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47.806484997451889</v>
      </c>
      <c r="BQ140" s="21">
        <f>EXP(-LN(2)/25)*BQ139+(1-EXP(-LN(2)/25))/(LN(2)/25)*Calculateur!BL140*Calculateur!BN140*VLOOKUP('Données projet'!$B$11,Paramètres!$A$1:$I$89,3,0)*0.475*44/12</f>
        <v>6.1535070660462372</v>
      </c>
      <c r="BR140" s="21">
        <f>EXP(-LN(2)/2)*BR139+(1-EXP(-LN(2)/2))/(LN(2)/2)*BL140*BO140*VLOOKUP('Données projet'!$B$11,Paramètres!$A$1:$I$89,3,0)*0.475*44/12</f>
        <v>1.2362649670242085E-10</v>
      </c>
      <c r="BS140" s="22">
        <f t="shared" si="117"/>
        <v>53.959992063621755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-1.5961632016114892E-13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259.87681411271632</v>
      </c>
      <c r="CE140" s="59">
        <f t="shared" si="148"/>
        <v>191.8684235641158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114.26071727231954</v>
      </c>
      <c r="CL140" s="21">
        <f>EXP(-LN(2)/25)*CL139+(1-EXP(-LN(2)/25))/(LN(2)/25)*Calculateur!CG140*Calculateur!CI140*VLOOKUP('Données projet'!$B$12,Paramètres!$A$1:$I$89,3,0)*0.475*44/12</f>
        <v>19.637810534108802</v>
      </c>
      <c r="CM140" s="21">
        <f>EXP(-LN(2)/2)*CM139+(1-EXP(-LN(2)/2))/(LN(2)/2)*CG140*CJ140*VLOOKUP('Données projet'!$B$12,Paramètres!$A$1:$I$89,3,0)*0.475*44/12</f>
        <v>1.267141170150064E-4</v>
      </c>
      <c r="CN140" s="22">
        <f t="shared" si="120"/>
        <v>133.89865452054536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1.7053025658242404E-13</v>
      </c>
      <c r="CU140" s="17">
        <f>CT140*VLOOKUP('Données projet'!$B$13,Paramètres!$A$1:$I$89,3,0)*VLOOKUP('Données projet'!$B$13,Paramètres!$A$1:$I$89,5,0)</f>
        <v>7.9808160080574461E-14</v>
      </c>
      <c r="CV140" s="13">
        <f t="shared" si="149"/>
        <v>1.2308384591775343E-12</v>
      </c>
      <c r="CW140" s="20">
        <f t="shared" si="121"/>
        <v>2.282709528541206E-12</v>
      </c>
      <c r="CX140" s="59">
        <f t="shared" si="122"/>
        <v>293.33333333333559</v>
      </c>
      <c r="CY140" s="59">
        <f ca="1">AVERAGE(OFFSET($CX$3,0,0,'Données projet'!$E$13+1,1))-AVERAGE(OFFSET($H$3,0,0,'Données projet'!$E$13+1,1))</f>
        <v>137.59122085719031</v>
      </c>
      <c r="CZ140" s="59">
        <f t="shared" si="150"/>
        <v>130.1134470448718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60.897012769978467</v>
      </c>
      <c r="DG140" s="21">
        <f>EXP(-LN(2)/25)*DG139+(1-EXP(-LN(2)/25))/(LN(2)/25)*Calculateur!DB140*Calculateur!DD140*VLOOKUP('Données projet'!$B$13,Paramètres!$A$1:$I$89,3,0)*0.475*44/12</f>
        <v>10.282804629820603</v>
      </c>
      <c r="DH140" s="21">
        <f>EXP(-LN(2)/2)*DH139+(1-EXP(-LN(2)/2))/(LN(2)/2)*DB140*DE140*VLOOKUP('Données projet'!$B$13,Paramètres!$A$1:$I$89,3,0)*0.475*44/12</f>
        <v>6.5309959254295809E-5</v>
      </c>
      <c r="DI140" s="22">
        <f t="shared" si="123"/>
        <v>71.179882709758331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-1.1527845344971866E-13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313.90901812281373</v>
      </c>
      <c r="DU140" s="59">
        <f t="shared" si="152"/>
        <v>210.54265725995265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177.61201679365183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177.61201679365183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-5.6843418860808015E-14</v>
      </c>
      <c r="EK140" s="17">
        <f>EJ140*VLOOKUP('Données projet'!$B$15,Paramètres!$A$1:$I$89,3,0)*VLOOKUP('Données projet'!$B$15,Paramètres!$A$1:$I$89,5,0)</f>
        <v>-4.5224624045658861E-14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316.52407313312403</v>
      </c>
      <c r="EP140" s="59">
        <f t="shared" si="154"/>
        <v>340.55949748167382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46.945377507914742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46.945377507914742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-5.6843418860808015E-14</v>
      </c>
      <c r="FF140" s="17">
        <f>FE140*VLOOKUP('Données projet'!$B$16,Paramètres!$A$1:$I$89,3,0)*VLOOKUP('Données projet'!$B$16,Paramètres!$A$1:$I$89,5,0)</f>
        <v>-3.7243808037601412E-14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199.99826357281154</v>
      </c>
      <c r="FK140" s="59">
        <f t="shared" si="156"/>
        <v>214.67424457475136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20.301535386461584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20.301535386461584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284.60021367910457</v>
      </c>
      <c r="T141" s="59">
        <f t="shared" si="142"/>
        <v>301.41905904220812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47.430498640564522</v>
      </c>
      <c r="AA141" s="21">
        <f>EXP(-LN(2)/25)*AA140+(1-EXP(-LN(2)/25))/(LN(2)/25)*Calculateur!V141*Calculateur!X141*VLOOKUP('Données projet'!$B$9,Paramètres!$A$1:$I$89,3,0)*0.475*44/12</f>
        <v>6.1625254828182898</v>
      </c>
      <c r="AB141" s="21">
        <f>EXP(-LN(2)/2)*AB140+(1-EXP(-LN(2)/2))/(LN(2)/2)*V141*Y141*VLOOKUP('Données projet'!$B$9,Paramètres!$A$1:$I$89,3,0)*0.475*44/12</f>
        <v>5.1727893509444915E-10</v>
      </c>
      <c r="AC141" s="22">
        <f t="shared" si="111"/>
        <v>53.593024123900094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294.45857786714919</v>
      </c>
      <c r="AO141" s="59">
        <f t="shared" si="144"/>
        <v>221.9773436301067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65.441664382697809</v>
      </c>
      <c r="AV141" s="21">
        <f>EXP(-LN(2)/25)*AV140+(1-EXP(-LN(2)/25))/(LN(2)/25)*Calculateur!AQ141*Calculateur!AS141*VLOOKUP('Données projet'!$B$10,Paramètres!$A$1:$I$89,3,0)*0.475*44/12</f>
        <v>9.6174386713736411</v>
      </c>
      <c r="AW141" s="21">
        <f>EXP(-LN(2)/2)*AW140+(1-EXP(-LN(2)/2))/(LN(2)/2)*AQ141*AT141*VLOOKUP('Données projet'!$B$10,Paramètres!$A$1:$I$89,3,0)*0.475*44/12</f>
        <v>1.8964018963340231E-7</v>
      </c>
      <c r="AX141" s="21">
        <f t="shared" si="114"/>
        <v>75.059103243711633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6.3550942286383367E-14</v>
      </c>
      <c r="BF141" s="13">
        <f t="shared" si="145"/>
        <v>1.0064464192543978E-12</v>
      </c>
      <c r="BG141" s="20">
        <f t="shared" si="115"/>
        <v>1.8635787380168604E-12</v>
      </c>
      <c r="BH141" s="59">
        <f t="shared" si="116"/>
        <v>293.33333333333519</v>
      </c>
      <c r="BI141" s="59">
        <f ca="1">AVERAGE(OFFSET($BH$3,0,0,'Données projet'!$E$11+1,1))-AVERAGE(OFFSET($H$3,0,0,'Données projet'!$E$11+1,1))</f>
        <v>304.91676868833792</v>
      </c>
      <c r="BJ141" s="59">
        <f t="shared" si="146"/>
        <v>365.95065044620048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46.869028985728484</v>
      </c>
      <c r="BQ141" s="21">
        <f>EXP(-LN(2)/25)*BQ140+(1-EXP(-LN(2)/25))/(LN(2)/25)*Calculateur!BL141*Calculateur!BN141*VLOOKUP('Données projet'!$B$11,Paramètres!$A$1:$I$89,3,0)*0.475*44/12</f>
        <v>5.9852390917263305</v>
      </c>
      <c r="BR141" s="21">
        <f>EXP(-LN(2)/2)*BR140+(1-EXP(-LN(2)/2))/(LN(2)/2)*BL141*BO141*VLOOKUP('Données projet'!$B$11,Paramètres!$A$1:$I$89,3,0)*0.475*44/12</f>
        <v>8.7417134152618138E-11</v>
      </c>
      <c r="BS141" s="22">
        <f t="shared" si="117"/>
        <v>52.85426807754223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-1.5961632016114892E-13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259.87681411271632</v>
      </c>
      <c r="CE141" s="59">
        <f t="shared" si="148"/>
        <v>191.8684235641158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112.02013429876536</v>
      </c>
      <c r="CL141" s="21">
        <f>EXP(-LN(2)/25)*CL140+(1-EXP(-LN(2)/25))/(LN(2)/25)*Calculateur!CG141*Calculateur!CI141*VLOOKUP('Données projet'!$B$12,Paramètres!$A$1:$I$89,3,0)*0.475*44/12</f>
        <v>19.100813572346024</v>
      </c>
      <c r="CM141" s="21">
        <f>EXP(-LN(2)/2)*CM140+(1-EXP(-LN(2)/2))/(LN(2)/2)*CG141*CJ141*VLOOKUP('Données projet'!$B$12,Paramètres!$A$1:$I$89,3,0)*0.475*44/12</f>
        <v>8.960041141337671E-5</v>
      </c>
      <c r="CN141" s="22">
        <f t="shared" si="120"/>
        <v>131.12103747152278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1.7053025658242404E-13</v>
      </c>
      <c r="CU141" s="17">
        <f>CT141*VLOOKUP('Données projet'!$B$13,Paramètres!$A$1:$I$89,3,0)*VLOOKUP('Données projet'!$B$13,Paramètres!$A$1:$I$89,5,0)</f>
        <v>7.9808160080574461E-14</v>
      </c>
      <c r="CV141" s="13">
        <f t="shared" si="149"/>
        <v>1.2308384591775343E-12</v>
      </c>
      <c r="CW141" s="20">
        <f t="shared" si="121"/>
        <v>2.282709528541206E-12</v>
      </c>
      <c r="CX141" s="59">
        <f t="shared" si="122"/>
        <v>293.33333333333559</v>
      </c>
      <c r="CY141" s="59">
        <f ca="1">AVERAGE(OFFSET($CX$3,0,0,'Données projet'!$E$13+1,1))-AVERAGE(OFFSET($H$3,0,0,'Données projet'!$E$13+1,1))</f>
        <v>137.59122085719031</v>
      </c>
      <c r="CZ141" s="59">
        <f t="shared" si="150"/>
        <v>130.1134470448718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59.702859493069361</v>
      </c>
      <c r="DG141" s="21">
        <f>EXP(-LN(2)/25)*DG140+(1-EXP(-LN(2)/25))/(LN(2)/25)*Calculateur!DB141*Calculateur!DD141*VLOOKUP('Données projet'!$B$13,Paramètres!$A$1:$I$89,3,0)*0.475*44/12</f>
        <v>10.001620796468965</v>
      </c>
      <c r="DH141" s="21">
        <f>EXP(-LN(2)/2)*DH140+(1-EXP(-LN(2)/2))/(LN(2)/2)*DB141*DE141*VLOOKUP('Données projet'!$B$13,Paramètres!$A$1:$I$89,3,0)*0.475*44/12</f>
        <v>4.6181115067729681E-5</v>
      </c>
      <c r="DI141" s="22">
        <f t="shared" si="123"/>
        <v>69.704526470653391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-1.1527845344971866E-13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313.90901812281373</v>
      </c>
      <c r="DU141" s="59">
        <f t="shared" si="152"/>
        <v>210.54265725995265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174.12915347696162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174.12915347696162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-5.6843418860808015E-14</v>
      </c>
      <c r="EK141" s="17">
        <f>EJ141*VLOOKUP('Données projet'!$B$15,Paramètres!$A$1:$I$89,3,0)*VLOOKUP('Données projet'!$B$15,Paramètres!$A$1:$I$89,5,0)</f>
        <v>-4.5224624045658861E-14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316.52407313312403</v>
      </c>
      <c r="EP141" s="59">
        <f t="shared" si="154"/>
        <v>340.55949748167382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46.024807288837458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46.024807288837458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-5.6843418860808015E-14</v>
      </c>
      <c r="FF141" s="17">
        <f>FE141*VLOOKUP('Données projet'!$B$16,Paramètres!$A$1:$I$89,3,0)*VLOOKUP('Données projet'!$B$16,Paramètres!$A$1:$I$89,5,0)</f>
        <v>-3.7243808037601412E-14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199.99826357281154</v>
      </c>
      <c r="FK141" s="59">
        <f t="shared" si="156"/>
        <v>214.67424457475136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19.903434660246965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19.903434660246965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284.60021367910457</v>
      </c>
      <c r="T142" s="59">
        <f t="shared" si="142"/>
        <v>301.41905904220812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46.500415491970649</v>
      </c>
      <c r="AA142" s="21">
        <f>EXP(-LN(2)/25)*AA141+(1-EXP(-LN(2)/25))/(LN(2)/25)*Calculateur!V142*Calculateur!X142*VLOOKUP('Données projet'!$B$9,Paramètres!$A$1:$I$89,3,0)*0.475*44/12</f>
        <v>5.9940108994174928</v>
      </c>
      <c r="AB142" s="21">
        <f>EXP(-LN(2)/2)*AB141+(1-EXP(-LN(2)/2))/(LN(2)/2)*V142*Y142*VLOOKUP('Données projet'!$B$9,Paramètres!$A$1:$I$89,3,0)*0.475*44/12</f>
        <v>3.6577144277024098E-10</v>
      </c>
      <c r="AC142" s="22">
        <f t="shared" si="111"/>
        <v>52.494426391753919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294.45857786714919</v>
      </c>
      <c r="AO142" s="59">
        <f t="shared" si="144"/>
        <v>221.9773436301067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64.158393259627047</v>
      </c>
      <c r="AV142" s="21">
        <f>EXP(-LN(2)/25)*AV141+(1-EXP(-LN(2)/25))/(LN(2)/25)*Calculateur!AQ142*Calculateur!AS142*VLOOKUP('Données projet'!$B$10,Paramètres!$A$1:$I$89,3,0)*0.475*44/12</f>
        <v>9.3544493051458097</v>
      </c>
      <c r="AW142" s="21">
        <f>EXP(-LN(2)/2)*AW141+(1-EXP(-LN(2)/2))/(LN(2)/2)*AQ142*AT142*VLOOKUP('Données projet'!$B$10,Paramètres!$A$1:$I$89,3,0)*0.475*44/12</f>
        <v>1.3409586407528158E-7</v>
      </c>
      <c r="AX142" s="21">
        <f t="shared" si="114"/>
        <v>73.512842698868724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6.3550942286383367E-14</v>
      </c>
      <c r="BF142" s="13">
        <f t="shared" si="145"/>
        <v>1.0064464192543978E-12</v>
      </c>
      <c r="BG142" s="20">
        <f t="shared" si="115"/>
        <v>1.8635787380168604E-12</v>
      </c>
      <c r="BH142" s="59">
        <f t="shared" si="116"/>
        <v>293.33333333333519</v>
      </c>
      <c r="BI142" s="59">
        <f ca="1">AVERAGE(OFFSET($BH$3,0,0,'Données projet'!$E$11+1,1))-AVERAGE(OFFSET($H$3,0,0,'Données projet'!$E$11+1,1))</f>
        <v>304.91676868833792</v>
      </c>
      <c r="BJ142" s="59">
        <f t="shared" si="146"/>
        <v>365.95065044620048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45.949955914603272</v>
      </c>
      <c r="BQ142" s="21">
        <f>EXP(-LN(2)/25)*BQ141+(1-EXP(-LN(2)/25))/(LN(2)/25)*Calculateur!BL142*Calculateur!BN142*VLOOKUP('Données projet'!$B$11,Paramètres!$A$1:$I$89,3,0)*0.475*44/12</f>
        <v>5.8215724140130298</v>
      </c>
      <c r="BR142" s="21">
        <f>EXP(-LN(2)/2)*BR141+(1-EXP(-LN(2)/2))/(LN(2)/2)*BL142*BO142*VLOOKUP('Données projet'!$B$11,Paramètres!$A$1:$I$89,3,0)*0.475*44/12</f>
        <v>6.1813248351210424E-11</v>
      </c>
      <c r="BS142" s="22">
        <f t="shared" si="117"/>
        <v>51.771528328678109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-1.5961632016114892E-13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259.87681411271632</v>
      </c>
      <c r="CE142" s="59">
        <f t="shared" si="148"/>
        <v>191.8684235641158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109.8234877907019</v>
      </c>
      <c r="CL142" s="21">
        <f>EXP(-LN(2)/25)*CL141+(1-EXP(-LN(2)/25))/(LN(2)/25)*Calculateur!CG142*Calculateur!CI142*VLOOKUP('Données projet'!$B$12,Paramètres!$A$1:$I$89,3,0)*0.475*44/12</f>
        <v>18.578500820742093</v>
      </c>
      <c r="CM142" s="21">
        <f>EXP(-LN(2)/2)*CM141+(1-EXP(-LN(2)/2))/(LN(2)/2)*CG142*CJ142*VLOOKUP('Données projet'!$B$12,Paramètres!$A$1:$I$89,3,0)*0.475*44/12</f>
        <v>6.3357058507503201E-5</v>
      </c>
      <c r="CN142" s="22">
        <f t="shared" si="120"/>
        <v>128.40205196850249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1.7053025658242404E-13</v>
      </c>
      <c r="CU142" s="17">
        <f>CT142*VLOOKUP('Données projet'!$B$13,Paramètres!$A$1:$I$89,3,0)*VLOOKUP('Données projet'!$B$13,Paramètres!$A$1:$I$89,5,0)</f>
        <v>7.9808160080574461E-14</v>
      </c>
      <c r="CV142" s="13">
        <f t="shared" si="149"/>
        <v>1.2308384591775343E-12</v>
      </c>
      <c r="CW142" s="20">
        <f t="shared" si="121"/>
        <v>2.282709528541206E-12</v>
      </c>
      <c r="CX142" s="59">
        <f t="shared" si="122"/>
        <v>293.33333333333559</v>
      </c>
      <c r="CY142" s="59">
        <f ca="1">AVERAGE(OFFSET($CX$3,0,0,'Données projet'!$E$13+1,1))-AVERAGE(OFFSET($H$3,0,0,'Données projet'!$E$13+1,1))</f>
        <v>137.59122085719031</v>
      </c>
      <c r="CZ142" s="59">
        <f t="shared" si="150"/>
        <v>130.1134470448718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58.532122833558866</v>
      </c>
      <c r="DG142" s="21">
        <f>EXP(-LN(2)/25)*DG141+(1-EXP(-LN(2)/25))/(LN(2)/25)*Calculateur!DB142*Calculateur!DD142*VLOOKUP('Données projet'!$B$13,Paramètres!$A$1:$I$89,3,0)*0.475*44/12</f>
        <v>9.7281259498271417</v>
      </c>
      <c r="DH142" s="21">
        <f>EXP(-LN(2)/2)*DH141+(1-EXP(-LN(2)/2))/(LN(2)/2)*DB142*DE142*VLOOKUP('Données projet'!$B$13,Paramètres!$A$1:$I$89,3,0)*0.475*44/12</f>
        <v>3.2654979627147904E-5</v>
      </c>
      <c r="DI142" s="22">
        <f t="shared" si="123"/>
        <v>68.260281438365638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-1.1527845344971866E-13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313.90901812281373</v>
      </c>
      <c r="DU142" s="59">
        <f t="shared" si="152"/>
        <v>210.54265725995265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170.71458698557481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170.71458698557481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-5.6843418860808015E-14</v>
      </c>
      <c r="EK142" s="17">
        <f>EJ142*VLOOKUP('Données projet'!$B$15,Paramètres!$A$1:$I$89,3,0)*VLOOKUP('Données projet'!$B$15,Paramètres!$A$1:$I$89,5,0)</f>
        <v>-4.5224624045658861E-14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316.52407313312403</v>
      </c>
      <c r="EP142" s="59">
        <f t="shared" si="154"/>
        <v>340.55949748167382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45.122288890263889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45.122288890263889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-5.6843418860808015E-14</v>
      </c>
      <c r="FF142" s="17">
        <f>FE142*VLOOKUP('Données projet'!$B$16,Paramètres!$A$1:$I$89,3,0)*VLOOKUP('Données projet'!$B$16,Paramètres!$A$1:$I$89,5,0)</f>
        <v>-3.7243808037601412E-14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199.99826357281154</v>
      </c>
      <c r="FK142" s="59">
        <f t="shared" si="156"/>
        <v>214.67424457475136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19.513140446455949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19.513140446455949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284.60021367910457</v>
      </c>
      <c r="T143" s="59">
        <f t="shared" si="142"/>
        <v>301.41905904220812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45.588570706625994</v>
      </c>
      <c r="AA143" s="21">
        <f>EXP(-LN(2)/25)*AA142+(1-EXP(-LN(2)/25))/(LN(2)/25)*Calculateur!V143*Calculateur!X143*VLOOKUP('Données projet'!$B$9,Paramètres!$A$1:$I$89,3,0)*0.475*44/12</f>
        <v>5.8301043561615877</v>
      </c>
      <c r="AB143" s="21">
        <f>EXP(-LN(2)/2)*AB142+(1-EXP(-LN(2)/2))/(LN(2)/2)*V143*Y143*VLOOKUP('Données projet'!$B$9,Paramètres!$A$1:$I$89,3,0)*0.475*44/12</f>
        <v>2.5863946754722457E-10</v>
      </c>
      <c r="AC143" s="22">
        <f t="shared" si="111"/>
        <v>51.418675063046223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294.45857786714919</v>
      </c>
      <c r="AO143" s="59">
        <f t="shared" si="144"/>
        <v>221.9773436301067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62.900286300561611</v>
      </c>
      <c r="AV143" s="21">
        <f>EXP(-LN(2)/25)*AV142+(1-EXP(-LN(2)/25))/(LN(2)/25)*Calculateur!AQ143*Calculateur!AS143*VLOOKUP('Données projet'!$B$10,Paramètres!$A$1:$I$89,3,0)*0.475*44/12</f>
        <v>9.0986513969674885</v>
      </c>
      <c r="AW143" s="21">
        <f>EXP(-LN(2)/2)*AW142+(1-EXP(-LN(2)/2))/(LN(2)/2)*AQ143*AT143*VLOOKUP('Données projet'!$B$10,Paramètres!$A$1:$I$89,3,0)*0.475*44/12</f>
        <v>9.4820094816701156E-8</v>
      </c>
      <c r="AX143" s="21">
        <f t="shared" si="114"/>
        <v>71.998937792349196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6.3550942286383367E-14</v>
      </c>
      <c r="BF143" s="13">
        <f t="shared" si="145"/>
        <v>1.0064464192543978E-12</v>
      </c>
      <c r="BG143" s="20">
        <f t="shared" si="115"/>
        <v>1.8635787380168604E-12</v>
      </c>
      <c r="BH143" s="59">
        <f t="shared" si="116"/>
        <v>293.33333333333519</v>
      </c>
      <c r="BI143" s="59">
        <f ca="1">AVERAGE(OFFSET($BH$3,0,0,'Données projet'!$E$11+1,1))-AVERAGE(OFFSET($H$3,0,0,'Données projet'!$E$11+1,1))</f>
        <v>304.91676868833792</v>
      </c>
      <c r="BJ143" s="59">
        <f t="shared" si="146"/>
        <v>365.95065044620048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45.048905305823602</v>
      </c>
      <c r="BQ143" s="21">
        <f>EXP(-LN(2)/25)*BQ142+(1-EXP(-LN(2)/25))/(LN(2)/25)*Calculateur!BL143*Calculateur!BN143*VLOOKUP('Données projet'!$B$11,Paramètres!$A$1:$I$89,3,0)*0.475*44/12</f>
        <v>5.6623812102086557</v>
      </c>
      <c r="BR143" s="21">
        <f>EXP(-LN(2)/2)*BR142+(1-EXP(-LN(2)/2))/(LN(2)/2)*BL143*BO143*VLOOKUP('Données projet'!$B$11,Paramètres!$A$1:$I$89,3,0)*0.475*44/12</f>
        <v>4.3708567076309069E-11</v>
      </c>
      <c r="BS143" s="22">
        <f t="shared" si="117"/>
        <v>50.711286516075965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-1.5961632016114892E-13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259.87681411271632</v>
      </c>
      <c r="CE143" s="59">
        <f t="shared" si="148"/>
        <v>191.8684235641158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107.66991618083951</v>
      </c>
      <c r="CL143" s="21">
        <f>EXP(-LN(2)/25)*CL142+(1-EXP(-LN(2)/25))/(LN(2)/25)*Calculateur!CG143*Calculateur!CI143*VLOOKUP('Données projet'!$B$12,Paramètres!$A$1:$I$89,3,0)*0.475*44/12</f>
        <v>18.070470738798004</v>
      </c>
      <c r="CM143" s="21">
        <f>EXP(-LN(2)/2)*CM142+(1-EXP(-LN(2)/2))/(LN(2)/2)*CG143*CJ143*VLOOKUP('Données projet'!$B$12,Paramètres!$A$1:$I$89,3,0)*0.475*44/12</f>
        <v>4.4800205706688355E-5</v>
      </c>
      <c r="CN143" s="22">
        <f t="shared" si="120"/>
        <v>125.74043171984322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1.7053025658242404E-13</v>
      </c>
      <c r="CU143" s="17">
        <f>CT143*VLOOKUP('Données projet'!$B$13,Paramètres!$A$1:$I$89,3,0)*VLOOKUP('Données projet'!$B$13,Paramètres!$A$1:$I$89,5,0)</f>
        <v>7.9808160080574461E-14</v>
      </c>
      <c r="CV143" s="13">
        <f t="shared" si="149"/>
        <v>1.2308384591775343E-12</v>
      </c>
      <c r="CW143" s="20">
        <f t="shared" si="121"/>
        <v>2.282709528541206E-12</v>
      </c>
      <c r="CX143" s="59">
        <f t="shared" si="122"/>
        <v>293.33333333333559</v>
      </c>
      <c r="CY143" s="59">
        <f ca="1">AVERAGE(OFFSET($CX$3,0,0,'Données projet'!$E$13+1,1))-AVERAGE(OFFSET($H$3,0,0,'Données projet'!$E$13+1,1))</f>
        <v>137.59122085719031</v>
      </c>
      <c r="CZ143" s="59">
        <f t="shared" si="150"/>
        <v>130.1134470448718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57.384343605862519</v>
      </c>
      <c r="DG143" s="21">
        <f>EXP(-LN(2)/25)*DG142+(1-EXP(-LN(2)/25))/(LN(2)/25)*Calculateur!DB143*Calculateur!DD143*VLOOKUP('Données projet'!$B$13,Paramètres!$A$1:$I$89,3,0)*0.475*44/12</f>
        <v>9.4621098341492083</v>
      </c>
      <c r="DH143" s="21">
        <f>EXP(-LN(2)/2)*DH142+(1-EXP(-LN(2)/2))/(LN(2)/2)*DB143*DE143*VLOOKUP('Données projet'!$B$13,Paramètres!$A$1:$I$89,3,0)*0.475*44/12</f>
        <v>2.3090557533864841E-5</v>
      </c>
      <c r="DI143" s="22">
        <f t="shared" si="123"/>
        <v>66.846476530569262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-1.1527845344971866E-13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313.90901812281373</v>
      </c>
      <c r="DU143" s="59">
        <f t="shared" si="152"/>
        <v>210.54265725995265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167.36697806040419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167.36697806040419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-5.6843418860808015E-14</v>
      </c>
      <c r="EK143" s="17">
        <f>EJ143*VLOOKUP('Données projet'!$B$15,Paramètres!$A$1:$I$89,3,0)*VLOOKUP('Données projet'!$B$15,Paramètres!$A$1:$I$89,5,0)</f>
        <v>-4.5224624045658861E-14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316.52407313312403</v>
      </c>
      <c r="EP143" s="59">
        <f t="shared" si="154"/>
        <v>340.55949748167382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44.237468327004478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44.237468327004478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-5.6843418860808015E-14</v>
      </c>
      <c r="FF143" s="17">
        <f>FE143*VLOOKUP('Données projet'!$B$16,Paramètres!$A$1:$I$89,3,0)*VLOOKUP('Données projet'!$B$16,Paramètres!$A$1:$I$89,5,0)</f>
        <v>-3.7243808037601412E-14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199.99826357281154</v>
      </c>
      <c r="FK143" s="59">
        <f t="shared" si="156"/>
        <v>214.67424457475136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19.130499664141411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19.130499664141411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284.60021367910457</v>
      </c>
      <c r="T144" s="59">
        <f t="shared" si="142"/>
        <v>301.41905904220812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44.694606641351548</v>
      </c>
      <c r="AA144" s="21">
        <f>EXP(-LN(2)/25)*AA143+(1-EXP(-LN(2)/25))/(LN(2)/25)*Calculateur!V144*Calculateur!X144*VLOOKUP('Données projet'!$B$9,Paramètres!$A$1:$I$89,3,0)*0.475*44/12</f>
        <v>5.6706798459504855</v>
      </c>
      <c r="AB144" s="21">
        <f>EXP(-LN(2)/2)*AB143+(1-EXP(-LN(2)/2))/(LN(2)/2)*V144*Y144*VLOOKUP('Données projet'!$B$9,Paramètres!$A$1:$I$89,3,0)*0.475*44/12</f>
        <v>1.8288572138512049E-10</v>
      </c>
      <c r="AC144" s="22">
        <f t="shared" si="111"/>
        <v>50.365286487484923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294.45857786714919</v>
      </c>
      <c r="AO144" s="59">
        <f t="shared" si="144"/>
        <v>221.9773436301067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61.666850051593975</v>
      </c>
      <c r="AV144" s="21">
        <f>EXP(-LN(2)/25)*AV143+(1-EXP(-LN(2)/25))/(LN(2)/25)*Calculateur!AQ144*Calculateur!AS144*VLOOKUP('Données projet'!$B$10,Paramètres!$A$1:$I$89,3,0)*0.475*44/12</f>
        <v>8.8498482960401308</v>
      </c>
      <c r="AW144" s="21">
        <f>EXP(-LN(2)/2)*AW143+(1-EXP(-LN(2)/2))/(LN(2)/2)*AQ144*AT144*VLOOKUP('Données projet'!$B$10,Paramètres!$A$1:$I$89,3,0)*0.475*44/12</f>
        <v>6.7047932037640792E-8</v>
      </c>
      <c r="AX144" s="21">
        <f t="shared" si="114"/>
        <v>70.51669841468204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6.3550942286383367E-14</v>
      </c>
      <c r="BF144" s="13">
        <f t="shared" si="145"/>
        <v>1.0064464192543978E-12</v>
      </c>
      <c r="BG144" s="20">
        <f t="shared" si="115"/>
        <v>1.8635787380168604E-12</v>
      </c>
      <c r="BH144" s="59">
        <f t="shared" si="116"/>
        <v>293.33333333333519</v>
      </c>
      <c r="BI144" s="59">
        <f ca="1">AVERAGE(OFFSET($BH$3,0,0,'Données projet'!$E$11+1,1))-AVERAGE(OFFSET($H$3,0,0,'Données projet'!$E$11+1,1))</f>
        <v>304.91676868833792</v>
      </c>
      <c r="BJ144" s="59">
        <f t="shared" si="146"/>
        <v>365.95065044620048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44.165523749895499</v>
      </c>
      <c r="BQ144" s="21">
        <f>EXP(-LN(2)/25)*BQ143+(1-EXP(-LN(2)/25))/(LN(2)/25)*Calculateur!BL144*Calculateur!BN144*VLOOKUP('Données projet'!$B$11,Paramètres!$A$1:$I$89,3,0)*0.475*44/12</f>
        <v>5.5075430982438141</v>
      </c>
      <c r="BR144" s="21">
        <f>EXP(-LN(2)/2)*BR143+(1-EXP(-LN(2)/2))/(LN(2)/2)*BL144*BO144*VLOOKUP('Données projet'!$B$11,Paramètres!$A$1:$I$89,3,0)*0.475*44/12</f>
        <v>3.0906624175605212E-11</v>
      </c>
      <c r="BS144" s="22">
        <f t="shared" si="117"/>
        <v>49.673066848170222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-1.5961632016114892E-13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259.87681411271632</v>
      </c>
      <c r="CE144" s="59">
        <f t="shared" si="148"/>
        <v>191.8684235641158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105.55857479669753</v>
      </c>
      <c r="CL144" s="21">
        <f>EXP(-LN(2)/25)*CL143+(1-EXP(-LN(2)/25))/(LN(2)/25)*Calculateur!CG144*Calculateur!CI144*VLOOKUP('Données projet'!$B$12,Paramètres!$A$1:$I$89,3,0)*0.475*44/12</f>
        <v>17.576332766160817</v>
      </c>
      <c r="CM144" s="21">
        <f>EXP(-LN(2)/2)*CM143+(1-EXP(-LN(2)/2))/(LN(2)/2)*CG144*CJ144*VLOOKUP('Données projet'!$B$12,Paramètres!$A$1:$I$89,3,0)*0.475*44/12</f>
        <v>3.16785292537516E-5</v>
      </c>
      <c r="CN144" s="22">
        <f t="shared" si="120"/>
        <v>123.1349392413876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1.7053025658242404E-13</v>
      </c>
      <c r="CU144" s="17">
        <f>CT144*VLOOKUP('Données projet'!$B$13,Paramètres!$A$1:$I$89,3,0)*VLOOKUP('Données projet'!$B$13,Paramètres!$A$1:$I$89,5,0)</f>
        <v>7.9808160080574461E-14</v>
      </c>
      <c r="CV144" s="13">
        <f t="shared" si="149"/>
        <v>1.2308384591775343E-12</v>
      </c>
      <c r="CW144" s="20">
        <f t="shared" si="121"/>
        <v>2.282709528541206E-12</v>
      </c>
      <c r="CX144" s="59">
        <f t="shared" si="122"/>
        <v>293.33333333333559</v>
      </c>
      <c r="CY144" s="59">
        <f ca="1">AVERAGE(OFFSET($CX$3,0,0,'Données projet'!$E$13+1,1))-AVERAGE(OFFSET($H$3,0,0,'Données projet'!$E$13+1,1))</f>
        <v>137.59122085719031</v>
      </c>
      <c r="CZ144" s="59">
        <f t="shared" si="150"/>
        <v>130.1134470448718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56.25907162874509</v>
      </c>
      <c r="DG144" s="21">
        <f>EXP(-LN(2)/25)*DG143+(1-EXP(-LN(2)/25))/(LN(2)/25)*Calculateur!DB144*Calculateur!DD144*VLOOKUP('Données projet'!$B$13,Paramètres!$A$1:$I$89,3,0)*0.475*44/12</f>
        <v>9.2033679431436681</v>
      </c>
      <c r="DH144" s="21">
        <f>EXP(-LN(2)/2)*DH143+(1-EXP(-LN(2)/2))/(LN(2)/2)*DB144*DE144*VLOOKUP('Données projet'!$B$13,Paramètres!$A$1:$I$89,3,0)*0.475*44/12</f>
        <v>1.6327489813573952E-5</v>
      </c>
      <c r="DI144" s="22">
        <f t="shared" si="123"/>
        <v>65.462455899378568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-1.1527845344971866E-13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313.90901812281373</v>
      </c>
      <c r="DU144" s="59">
        <f t="shared" si="152"/>
        <v>210.54265725995265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164.08501370441635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164.08501370441635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-5.6843418860808015E-14</v>
      </c>
      <c r="EK144" s="17">
        <f>EJ144*VLOOKUP('Données projet'!$B$15,Paramètres!$A$1:$I$89,3,0)*VLOOKUP('Données projet'!$B$15,Paramètres!$A$1:$I$89,5,0)</f>
        <v>-4.5224624045658861E-14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316.52407313312403</v>
      </c>
      <c r="EP144" s="59">
        <f t="shared" si="154"/>
        <v>340.55949748167382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43.369998555303333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43.369998555303333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-5.6843418860808015E-14</v>
      </c>
      <c r="FF144" s="17">
        <f>FE144*VLOOKUP('Données projet'!$B$16,Paramètres!$A$1:$I$89,3,0)*VLOOKUP('Données projet'!$B$16,Paramètres!$A$1:$I$89,5,0)</f>
        <v>-3.7243808037601412E-14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199.99826357281154</v>
      </c>
      <c r="FK144" s="59">
        <f t="shared" si="156"/>
        <v>214.67424457475136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18.755362234180229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18.755362234180229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284.60021367910457</v>
      </c>
      <c r="T145" s="59">
        <f t="shared" si="142"/>
        <v>301.41905904220812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43.818172666132895</v>
      </c>
      <c r="AA145" s="21">
        <f>EXP(-LN(2)/25)*AA144+(1-EXP(-LN(2)/25))/(LN(2)/25)*Calculateur!V145*Calculateur!X145*VLOOKUP('Données projet'!$B$9,Paramètres!$A$1:$I$89,3,0)*0.475*44/12</f>
        <v>5.5156148073548765</v>
      </c>
      <c r="AB145" s="21">
        <f>EXP(-LN(2)/2)*AB144+(1-EXP(-LN(2)/2))/(LN(2)/2)*V145*Y145*VLOOKUP('Données projet'!$B$9,Paramètres!$A$1:$I$89,3,0)*0.475*44/12</f>
        <v>1.2931973377361229E-10</v>
      </c>
      <c r="AC145" s="22">
        <f t="shared" si="111"/>
        <v>49.333787473617093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294.45857786714919</v>
      </c>
      <c r="AO145" s="59">
        <f t="shared" si="144"/>
        <v>221.9773436301067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60.457600735146769</v>
      </c>
      <c r="AV145" s="21">
        <f>EXP(-LN(2)/25)*AV144+(1-EXP(-LN(2)/25))/(LN(2)/25)*Calculateur!AQ145*Calculateur!AS145*VLOOKUP('Données projet'!$B$10,Paramètres!$A$1:$I$89,3,0)*0.475*44/12</f>
        <v>8.6078487289916179</v>
      </c>
      <c r="AW145" s="21">
        <f>EXP(-LN(2)/2)*AW144+(1-EXP(-LN(2)/2))/(LN(2)/2)*AQ145*AT145*VLOOKUP('Données projet'!$B$10,Paramètres!$A$1:$I$89,3,0)*0.475*44/12</f>
        <v>4.7410047408350578E-8</v>
      </c>
      <c r="AX145" s="21">
        <f t="shared" si="114"/>
        <v>69.065449511548422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6.3550942286383367E-14</v>
      </c>
      <c r="BF145" s="13">
        <f t="shared" si="145"/>
        <v>1.0064464192543978E-12</v>
      </c>
      <c r="BG145" s="20">
        <f t="shared" si="115"/>
        <v>1.8635787380168604E-12</v>
      </c>
      <c r="BH145" s="59">
        <f t="shared" si="116"/>
        <v>293.33333333333519</v>
      </c>
      <c r="BI145" s="59">
        <f ca="1">AVERAGE(OFFSET($BH$3,0,0,'Données projet'!$E$11+1,1))-AVERAGE(OFFSET($H$3,0,0,'Données projet'!$E$11+1,1))</f>
        <v>304.91676868833792</v>
      </c>
      <c r="BJ145" s="59">
        <f t="shared" si="146"/>
        <v>365.95065044620048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43.299464767469601</v>
      </c>
      <c r="BQ145" s="21">
        <f>EXP(-LN(2)/25)*BQ144+(1-EXP(-LN(2)/25))/(LN(2)/25)*Calculateur!BL145*Calculateur!BN145*VLOOKUP('Données projet'!$B$11,Paramètres!$A$1:$I$89,3,0)*0.475*44/12</f>
        <v>5.3569390425932335</v>
      </c>
      <c r="BR145" s="21">
        <f>EXP(-LN(2)/2)*BR144+(1-EXP(-LN(2)/2))/(LN(2)/2)*BL145*BO145*VLOOKUP('Données projet'!$B$11,Paramètres!$A$1:$I$89,3,0)*0.475*44/12</f>
        <v>2.1854283538154535E-11</v>
      </c>
      <c r="BS145" s="22">
        <f t="shared" si="117"/>
        <v>48.65640381008469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-1.5961632016114892E-13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259.87681411271632</v>
      </c>
      <c r="CE145" s="59">
        <f t="shared" si="148"/>
        <v>191.8684235641158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103.48863552930749</v>
      </c>
      <c r="CL145" s="21">
        <f>EXP(-LN(2)/25)*CL144+(1-EXP(-LN(2)/25))/(LN(2)/25)*Calculateur!CG145*Calculateur!CI145*VLOOKUP('Données projet'!$B$12,Paramètres!$A$1:$I$89,3,0)*0.475*44/12</f>
        <v>17.095707022370981</v>
      </c>
      <c r="CM145" s="21">
        <f>EXP(-LN(2)/2)*CM144+(1-EXP(-LN(2)/2))/(LN(2)/2)*CG145*CJ145*VLOOKUP('Données projet'!$B$12,Paramètres!$A$1:$I$89,3,0)*0.475*44/12</f>
        <v>2.2400102853344178E-5</v>
      </c>
      <c r="CN145" s="22">
        <f t="shared" si="120"/>
        <v>120.58436495178132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1.7053025658242404E-13</v>
      </c>
      <c r="CU145" s="17">
        <f>CT145*VLOOKUP('Données projet'!$B$13,Paramètres!$A$1:$I$89,3,0)*VLOOKUP('Données projet'!$B$13,Paramètres!$A$1:$I$89,5,0)</f>
        <v>7.9808160080574461E-14</v>
      </c>
      <c r="CV145" s="13">
        <f t="shared" si="149"/>
        <v>1.2308384591775343E-12</v>
      </c>
      <c r="CW145" s="20">
        <f t="shared" si="121"/>
        <v>2.282709528541206E-12</v>
      </c>
      <c r="CX145" s="59">
        <f t="shared" si="122"/>
        <v>293.33333333333559</v>
      </c>
      <c r="CY145" s="59">
        <f ca="1">AVERAGE(OFFSET($CX$3,0,0,'Données projet'!$E$13+1,1))-AVERAGE(OFFSET($H$3,0,0,'Données projet'!$E$13+1,1))</f>
        <v>137.59122085719031</v>
      </c>
      <c r="CZ145" s="59">
        <f t="shared" si="150"/>
        <v>130.1134470448718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55.155865548750803</v>
      </c>
      <c r="DG145" s="21">
        <f>EXP(-LN(2)/25)*DG144+(1-EXP(-LN(2)/25))/(LN(2)/25)*Calculateur!DB145*Calculateur!DD145*VLOOKUP('Données projet'!$B$13,Paramètres!$A$1:$I$89,3,0)*0.475*44/12</f>
        <v>8.9517013627543189</v>
      </c>
      <c r="DH145" s="21">
        <f>EXP(-LN(2)/2)*DH144+(1-EXP(-LN(2)/2))/(LN(2)/2)*DB145*DE145*VLOOKUP('Données projet'!$B$13,Paramètres!$A$1:$I$89,3,0)*0.475*44/12</f>
        <v>1.154527876693242E-5</v>
      </c>
      <c r="DI145" s="22">
        <f t="shared" si="123"/>
        <v>64.107578456783884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-1.1527845344971866E-13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313.90901812281373</v>
      </c>
      <c r="DU145" s="59">
        <f t="shared" si="152"/>
        <v>210.54265725995265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160.86740666764882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160.86740666764882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-5.6843418860808015E-14</v>
      </c>
      <c r="EK145" s="17">
        <f>EJ145*VLOOKUP('Données projet'!$B$15,Paramètres!$A$1:$I$89,3,0)*VLOOKUP('Données projet'!$B$15,Paramètres!$A$1:$I$89,5,0)</f>
        <v>-4.5224624045658861E-14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316.52407313312403</v>
      </c>
      <c r="EP145" s="59">
        <f t="shared" si="154"/>
        <v>340.55949748167382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42.519539336720925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42.519539336720925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-5.6843418860808015E-14</v>
      </c>
      <c r="FF145" s="17">
        <f>FE145*VLOOKUP('Données projet'!$B$16,Paramètres!$A$1:$I$89,3,0)*VLOOKUP('Données projet'!$B$16,Paramètres!$A$1:$I$89,5,0)</f>
        <v>-3.7243808037601412E-14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199.99826357281154</v>
      </c>
      <c r="FK145" s="59">
        <f t="shared" si="156"/>
        <v>214.67424457475136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18.387581020409346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18.387581020409346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284.60021367910457</v>
      </c>
      <c r="T146" s="59">
        <f t="shared" si="142"/>
        <v>301.41905904220812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42.95892502659634</v>
      </c>
      <c r="AA146" s="21">
        <f>EXP(-LN(2)/25)*AA145+(1-EXP(-LN(2)/25))/(LN(2)/25)*Calculateur!V146*Calculateur!X146*VLOOKUP('Données projet'!$B$9,Paramètres!$A$1:$I$89,3,0)*0.475*44/12</f>
        <v>5.3647900303941807</v>
      </c>
      <c r="AB146" s="21">
        <f>EXP(-LN(2)/2)*AB145+(1-EXP(-LN(2)/2))/(LN(2)/2)*V146*Y146*VLOOKUP('Données projet'!$B$9,Paramètres!$A$1:$I$89,3,0)*0.475*44/12</f>
        <v>9.1442860692560244E-11</v>
      </c>
      <c r="AC146" s="22">
        <f t="shared" si="111"/>
        <v>48.323715057081962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294.45857786714919</v>
      </c>
      <c r="AO146" s="59">
        <f t="shared" si="144"/>
        <v>221.9773436301067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59.272064060225837</v>
      </c>
      <c r="AV146" s="21">
        <f>EXP(-LN(2)/25)*AV145+(1-EXP(-LN(2)/25))/(LN(2)/25)*Calculateur!AQ146*Calculateur!AS146*VLOOKUP('Données projet'!$B$10,Paramètres!$A$1:$I$89,3,0)*0.475*44/12</f>
        <v>8.3724666528302514</v>
      </c>
      <c r="AW146" s="21">
        <f>EXP(-LN(2)/2)*AW145+(1-EXP(-LN(2)/2))/(LN(2)/2)*AQ146*AT146*VLOOKUP('Données projet'!$B$10,Paramètres!$A$1:$I$89,3,0)*0.475*44/12</f>
        <v>3.3523966018820396E-8</v>
      </c>
      <c r="AX146" s="21">
        <f t="shared" si="114"/>
        <v>67.644530746580045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6.3550942286383367E-14</v>
      </c>
      <c r="BF146" s="13">
        <f t="shared" si="145"/>
        <v>1.0064464192543978E-12</v>
      </c>
      <c r="BG146" s="20">
        <f t="shared" si="115"/>
        <v>1.8635787380168604E-12</v>
      </c>
      <c r="BH146" s="59">
        <f t="shared" si="116"/>
        <v>293.33333333333519</v>
      </c>
      <c r="BI146" s="59">
        <f ca="1">AVERAGE(OFFSET($BH$3,0,0,'Données projet'!$E$11+1,1))-AVERAGE(OFFSET($H$3,0,0,'Données projet'!$E$11+1,1))</f>
        <v>304.91676868833792</v>
      </c>
      <c r="BJ146" s="59">
        <f t="shared" si="146"/>
        <v>365.95065044620048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42.450388673445254</v>
      </c>
      <c r="BQ146" s="21">
        <f>EXP(-LN(2)/25)*BQ145+(1-EXP(-LN(2)/25))/(LN(2)/25)*Calculateur!BL146*Calculateur!BN146*VLOOKUP('Données projet'!$B$11,Paramètres!$A$1:$I$89,3,0)*0.475*44/12</f>
        <v>5.2104532627643412</v>
      </c>
      <c r="BR146" s="21">
        <f>EXP(-LN(2)/2)*BR145+(1-EXP(-LN(2)/2))/(LN(2)/2)*BL146*BO146*VLOOKUP('Données projet'!$B$11,Paramètres!$A$1:$I$89,3,0)*0.475*44/12</f>
        <v>1.5453312087802606E-11</v>
      </c>
      <c r="BS146" s="22">
        <f t="shared" si="117"/>
        <v>47.660841936225047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-1.5961632016114892E-13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259.87681411271632</v>
      </c>
      <c r="CE146" s="59">
        <f t="shared" si="148"/>
        <v>191.8684235641158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101.45928650841267</v>
      </c>
      <c r="CL146" s="21">
        <f>EXP(-LN(2)/25)*CL145+(1-EXP(-LN(2)/25))/(LN(2)/25)*Calculateur!CG146*Calculateur!CI146*VLOOKUP('Données projet'!$B$12,Paramètres!$A$1:$I$89,3,0)*0.475*44/12</f>
        <v>16.628224014820088</v>
      </c>
      <c r="CM146" s="21">
        <f>EXP(-LN(2)/2)*CM145+(1-EXP(-LN(2)/2))/(LN(2)/2)*CG146*CJ146*VLOOKUP('Données projet'!$B$12,Paramètres!$A$1:$I$89,3,0)*0.475*44/12</f>
        <v>1.58392646268758E-5</v>
      </c>
      <c r="CN146" s="22">
        <f t="shared" si="120"/>
        <v>118.08752636249739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1.7053025658242404E-13</v>
      </c>
      <c r="CU146" s="17">
        <f>CT146*VLOOKUP('Données projet'!$B$13,Paramètres!$A$1:$I$89,3,0)*VLOOKUP('Données projet'!$B$13,Paramètres!$A$1:$I$89,5,0)</f>
        <v>7.9808160080574461E-14</v>
      </c>
      <c r="CV146" s="13">
        <f t="shared" si="149"/>
        <v>1.2308384591775343E-12</v>
      </c>
      <c r="CW146" s="20">
        <f t="shared" si="121"/>
        <v>2.282709528541206E-12</v>
      </c>
      <c r="CX146" s="59">
        <f t="shared" si="122"/>
        <v>293.33333333333559</v>
      </c>
      <c r="CY146" s="59">
        <f ca="1">AVERAGE(OFFSET($CX$3,0,0,'Données projet'!$E$13+1,1))-AVERAGE(OFFSET($H$3,0,0,'Données projet'!$E$13+1,1))</f>
        <v>137.59122085719031</v>
      </c>
      <c r="CZ146" s="59">
        <f t="shared" si="150"/>
        <v>130.1134470448718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54.074292667095939</v>
      </c>
      <c r="DG146" s="21">
        <f>EXP(-LN(2)/25)*DG145+(1-EXP(-LN(2)/25))/(LN(2)/25)*Calculateur!DB146*Calculateur!DD146*VLOOKUP('Données projet'!$B$13,Paramètres!$A$1:$I$89,3,0)*0.475*44/12</f>
        <v>8.7069166182402871</v>
      </c>
      <c r="DH146" s="21">
        <f>EXP(-LN(2)/2)*DH145+(1-EXP(-LN(2)/2))/(LN(2)/2)*DB146*DE146*VLOOKUP('Données projet'!$B$13,Paramètres!$A$1:$I$89,3,0)*0.475*44/12</f>
        <v>8.1637449067869761E-6</v>
      </c>
      <c r="DI146" s="22">
        <f t="shared" si="123"/>
        <v>62.781217449081133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-1.1527845344971866E-13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313.90901812281373</v>
      </c>
      <c r="DU146" s="59">
        <f t="shared" si="152"/>
        <v>210.54265725995265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157.71289494232582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157.71289494232582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-5.6843418860808015E-14</v>
      </c>
      <c r="EK146" s="17">
        <f>EJ146*VLOOKUP('Données projet'!$B$15,Paramètres!$A$1:$I$89,3,0)*VLOOKUP('Données projet'!$B$15,Paramètres!$A$1:$I$89,5,0)</f>
        <v>-4.5224624045658861E-14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316.52407313312403</v>
      </c>
      <c r="EP146" s="59">
        <f t="shared" si="154"/>
        <v>340.55949748167382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41.685757104686019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41.685757104686019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-5.6843418860808015E-14</v>
      </c>
      <c r="FF146" s="17">
        <f>FE146*VLOOKUP('Données projet'!$B$16,Paramètres!$A$1:$I$89,3,0)*VLOOKUP('Données projet'!$B$16,Paramètres!$A$1:$I$89,5,0)</f>
        <v>-3.7243808037601412E-14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199.99826357281154</v>
      </c>
      <c r="FK146" s="59">
        <f t="shared" si="156"/>
        <v>214.67424457475136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18.027011771916122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18.027011771916122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284.60021367910457</v>
      </c>
      <c r="T147" s="59">
        <f t="shared" si="142"/>
        <v>301.41905904220812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42.116526709181784</v>
      </c>
      <c r="AA147" s="21">
        <f>EXP(-LN(2)/25)*AA146+(1-EXP(-LN(2)/25))/(LN(2)/25)*Calculateur!V147*Calculateur!X147*VLOOKUP('Données projet'!$B$9,Paramètres!$A$1:$I$89,3,0)*0.475*44/12</f>
        <v>5.2180895648910051</v>
      </c>
      <c r="AB147" s="21">
        <f>EXP(-LN(2)/2)*AB146+(1-EXP(-LN(2)/2))/(LN(2)/2)*V147*Y147*VLOOKUP('Données projet'!$B$9,Paramètres!$A$1:$I$89,3,0)*0.475*44/12</f>
        <v>6.4659866886806143E-11</v>
      </c>
      <c r="AC147" s="22">
        <f t="shared" si="111"/>
        <v>47.334616274137446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294.45857786714919</v>
      </c>
      <c r="AO147" s="59">
        <f t="shared" si="144"/>
        <v>221.9773436301067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58.109775036394133</v>
      </c>
      <c r="AV147" s="21">
        <f>EXP(-LN(2)/25)*AV146+(1-EXP(-LN(2)/25))/(LN(2)/25)*Calculateur!AQ147*Calculateur!AS147*VLOOKUP('Données projet'!$B$10,Paramètres!$A$1:$I$89,3,0)*0.475*44/12</f>
        <v>8.1435211119197231</v>
      </c>
      <c r="AW147" s="21">
        <f>EXP(-LN(2)/2)*AW146+(1-EXP(-LN(2)/2))/(LN(2)/2)*AQ147*AT147*VLOOKUP('Données projet'!$B$10,Paramètres!$A$1:$I$89,3,0)*0.475*44/12</f>
        <v>2.3705023704175289E-8</v>
      </c>
      <c r="AX147" s="21">
        <f t="shared" si="114"/>
        <v>66.253296172018878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6.3550942286383367E-14</v>
      </c>
      <c r="BF147" s="13">
        <f t="shared" si="145"/>
        <v>1.0064464192543978E-12</v>
      </c>
      <c r="BG147" s="20">
        <f t="shared" si="115"/>
        <v>1.8635787380168604E-12</v>
      </c>
      <c r="BH147" s="59">
        <f t="shared" si="116"/>
        <v>293.33333333333519</v>
      </c>
      <c r="BI147" s="59">
        <f ca="1">AVERAGE(OFFSET($BH$3,0,0,'Données projet'!$E$11+1,1))-AVERAGE(OFFSET($H$3,0,0,'Données projet'!$E$11+1,1))</f>
        <v>304.91676868833792</v>
      </c>
      <c r="BJ147" s="59">
        <f t="shared" si="146"/>
        <v>365.95065044620048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41.617962443739444</v>
      </c>
      <c r="BQ147" s="21">
        <f>EXP(-LN(2)/25)*BQ146+(1-EXP(-LN(2)/25))/(LN(2)/25)*Calculateur!BL147*Calculateur!BN147*VLOOKUP('Données projet'!$B$11,Paramètres!$A$1:$I$89,3,0)*0.475*44/12</f>
        <v>5.0679731442882217</v>
      </c>
      <c r="BR147" s="21">
        <f>EXP(-LN(2)/2)*BR146+(1-EXP(-LN(2)/2))/(LN(2)/2)*BL147*BO147*VLOOKUP('Données projet'!$B$11,Paramètres!$A$1:$I$89,3,0)*0.475*44/12</f>
        <v>1.0927141769077267E-11</v>
      </c>
      <c r="BS147" s="22">
        <f t="shared" si="117"/>
        <v>46.685935588038596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-1.5961632016114892E-13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259.87681411271632</v>
      </c>
      <c r="CE147" s="59">
        <f t="shared" si="148"/>
        <v>191.8684235641158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99.469731784036924</v>
      </c>
      <c r="CL147" s="21">
        <f>EXP(-LN(2)/25)*CL146+(1-EXP(-LN(2)/25))/(LN(2)/25)*Calculateur!CG147*Calculateur!CI147*VLOOKUP('Données projet'!$B$12,Paramètres!$A$1:$I$89,3,0)*0.475*44/12</f>
        <v>16.173524354694536</v>
      </c>
      <c r="CM147" s="21">
        <f>EXP(-LN(2)/2)*CM146+(1-EXP(-LN(2)/2))/(LN(2)/2)*CG147*CJ147*VLOOKUP('Données projet'!$B$12,Paramètres!$A$1:$I$89,3,0)*0.475*44/12</f>
        <v>1.1200051426672089E-5</v>
      </c>
      <c r="CN147" s="22">
        <f t="shared" si="120"/>
        <v>115.64326733878289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1.7053025658242404E-13</v>
      </c>
      <c r="CU147" s="17">
        <f>CT147*VLOOKUP('Données projet'!$B$13,Paramètres!$A$1:$I$89,3,0)*VLOOKUP('Données projet'!$B$13,Paramètres!$A$1:$I$89,5,0)</f>
        <v>7.9808160080574461E-14</v>
      </c>
      <c r="CV147" s="13">
        <f t="shared" si="149"/>
        <v>1.2308384591775343E-12</v>
      </c>
      <c r="CW147" s="20">
        <f t="shared" si="121"/>
        <v>2.282709528541206E-12</v>
      </c>
      <c r="CX147" s="59">
        <f t="shared" si="122"/>
        <v>293.33333333333559</v>
      </c>
      <c r="CY147" s="59">
        <f ca="1">AVERAGE(OFFSET($CX$3,0,0,'Données projet'!$E$13+1,1))-AVERAGE(OFFSET($H$3,0,0,'Données projet'!$E$13+1,1))</f>
        <v>137.59122085719031</v>
      </c>
      <c r="CZ147" s="59">
        <f t="shared" si="150"/>
        <v>130.1134470448718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53.01392876995601</v>
      </c>
      <c r="DG147" s="21">
        <f>EXP(-LN(2)/25)*DG146+(1-EXP(-LN(2)/25))/(LN(2)/25)*Calculateur!DB147*Calculateur!DD147*VLOOKUP('Données projet'!$B$13,Paramètres!$A$1:$I$89,3,0)*0.475*44/12</f>
        <v>8.4688255254376621</v>
      </c>
      <c r="DH147" s="21">
        <f>EXP(-LN(2)/2)*DH146+(1-EXP(-LN(2)/2))/(LN(2)/2)*DB147*DE147*VLOOKUP('Données projet'!$B$13,Paramètres!$A$1:$I$89,3,0)*0.475*44/12</f>
        <v>5.7726393834662101E-6</v>
      </c>
      <c r="DI147" s="22">
        <f t="shared" si="123"/>
        <v>61.482760068033059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-1.1527845344971866E-13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313.90901812281373</v>
      </c>
      <c r="DU147" s="59">
        <f t="shared" si="152"/>
        <v>210.54265725995265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154.62024126787421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154.62024126787421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-5.6843418860808015E-14</v>
      </c>
      <c r="EK147" s="17">
        <f>EJ147*VLOOKUP('Données projet'!$B$15,Paramètres!$A$1:$I$89,3,0)*VLOOKUP('Données projet'!$B$15,Paramètres!$A$1:$I$89,5,0)</f>
        <v>-4.5224624045658861E-14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316.52407313312403</v>
      </c>
      <c r="EP147" s="59">
        <f t="shared" si="154"/>
        <v>340.55949748167382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40.868324833664367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40.868324833664367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-5.6843418860808015E-14</v>
      </c>
      <c r="FF147" s="17">
        <f>FE147*VLOOKUP('Données projet'!$B$16,Paramètres!$A$1:$I$89,3,0)*VLOOKUP('Données projet'!$B$16,Paramètres!$A$1:$I$89,5,0)</f>
        <v>-3.7243808037601412E-14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199.99826357281154</v>
      </c>
      <c r="FK147" s="59">
        <f t="shared" si="156"/>
        <v>214.67424457475136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17.673513066460323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17.673513066460323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284.60021367910457</v>
      </c>
      <c r="T148" s="59">
        <f t="shared" si="142"/>
        <v>301.41905904220812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41.290647308959485</v>
      </c>
      <c r="AA148" s="21">
        <f>EXP(-LN(2)/25)*AA147+(1-EXP(-LN(2)/25))/(LN(2)/25)*Calculateur!V148*Calculateur!X148*VLOOKUP('Données projet'!$B$9,Paramètres!$A$1:$I$89,3,0)*0.475*44/12</f>
        <v>5.0754006313316564</v>
      </c>
      <c r="AB148" s="21">
        <f>EXP(-LN(2)/2)*AB147+(1-EXP(-LN(2)/2))/(LN(2)/2)*V148*Y148*VLOOKUP('Données projet'!$B$9,Paramètres!$A$1:$I$89,3,0)*0.475*44/12</f>
        <v>4.5721430346280122E-11</v>
      </c>
      <c r="AC148" s="22">
        <f t="shared" si="111"/>
        <v>46.366047940336863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294.45857786714919</v>
      </c>
      <c r="AO148" s="59">
        <f t="shared" si="144"/>
        <v>221.9773436301067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56.970277791393464</v>
      </c>
      <c r="AV148" s="21">
        <f>EXP(-LN(2)/25)*AV147+(1-EXP(-LN(2)/25))/(LN(2)/25)*Calculateur!AQ148*Calculateur!AS148*VLOOKUP('Données projet'!$B$10,Paramètres!$A$1:$I$89,3,0)*0.475*44/12</f>
        <v>7.9208360988651156</v>
      </c>
      <c r="AW148" s="21">
        <f>EXP(-LN(2)/2)*AW147+(1-EXP(-LN(2)/2))/(LN(2)/2)*AQ148*AT148*VLOOKUP('Données projet'!$B$10,Paramètres!$A$1:$I$89,3,0)*0.475*44/12</f>
        <v>1.6761983009410198E-8</v>
      </c>
      <c r="AX148" s="21">
        <f t="shared" si="114"/>
        <v>64.891113907020568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6.3550942286383367E-14</v>
      </c>
      <c r="BF148" s="13">
        <f t="shared" si="145"/>
        <v>1.0064464192543978E-12</v>
      </c>
      <c r="BG148" s="20">
        <f t="shared" si="115"/>
        <v>1.8635787380168604E-12</v>
      </c>
      <c r="BH148" s="59">
        <f t="shared" si="116"/>
        <v>293.33333333333519</v>
      </c>
      <c r="BI148" s="59">
        <f ca="1">AVERAGE(OFFSET($BH$3,0,0,'Données projet'!$E$11+1,1))-AVERAGE(OFFSET($H$3,0,0,'Données projet'!$E$11+1,1))</f>
        <v>304.91676868833792</v>
      </c>
      <c r="BJ148" s="59">
        <f t="shared" si="146"/>
        <v>365.95065044620048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40.8018595846683</v>
      </c>
      <c r="BQ148" s="21">
        <f>EXP(-LN(2)/25)*BQ147+(1-EXP(-LN(2)/25))/(LN(2)/25)*Calculateur!BL148*Calculateur!BN148*VLOOKUP('Données projet'!$B$11,Paramètres!$A$1:$I$89,3,0)*0.475*44/12</f>
        <v>4.9293891521445357</v>
      </c>
      <c r="BR148" s="21">
        <f>EXP(-LN(2)/2)*BR147+(1-EXP(-LN(2)/2))/(LN(2)/2)*BL148*BO148*VLOOKUP('Données projet'!$B$11,Paramètres!$A$1:$I$89,3,0)*0.475*44/12</f>
        <v>7.726656043901303E-12</v>
      </c>
      <c r="BS148" s="22">
        <f t="shared" si="117"/>
        <v>45.731248736820561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-1.5961632016114892E-13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259.87681411271632</v>
      </c>
      <c r="CE148" s="59">
        <f t="shared" si="148"/>
        <v>191.8684235641158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97.519191014297633</v>
      </c>
      <c r="CL148" s="21">
        <f>EXP(-LN(2)/25)*CL147+(1-EXP(-LN(2)/25))/(LN(2)/25)*Calculateur!CG148*Calculateur!CI148*VLOOKUP('Données projet'!$B$12,Paramètres!$A$1:$I$89,3,0)*0.475*44/12</f>
        <v>15.731258480686733</v>
      </c>
      <c r="CM148" s="21">
        <f>EXP(-LN(2)/2)*CM147+(1-EXP(-LN(2)/2))/(LN(2)/2)*CG148*CJ148*VLOOKUP('Données projet'!$B$12,Paramètres!$A$1:$I$89,3,0)*0.475*44/12</f>
        <v>7.9196323134379001E-6</v>
      </c>
      <c r="CN148" s="22">
        <f t="shared" si="120"/>
        <v>113.25045741461668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1.7053025658242404E-13</v>
      </c>
      <c r="CU148" s="17">
        <f>CT148*VLOOKUP('Données projet'!$B$13,Paramètres!$A$1:$I$89,3,0)*VLOOKUP('Données projet'!$B$13,Paramètres!$A$1:$I$89,5,0)</f>
        <v>7.9808160080574461E-14</v>
      </c>
      <c r="CV148" s="13">
        <f t="shared" si="149"/>
        <v>1.2308384591775343E-12</v>
      </c>
      <c r="CW148" s="20">
        <f t="shared" si="121"/>
        <v>2.282709528541206E-12</v>
      </c>
      <c r="CX148" s="59">
        <f t="shared" si="122"/>
        <v>293.33333333333559</v>
      </c>
      <c r="CY148" s="59">
        <f ca="1">AVERAGE(OFFSET($CX$3,0,0,'Données projet'!$E$13+1,1))-AVERAGE(OFFSET($H$3,0,0,'Données projet'!$E$13+1,1))</f>
        <v>137.59122085719031</v>
      </c>
      <c r="CZ148" s="59">
        <f t="shared" si="150"/>
        <v>130.1134470448718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51.974357962080873</v>
      </c>
      <c r="DG148" s="21">
        <f>EXP(-LN(2)/25)*DG147+(1-EXP(-LN(2)/25))/(LN(2)/25)*Calculateur!DB148*Calculateur!DD148*VLOOKUP('Données projet'!$B$13,Paramètres!$A$1:$I$89,3,0)*0.475*44/12</f>
        <v>8.2372450460883915</v>
      </c>
      <c r="DH148" s="21">
        <f>EXP(-LN(2)/2)*DH147+(1-EXP(-LN(2)/2))/(LN(2)/2)*DB148*DE148*VLOOKUP('Données projet'!$B$13,Paramètres!$A$1:$I$89,3,0)*0.475*44/12</f>
        <v>4.0818724533934881E-6</v>
      </c>
      <c r="DI148" s="22">
        <f t="shared" si="123"/>
        <v>60.211607090041717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-1.1527845344971866E-13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313.90901812281373</v>
      </c>
      <c r="DU148" s="59">
        <f t="shared" si="152"/>
        <v>210.54265725995265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151.58823264564612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151.58823264564612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-5.6843418860808015E-14</v>
      </c>
      <c r="EK148" s="17">
        <f>EJ148*VLOOKUP('Données projet'!$B$15,Paramètres!$A$1:$I$89,3,0)*VLOOKUP('Données projet'!$B$15,Paramètres!$A$1:$I$89,5,0)</f>
        <v>-4.5224624045658861E-14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316.52407313312403</v>
      </c>
      <c r="EP148" s="59">
        <f t="shared" si="154"/>
        <v>340.55949748167382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40.066921910893001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40.066921910893001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-5.6843418860808015E-14</v>
      </c>
      <c r="FF148" s="17">
        <f>FE148*VLOOKUP('Données projet'!$B$16,Paramètres!$A$1:$I$89,3,0)*VLOOKUP('Données projet'!$B$16,Paramètres!$A$1:$I$89,5,0)</f>
        <v>-3.7243808037601412E-14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199.99826357281154</v>
      </c>
      <c r="FK148" s="59">
        <f t="shared" si="156"/>
        <v>214.67424457475136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17.326946255005591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17.326946255005591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284.60021367910457</v>
      </c>
      <c r="T149" s="59">
        <f t="shared" si="142"/>
        <v>301.41905904220812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40.480962900038854</v>
      </c>
      <c r="AA149" s="21">
        <f>EXP(-LN(2)/25)*AA148+(1-EXP(-LN(2)/25))/(LN(2)/25)*Calculateur!V149*Calculateur!X149*VLOOKUP('Données projet'!$B$9,Paramètres!$A$1:$I$89,3,0)*0.475*44/12</f>
        <v>4.9366135341641728</v>
      </c>
      <c r="AB149" s="21">
        <f>EXP(-LN(2)/2)*AB148+(1-EXP(-LN(2)/2))/(LN(2)/2)*V149*Y149*VLOOKUP('Données projet'!$B$9,Paramètres!$A$1:$I$89,3,0)*0.475*44/12</f>
        <v>3.2329933443403072E-11</v>
      </c>
      <c r="AC149" s="22">
        <f t="shared" si="111"/>
        <v>45.417576434235357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294.45857786714919</v>
      </c>
      <c r="AO149" s="59">
        <f t="shared" si="144"/>
        <v>221.9773436301067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55.853125392342569</v>
      </c>
      <c r="AV149" s="21">
        <f>EXP(-LN(2)/25)*AV148+(1-EXP(-LN(2)/25))/(LN(2)/25)*Calculateur!AQ149*Calculateur!AS149*VLOOKUP('Données projet'!$B$10,Paramètres!$A$1:$I$89,3,0)*0.475*44/12</f>
        <v>7.7042404192029821</v>
      </c>
      <c r="AW149" s="21">
        <f>EXP(-LN(2)/2)*AW148+(1-EXP(-LN(2)/2))/(LN(2)/2)*AQ149*AT149*VLOOKUP('Données projet'!$B$10,Paramètres!$A$1:$I$89,3,0)*0.475*44/12</f>
        <v>1.1852511852087644E-8</v>
      </c>
      <c r="AX149" s="21">
        <f t="shared" si="114"/>
        <v>63.557365823398065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6.3550942286383367E-14</v>
      </c>
      <c r="BF149" s="13">
        <f t="shared" si="145"/>
        <v>1.0064464192543978E-12</v>
      </c>
      <c r="BG149" s="20">
        <f t="shared" si="115"/>
        <v>1.8635787380168604E-12</v>
      </c>
      <c r="BH149" s="59">
        <f t="shared" si="116"/>
        <v>293.33333333333519</v>
      </c>
      <c r="BI149" s="59">
        <f ca="1">AVERAGE(OFFSET($BH$3,0,0,'Données projet'!$E$11+1,1))-AVERAGE(OFFSET($H$3,0,0,'Données projet'!$E$11+1,1))</f>
        <v>304.91676868833792</v>
      </c>
      <c r="BJ149" s="59">
        <f t="shared" si="146"/>
        <v>365.95065044620048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40.001760004889945</v>
      </c>
      <c r="BQ149" s="21">
        <f>EXP(-LN(2)/25)*BQ148+(1-EXP(-LN(2)/25))/(LN(2)/25)*Calculateur!BL149*Calculateur!BN149*VLOOKUP('Données projet'!$B$11,Paramètres!$A$1:$I$89,3,0)*0.475*44/12</f>
        <v>4.7945947465538339</v>
      </c>
      <c r="BR149" s="21">
        <f>EXP(-LN(2)/2)*BR148+(1-EXP(-LN(2)/2))/(LN(2)/2)*BL149*BO149*VLOOKUP('Données projet'!$B$11,Paramètres!$A$1:$I$89,3,0)*0.475*44/12</f>
        <v>5.4635708845386337E-12</v>
      </c>
      <c r="BS149" s="22">
        <f t="shared" si="117"/>
        <v>44.796354751449243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-1.5961632016114892E-13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259.87681411271632</v>
      </c>
      <c r="CE149" s="59">
        <f t="shared" si="148"/>
        <v>191.8684235641158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95.606899159340529</v>
      </c>
      <c r="CL149" s="21">
        <f>EXP(-LN(2)/25)*CL148+(1-EXP(-LN(2)/25))/(LN(2)/25)*Calculateur!CG149*Calculateur!CI149*VLOOKUP('Données projet'!$B$12,Paramètres!$A$1:$I$89,3,0)*0.475*44/12</f>
        <v>15.301086390261425</v>
      </c>
      <c r="CM149" s="21">
        <f>EXP(-LN(2)/2)*CM148+(1-EXP(-LN(2)/2))/(LN(2)/2)*CG149*CJ149*VLOOKUP('Données projet'!$B$12,Paramètres!$A$1:$I$89,3,0)*0.475*44/12</f>
        <v>5.6000257133360444E-6</v>
      </c>
      <c r="CN149" s="22">
        <f t="shared" si="120"/>
        <v>110.90799114962768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1.7053025658242404E-13</v>
      </c>
      <c r="CU149" s="17">
        <f>CT149*VLOOKUP('Données projet'!$B$13,Paramètres!$A$1:$I$89,3,0)*VLOOKUP('Données projet'!$B$13,Paramètres!$A$1:$I$89,5,0)</f>
        <v>7.9808160080574461E-14</v>
      </c>
      <c r="CV149" s="13">
        <f t="shared" si="149"/>
        <v>1.2308384591775343E-12</v>
      </c>
      <c r="CW149" s="20">
        <f t="shared" si="121"/>
        <v>2.282709528541206E-12</v>
      </c>
      <c r="CX149" s="59">
        <f t="shared" si="122"/>
        <v>293.33333333333559</v>
      </c>
      <c r="CY149" s="59">
        <f ca="1">AVERAGE(OFFSET($CX$3,0,0,'Données projet'!$E$13+1,1))-AVERAGE(OFFSET($H$3,0,0,'Données projet'!$E$13+1,1))</f>
        <v>137.59122085719031</v>
      </c>
      <c r="CZ149" s="59">
        <f t="shared" si="150"/>
        <v>130.1134470448718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50.955172503672586</v>
      </c>
      <c r="DG149" s="21">
        <f>EXP(-LN(2)/25)*DG148+(1-EXP(-LN(2)/25))/(LN(2)/25)*Calculateur!DB149*Calculateur!DD149*VLOOKUP('Données projet'!$B$13,Paramètres!$A$1:$I$89,3,0)*0.475*44/12</f>
        <v>8.0119971471252143</v>
      </c>
      <c r="DH149" s="21">
        <f>EXP(-LN(2)/2)*DH148+(1-EXP(-LN(2)/2))/(LN(2)/2)*DB149*DE149*VLOOKUP('Données projet'!$B$13,Paramètres!$A$1:$I$89,3,0)*0.475*44/12</f>
        <v>2.8863196917331051E-6</v>
      </c>
      <c r="DI149" s="22">
        <f t="shared" si="123"/>
        <v>58.967172537117492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-1.1527845344971866E-13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313.90901812281373</v>
      </c>
      <c r="DU149" s="59">
        <f t="shared" si="152"/>
        <v>210.54265725995265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148.61567986315728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148.61567986315728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-5.6843418860808015E-14</v>
      </c>
      <c r="EK149" s="17">
        <f>EJ149*VLOOKUP('Données projet'!$B$15,Paramètres!$A$1:$I$89,3,0)*VLOOKUP('Données projet'!$B$15,Paramètres!$A$1:$I$89,5,0)</f>
        <v>-4.5224624045658861E-14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316.52407313312403</v>
      </c>
      <c r="EP149" s="59">
        <f t="shared" si="154"/>
        <v>340.55949748167382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39.28123401062966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39.28123401062966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-5.6843418860808015E-14</v>
      </c>
      <c r="FF149" s="17">
        <f>FE149*VLOOKUP('Données projet'!$B$16,Paramètres!$A$1:$I$89,3,0)*VLOOKUP('Données projet'!$B$16,Paramètres!$A$1:$I$89,5,0)</f>
        <v>-3.7243808037601412E-14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199.99826357281154</v>
      </c>
      <c r="FK149" s="59">
        <f t="shared" si="156"/>
        <v>214.67424457475136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16.987175407338604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16.987175407338604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284.60021367910457</v>
      </c>
      <c r="T150" s="59">
        <f t="shared" si="142"/>
        <v>301.41905904220812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39.687155908518434</v>
      </c>
      <c r="AA150" s="21">
        <f>EXP(-LN(2)/25)*AA149+(1-EXP(-LN(2)/25))/(LN(2)/25)*Calculateur!V150*Calculateur!X150*VLOOKUP('Données projet'!$B$9,Paramètres!$A$1:$I$89,3,0)*0.475*44/12</f>
        <v>4.8016215774672304</v>
      </c>
      <c r="AB150" s="21">
        <f>EXP(-LN(2)/2)*AB149+(1-EXP(-LN(2)/2))/(LN(2)/2)*V150*Y150*VLOOKUP('Données projet'!$B$9,Paramètres!$A$1:$I$89,3,0)*0.475*44/12</f>
        <v>2.2860715173140061E-11</v>
      </c>
      <c r="AC150" s="22">
        <f t="shared" si="111"/>
        <v>44.488777486008523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294.45857786714919</v>
      </c>
      <c r="AO150" s="59">
        <f t="shared" si="144"/>
        <v>221.9773436301067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54.757879670441383</v>
      </c>
      <c r="AV150" s="21">
        <f>EXP(-LN(2)/25)*AV149+(1-EXP(-LN(2)/25))/(LN(2)/25)*Calculateur!AQ150*Calculateur!AS150*VLOOKUP('Données projet'!$B$10,Paramètres!$A$1:$I$89,3,0)*0.475*44/12</f>
        <v>7.4935675597914813</v>
      </c>
      <c r="AW150" s="21">
        <f>EXP(-LN(2)/2)*AW149+(1-EXP(-LN(2)/2))/(LN(2)/2)*AQ150*AT150*VLOOKUP('Données projet'!$B$10,Paramètres!$A$1:$I$89,3,0)*0.475*44/12</f>
        <v>8.380991504705099E-9</v>
      </c>
      <c r="AX150" s="21">
        <f t="shared" si="114"/>
        <v>62.251447238613856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6.3550942286383367E-14</v>
      </c>
      <c r="BF150" s="13">
        <f t="shared" si="145"/>
        <v>1.0064464192543978E-12</v>
      </c>
      <c r="BG150" s="20">
        <f t="shared" si="115"/>
        <v>1.8635787380168604E-12</v>
      </c>
      <c r="BH150" s="59">
        <f t="shared" si="116"/>
        <v>293.33333333333519</v>
      </c>
      <c r="BI150" s="59">
        <f ca="1">AVERAGE(OFFSET($BH$3,0,0,'Données projet'!$E$11+1,1))-AVERAGE(OFFSET($H$3,0,0,'Données projet'!$E$11+1,1))</f>
        <v>304.91676868833792</v>
      </c>
      <c r="BJ150" s="59">
        <f t="shared" si="146"/>
        <v>365.95065044620048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39.21734988985849</v>
      </c>
      <c r="BQ150" s="21">
        <f>EXP(-LN(2)/25)*BQ149+(1-EXP(-LN(2)/25))/(LN(2)/25)*Calculateur!BL150*Calculateur!BN150*VLOOKUP('Données projet'!$B$11,Paramètres!$A$1:$I$89,3,0)*0.475*44/12</f>
        <v>4.66348630107254</v>
      </c>
      <c r="BR150" s="21">
        <f>EXP(-LN(2)/2)*BR149+(1-EXP(-LN(2)/2))/(LN(2)/2)*BL150*BO150*VLOOKUP('Données projet'!$B$11,Paramètres!$A$1:$I$89,3,0)*0.475*44/12</f>
        <v>3.8633280219506515E-12</v>
      </c>
      <c r="BS150" s="22">
        <f t="shared" si="117"/>
        <v>43.880836190934893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-1.5961632016114892E-13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259.87681411271632</v>
      </c>
      <c r="CE150" s="59">
        <f t="shared" si="148"/>
        <v>191.8684235641158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93.732106181276279</v>
      </c>
      <c r="CL150" s="21">
        <f>EXP(-LN(2)/25)*CL149+(1-EXP(-LN(2)/25))/(LN(2)/25)*Calculateur!CG150*Calculateur!CI150*VLOOKUP('Données projet'!$B$12,Paramètres!$A$1:$I$89,3,0)*0.475*44/12</f>
        <v>14.882677378270564</v>
      </c>
      <c r="CM150" s="21">
        <f>EXP(-LN(2)/2)*CM149+(1-EXP(-LN(2)/2))/(LN(2)/2)*CG150*CJ150*VLOOKUP('Données projet'!$B$12,Paramètres!$A$1:$I$89,3,0)*0.475*44/12</f>
        <v>3.9598161567189501E-6</v>
      </c>
      <c r="CN150" s="22">
        <f t="shared" si="120"/>
        <v>108.61478751936301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1.7053025658242404E-13</v>
      </c>
      <c r="CU150" s="17">
        <f>CT150*VLOOKUP('Données projet'!$B$13,Paramètres!$A$1:$I$89,3,0)*VLOOKUP('Données projet'!$B$13,Paramètres!$A$1:$I$89,5,0)</f>
        <v>7.9808160080574461E-14</v>
      </c>
      <c r="CV150" s="13">
        <f t="shared" si="149"/>
        <v>1.2308384591775343E-12</v>
      </c>
      <c r="CW150" s="20">
        <f t="shared" si="121"/>
        <v>2.282709528541206E-12</v>
      </c>
      <c r="CX150" s="59">
        <f t="shared" si="122"/>
        <v>293.33333333333559</v>
      </c>
      <c r="CY150" s="59">
        <f ca="1">AVERAGE(OFFSET($CX$3,0,0,'Données projet'!$E$13+1,1))-AVERAGE(OFFSET($H$3,0,0,'Données projet'!$E$13+1,1))</f>
        <v>137.59122085719031</v>
      </c>
      <c r="CZ150" s="59">
        <f t="shared" si="150"/>
        <v>130.1134470448718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49.955972650461938</v>
      </c>
      <c r="DG150" s="21">
        <f>EXP(-LN(2)/25)*DG149+(1-EXP(-LN(2)/25))/(LN(2)/25)*Calculateur!DB150*Calculateur!DD150*VLOOKUP('Données projet'!$B$13,Paramètres!$A$1:$I$89,3,0)*0.475*44/12</f>
        <v>7.7929086638044573</v>
      </c>
      <c r="DH150" s="21">
        <f>EXP(-LN(2)/2)*DH149+(1-EXP(-LN(2)/2))/(LN(2)/2)*DB150*DE150*VLOOKUP('Données projet'!$B$13,Paramètres!$A$1:$I$89,3,0)*0.475*44/12</f>
        <v>2.040936226696744E-6</v>
      </c>
      <c r="DI150" s="22">
        <f t="shared" si="123"/>
        <v>57.748883355202622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-1.1527845344971866E-13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313.90901812281373</v>
      </c>
      <c r="DU150" s="59">
        <f t="shared" si="152"/>
        <v>210.54265725995265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145.70141702765488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145.70141702765488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-5.6843418860808015E-14</v>
      </c>
      <c r="EK150" s="17">
        <f>EJ150*VLOOKUP('Données projet'!$B$15,Paramètres!$A$1:$I$89,3,0)*VLOOKUP('Données projet'!$B$15,Paramètres!$A$1:$I$89,5,0)</f>
        <v>-4.5224624045658861E-14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316.52407313312403</v>
      </c>
      <c r="EP150" s="59">
        <f t="shared" si="154"/>
        <v>340.55949748167382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38.510952970868189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38.510952970868189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-5.6843418860808015E-14</v>
      </c>
      <c r="FF150" s="17">
        <f>FE150*VLOOKUP('Données projet'!$B$16,Paramètres!$A$1:$I$89,3,0)*VLOOKUP('Données projet'!$B$16,Paramètres!$A$1:$I$89,5,0)</f>
        <v>-3.7243808037601412E-14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199.99826357281154</v>
      </c>
      <c r="FK150" s="59">
        <f t="shared" si="156"/>
        <v>214.67424457475136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16.654067258754615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16.654067258754615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284.60021367910457</v>
      </c>
      <c r="T151" s="59">
        <f t="shared" si="142"/>
        <v>301.41905904220812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38.908914987927268</v>
      </c>
      <c r="AA151" s="21">
        <f>EXP(-LN(2)/25)*AA150+(1-EXP(-LN(2)/25))/(LN(2)/25)*Calculateur!V151*Calculateur!X151*VLOOKUP('Données projet'!$B$9,Paramètres!$A$1:$I$89,3,0)*0.475*44/12</f>
        <v>4.6703209829250847</v>
      </c>
      <c r="AB151" s="21">
        <f>EXP(-LN(2)/2)*AB150+(1-EXP(-LN(2)/2))/(LN(2)/2)*V151*Y151*VLOOKUP('Données projet'!$B$9,Paramètres!$A$1:$I$89,3,0)*0.475*44/12</f>
        <v>1.6164966721701536E-11</v>
      </c>
      <c r="AC151" s="22">
        <f t="shared" si="111"/>
        <v>43.579235970868517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294.45857786714919</v>
      </c>
      <c r="AO151" s="59">
        <f t="shared" si="144"/>
        <v>221.9773436301067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53.684111049112751</v>
      </c>
      <c r="AV151" s="21">
        <f>EXP(-LN(2)/25)*AV150+(1-EXP(-LN(2)/25))/(LN(2)/25)*Calculateur!AQ151*Calculateur!AS151*VLOOKUP('Données projet'!$B$10,Paramètres!$A$1:$I$89,3,0)*0.475*44/12</f>
        <v>7.2886555607993921</v>
      </c>
      <c r="AW151" s="21">
        <f>EXP(-LN(2)/2)*AW150+(1-EXP(-LN(2)/2))/(LN(2)/2)*AQ151*AT151*VLOOKUP('Données projet'!$B$10,Paramètres!$A$1:$I$89,3,0)*0.475*44/12</f>
        <v>5.9262559260438222E-9</v>
      </c>
      <c r="AX151" s="21">
        <f t="shared" si="114"/>
        <v>60.972766615838395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6.3550942286383367E-14</v>
      </c>
      <c r="BF151" s="13">
        <f t="shared" si="145"/>
        <v>1.0064464192543978E-12</v>
      </c>
      <c r="BG151" s="20">
        <f t="shared" si="115"/>
        <v>1.8635787380168604E-12</v>
      </c>
      <c r="BH151" s="59">
        <f t="shared" si="116"/>
        <v>293.33333333333519</v>
      </c>
      <c r="BI151" s="59">
        <f ca="1">AVERAGE(OFFSET($BH$3,0,0,'Données projet'!$E$11+1,1))-AVERAGE(OFFSET($H$3,0,0,'Données projet'!$E$11+1,1))</f>
        <v>304.91676868833792</v>
      </c>
      <c r="BJ151" s="59">
        <f t="shared" si="146"/>
        <v>365.95065044620048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38.448321578739872</v>
      </c>
      <c r="BQ151" s="21">
        <f>EXP(-LN(2)/25)*BQ150+(1-EXP(-LN(2)/25))/(LN(2)/25)*Calculateur!BL151*Calculateur!BN151*VLOOKUP('Données projet'!$B$11,Paramètres!$A$1:$I$89,3,0)*0.475*44/12</f>
        <v>4.5359630229276258</v>
      </c>
      <c r="BR151" s="21">
        <f>EXP(-LN(2)/2)*BR150+(1-EXP(-LN(2)/2))/(LN(2)/2)*BL151*BO151*VLOOKUP('Données projet'!$B$11,Paramètres!$A$1:$I$89,3,0)*0.475*44/12</f>
        <v>2.7317854422693168E-12</v>
      </c>
      <c r="BS151" s="22">
        <f t="shared" si="117"/>
        <v>42.984284601670225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-1.5961632016114892E-13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259.87681411271632</v>
      </c>
      <c r="CE151" s="59">
        <f t="shared" si="148"/>
        <v>191.8684235641158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91.894076750001062</v>
      </c>
      <c r="CL151" s="21">
        <f>EXP(-LN(2)/25)*CL150+(1-EXP(-LN(2)/25))/(LN(2)/25)*Calculateur!CG151*Calculateur!CI151*VLOOKUP('Données projet'!$B$12,Paramètres!$A$1:$I$89,3,0)*0.475*44/12</f>
        <v>14.475709782715768</v>
      </c>
      <c r="CM151" s="21">
        <f>EXP(-LN(2)/2)*CM150+(1-EXP(-LN(2)/2))/(LN(2)/2)*CG151*CJ151*VLOOKUP('Données projet'!$B$12,Paramètres!$A$1:$I$89,3,0)*0.475*44/12</f>
        <v>2.8000128566680222E-6</v>
      </c>
      <c r="CN151" s="22">
        <f t="shared" si="120"/>
        <v>106.36978933272968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1.7053025658242404E-13</v>
      </c>
      <c r="CU151" s="17">
        <f>CT151*VLOOKUP('Données projet'!$B$13,Paramètres!$A$1:$I$89,3,0)*VLOOKUP('Données projet'!$B$13,Paramètres!$A$1:$I$89,5,0)</f>
        <v>7.9808160080574461E-14</v>
      </c>
      <c r="CV151" s="13">
        <f t="shared" si="149"/>
        <v>1.2308384591775343E-12</v>
      </c>
      <c r="CW151" s="20">
        <f t="shared" si="121"/>
        <v>2.282709528541206E-12</v>
      </c>
      <c r="CX151" s="59">
        <f t="shared" si="122"/>
        <v>293.33333333333559</v>
      </c>
      <c r="CY151" s="59">
        <f ca="1">AVERAGE(OFFSET($CX$3,0,0,'Données projet'!$E$13+1,1))-AVERAGE(OFFSET($H$3,0,0,'Données projet'!$E$13+1,1))</f>
        <v>137.59122085719031</v>
      </c>
      <c r="CZ151" s="59">
        <f t="shared" si="150"/>
        <v>130.1134470448718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48.976366496921017</v>
      </c>
      <c r="DG151" s="21">
        <f>EXP(-LN(2)/25)*DG150+(1-EXP(-LN(2)/25))/(LN(2)/25)*Calculateur!DB151*Calculateur!DD151*VLOOKUP('Données projet'!$B$13,Paramètres!$A$1:$I$89,3,0)*0.475*44/12</f>
        <v>7.5798111665814689</v>
      </c>
      <c r="DH151" s="21">
        <f>EXP(-LN(2)/2)*DH150+(1-EXP(-LN(2)/2))/(LN(2)/2)*DB151*DE151*VLOOKUP('Données projet'!$B$13,Paramètres!$A$1:$I$89,3,0)*0.475*44/12</f>
        <v>1.4431598458665525E-6</v>
      </c>
      <c r="DI151" s="22">
        <f t="shared" si="123"/>
        <v>56.556179106662334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-1.1527845344971866E-13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313.90901812281373</v>
      </c>
      <c r="DU151" s="59">
        <f t="shared" si="152"/>
        <v>210.54265725995265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142.84430110883187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142.84430110883187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-5.6843418860808015E-14</v>
      </c>
      <c r="EK151" s="17">
        <f>EJ151*VLOOKUP('Données projet'!$B$15,Paramètres!$A$1:$I$89,3,0)*VLOOKUP('Données projet'!$B$15,Paramètres!$A$1:$I$89,5,0)</f>
        <v>-4.5224624045658861E-14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316.52407313312403</v>
      </c>
      <c r="EP151" s="59">
        <f t="shared" si="154"/>
        <v>340.55949748167382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37.755776672471391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37.755776672471391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-5.6843418860808015E-14</v>
      </c>
      <c r="FF151" s="17">
        <f>FE151*VLOOKUP('Données projet'!$B$16,Paramètres!$A$1:$I$89,3,0)*VLOOKUP('Données projet'!$B$16,Paramètres!$A$1:$I$89,5,0)</f>
        <v>-3.7243808037601412E-14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199.99826357281154</v>
      </c>
      <c r="FK151" s="59">
        <f t="shared" si="156"/>
        <v>214.67424457475136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16.327491157788447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16.327491157788447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284.60021367910457</v>
      </c>
      <c r="T152" s="59">
        <f t="shared" si="142"/>
        <v>301.41905904220812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38.145934897108809</v>
      </c>
      <c r="AA152" s="21">
        <f>EXP(-LN(2)/25)*AA151+(1-EXP(-LN(2)/25))/(LN(2)/25)*Calculateur!V152*Calculateur!X152*VLOOKUP('Données projet'!$B$9,Paramètres!$A$1:$I$89,3,0)*0.475*44/12</f>
        <v>4.5426108100454918</v>
      </c>
      <c r="AB152" s="21">
        <f>EXP(-LN(2)/2)*AB151+(1-EXP(-LN(2)/2))/(LN(2)/2)*V152*Y152*VLOOKUP('Données projet'!$B$9,Paramètres!$A$1:$I$89,3,0)*0.475*44/12</f>
        <v>1.143035758657003E-11</v>
      </c>
      <c r="AC152" s="22">
        <f t="shared" si="111"/>
        <v>42.688545707165737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294.45857786714919</v>
      </c>
      <c r="AO152" s="59">
        <f t="shared" si="144"/>
        <v>221.9773436301067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52.631398375514181</v>
      </c>
      <c r="AV152" s="21">
        <f>EXP(-LN(2)/25)*AV151+(1-EXP(-LN(2)/25))/(LN(2)/25)*Calculateur!AQ152*Calculateur!AS152*VLOOKUP('Données projet'!$B$10,Paramètres!$A$1:$I$89,3,0)*0.475*44/12</f>
        <v>7.0893468911955955</v>
      </c>
      <c r="AW152" s="21">
        <f>EXP(-LN(2)/2)*AW151+(1-EXP(-LN(2)/2))/(LN(2)/2)*AQ152*AT152*VLOOKUP('Données projet'!$B$10,Paramètres!$A$1:$I$89,3,0)*0.475*44/12</f>
        <v>4.1904957523525495E-9</v>
      </c>
      <c r="AX152" s="21">
        <f t="shared" si="114"/>
        <v>59.720745270900274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6.3550942286383367E-14</v>
      </c>
      <c r="BF152" s="13">
        <f t="shared" si="145"/>
        <v>1.0064464192543978E-12</v>
      </c>
      <c r="BG152" s="20">
        <f t="shared" si="115"/>
        <v>1.8635787380168604E-12</v>
      </c>
      <c r="BH152" s="59">
        <f t="shared" si="116"/>
        <v>293.33333333333519</v>
      </c>
      <c r="BI152" s="59">
        <f ca="1">AVERAGE(OFFSET($BH$3,0,0,'Données projet'!$E$11+1,1))-AVERAGE(OFFSET($H$3,0,0,'Données projet'!$E$11+1,1))</f>
        <v>304.91676868833792</v>
      </c>
      <c r="BJ152" s="59">
        <f t="shared" si="146"/>
        <v>365.95065044620048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37.694373443741334</v>
      </c>
      <c r="BQ152" s="21">
        <f>EXP(-LN(2)/25)*BQ151+(1-EXP(-LN(2)/25))/(LN(2)/25)*Calculateur!BL152*Calculateur!BN152*VLOOKUP('Données projet'!$B$11,Paramètres!$A$1:$I$89,3,0)*0.475*44/12</f>
        <v>4.4119268755297414</v>
      </c>
      <c r="BR152" s="21">
        <f>EXP(-LN(2)/2)*BR151+(1-EXP(-LN(2)/2))/(LN(2)/2)*BL152*BO152*VLOOKUP('Données projet'!$B$11,Paramètres!$A$1:$I$89,3,0)*0.475*44/12</f>
        <v>1.9316640109753258E-12</v>
      </c>
      <c r="BS152" s="22">
        <f t="shared" si="117"/>
        <v>42.106300319273011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-1.5961632016114892E-13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259.87681411271632</v>
      </c>
      <c r="CE152" s="59">
        <f t="shared" si="148"/>
        <v>191.8684235641158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90.092089954785891</v>
      </c>
      <c r="CL152" s="21">
        <f>EXP(-LN(2)/25)*CL151+(1-EXP(-LN(2)/25))/(LN(2)/25)*Calculateur!CG152*Calculateur!CI152*VLOOKUP('Données projet'!$B$12,Paramètres!$A$1:$I$89,3,0)*0.475*44/12</f>
        <v>14.079870737462912</v>
      </c>
      <c r="CM152" s="21">
        <f>EXP(-LN(2)/2)*CM151+(1-EXP(-LN(2)/2))/(LN(2)/2)*CG152*CJ152*VLOOKUP('Données projet'!$B$12,Paramètres!$A$1:$I$89,3,0)*0.475*44/12</f>
        <v>1.979908078359475E-6</v>
      </c>
      <c r="CN152" s="22">
        <f t="shared" si="120"/>
        <v>104.17196267215688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1.7053025658242404E-13</v>
      </c>
      <c r="CU152" s="17">
        <f>CT152*VLOOKUP('Données projet'!$B$13,Paramètres!$A$1:$I$89,3,0)*VLOOKUP('Données projet'!$B$13,Paramètres!$A$1:$I$89,5,0)</f>
        <v>7.9808160080574461E-14</v>
      </c>
      <c r="CV152" s="13">
        <f t="shared" si="149"/>
        <v>1.2308384591775343E-12</v>
      </c>
      <c r="CW152" s="20">
        <f t="shared" si="121"/>
        <v>2.282709528541206E-12</v>
      </c>
      <c r="CX152" s="59">
        <f t="shared" si="122"/>
        <v>293.33333333333559</v>
      </c>
      <c r="CY152" s="59">
        <f ca="1">AVERAGE(OFFSET($CX$3,0,0,'Données projet'!$E$13+1,1))-AVERAGE(OFFSET($H$3,0,0,'Données projet'!$E$13+1,1))</f>
        <v>137.59122085719031</v>
      </c>
      <c r="CZ152" s="59">
        <f t="shared" si="150"/>
        <v>130.1134470448718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48.015969822550282</v>
      </c>
      <c r="DG152" s="21">
        <f>EXP(-LN(2)/25)*DG151+(1-EXP(-LN(2)/25))/(LN(2)/25)*Calculateur!DB152*Calculateur!DD152*VLOOKUP('Données projet'!$B$13,Paramètres!$A$1:$I$89,3,0)*0.475*44/12</f>
        <v>7.3725408316263534</v>
      </c>
      <c r="DH152" s="21">
        <f>EXP(-LN(2)/2)*DH151+(1-EXP(-LN(2)/2))/(LN(2)/2)*DB152*DE152*VLOOKUP('Données projet'!$B$13,Paramètres!$A$1:$I$89,3,0)*0.475*44/12</f>
        <v>1.020468113348372E-6</v>
      </c>
      <c r="DI152" s="22">
        <f t="shared" si="123"/>
        <v>55.388511674644747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-1.1527845344971866E-13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313.90901812281373</v>
      </c>
      <c r="DU152" s="59">
        <f t="shared" si="152"/>
        <v>210.54265725995265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140.04321149050833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140.04321149050833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-5.6843418860808015E-14</v>
      </c>
      <c r="EK152" s="17">
        <f>EJ152*VLOOKUP('Données projet'!$B$15,Paramètres!$A$1:$I$89,3,0)*VLOOKUP('Données projet'!$B$15,Paramètres!$A$1:$I$89,5,0)</f>
        <v>-4.5224624045658861E-14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316.52407313312403</v>
      </c>
      <c r="EP152" s="59">
        <f t="shared" si="154"/>
        <v>340.55949748167382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37.015408920674098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37.015408920674098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-5.6843418860808015E-14</v>
      </c>
      <c r="FF152" s="17">
        <f>FE152*VLOOKUP('Données projet'!$B$16,Paramètres!$A$1:$I$89,3,0)*VLOOKUP('Données projet'!$B$16,Paramètres!$A$1:$I$89,5,0)</f>
        <v>-3.7243808037601412E-14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199.99826357281154</v>
      </c>
      <c r="FK152" s="59">
        <f t="shared" si="156"/>
        <v>214.67424457475136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16.007319014970474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16.007319014970474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284.60021367910457</v>
      </c>
      <c r="T153" s="59">
        <f t="shared" si="142"/>
        <v>301.41905904220812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37.397916380499396</v>
      </c>
      <c r="AA153" s="21">
        <f>EXP(-LN(2)/25)*AA152+(1-EXP(-LN(2)/25))/(LN(2)/25)*Calculateur!V153*Calculateur!X153*VLOOKUP('Données projet'!$B$9,Paramètres!$A$1:$I$89,3,0)*0.475*44/12</f>
        <v>4.4183928785592776</v>
      </c>
      <c r="AB153" s="21">
        <f>EXP(-LN(2)/2)*AB152+(1-EXP(-LN(2)/2))/(LN(2)/2)*V153*Y153*VLOOKUP('Données projet'!$B$9,Paramètres!$A$1:$I$89,3,0)*0.475*44/12</f>
        <v>8.0824833608507679E-12</v>
      </c>
      <c r="AC153" s="22">
        <f t="shared" si="111"/>
        <v>41.816309259066756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294.45857786714919</v>
      </c>
      <c r="AO153" s="59">
        <f t="shared" si="144"/>
        <v>221.9773436301067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51.599328755353547</v>
      </c>
      <c r="AV153" s="21">
        <f>EXP(-LN(2)/25)*AV152+(1-EXP(-LN(2)/25))/(LN(2)/25)*Calculateur!AQ153*Calculateur!AS153*VLOOKUP('Données projet'!$B$10,Paramètres!$A$1:$I$89,3,0)*0.475*44/12</f>
        <v>6.8954883276433021</v>
      </c>
      <c r="AW153" s="21">
        <f>EXP(-LN(2)/2)*AW152+(1-EXP(-LN(2)/2))/(LN(2)/2)*AQ153*AT153*VLOOKUP('Données projet'!$B$10,Paramètres!$A$1:$I$89,3,0)*0.475*44/12</f>
        <v>2.9631279630219111E-9</v>
      </c>
      <c r="AX153" s="21">
        <f t="shared" si="114"/>
        <v>58.494817085959973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6.3550942286383367E-14</v>
      </c>
      <c r="BF153" s="13">
        <f t="shared" si="145"/>
        <v>1.0064464192543978E-12</v>
      </c>
      <c r="BG153" s="20">
        <f t="shared" si="115"/>
        <v>1.8635787380168604E-12</v>
      </c>
      <c r="BH153" s="59">
        <f t="shared" si="116"/>
        <v>293.33333333333519</v>
      </c>
      <c r="BI153" s="59">
        <f ca="1">AVERAGE(OFFSET($BH$3,0,0,'Données projet'!$E$11+1,1))-AVERAGE(OFFSET($H$3,0,0,'Données projet'!$E$11+1,1))</f>
        <v>304.91676868833792</v>
      </c>
      <c r="BJ153" s="59">
        <f t="shared" si="146"/>
        <v>365.95065044620048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36.955209771807162</v>
      </c>
      <c r="BQ153" s="21">
        <f>EXP(-LN(2)/25)*BQ152+(1-EXP(-LN(2)/25))/(LN(2)/25)*Calculateur!BL153*Calculateur!BN153*VLOOKUP('Données projet'!$B$11,Paramètres!$A$1:$I$89,3,0)*0.475*44/12</f>
        <v>4.2912825031052302</v>
      </c>
      <c r="BR153" s="21">
        <f>EXP(-LN(2)/2)*BR152+(1-EXP(-LN(2)/2))/(LN(2)/2)*BL153*BO153*VLOOKUP('Données projet'!$B$11,Paramètres!$A$1:$I$89,3,0)*0.475*44/12</f>
        <v>1.3658927211346584E-12</v>
      </c>
      <c r="BS153" s="22">
        <f t="shared" si="117"/>
        <v>41.246492274913756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-1.5961632016114892E-13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259.87681411271632</v>
      </c>
      <c r="CE153" s="59">
        <f t="shared" si="148"/>
        <v>191.8684235641158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88.325439021521476</v>
      </c>
      <c r="CL153" s="21">
        <f>EXP(-LN(2)/25)*CL152+(1-EXP(-LN(2)/25))/(LN(2)/25)*Calculateur!CG153*Calculateur!CI153*VLOOKUP('Données projet'!$B$12,Paramètres!$A$1:$I$89,3,0)*0.475*44/12</f>
        <v>13.694855931718767</v>
      </c>
      <c r="CM153" s="21">
        <f>EXP(-LN(2)/2)*CM152+(1-EXP(-LN(2)/2))/(LN(2)/2)*CG153*CJ153*VLOOKUP('Données projet'!$B$12,Paramètres!$A$1:$I$89,3,0)*0.475*44/12</f>
        <v>1.4000064283340111E-6</v>
      </c>
      <c r="CN153" s="22">
        <f t="shared" si="120"/>
        <v>102.02029635324666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1.7053025658242404E-13</v>
      </c>
      <c r="CU153" s="17">
        <f>CT153*VLOOKUP('Données projet'!$B$13,Paramètres!$A$1:$I$89,3,0)*VLOOKUP('Données projet'!$B$13,Paramètres!$A$1:$I$89,5,0)</f>
        <v>7.9808160080574461E-14</v>
      </c>
      <c r="CV153" s="13">
        <f t="shared" si="149"/>
        <v>1.2308384591775343E-12</v>
      </c>
      <c r="CW153" s="20">
        <f t="shared" si="121"/>
        <v>2.282709528541206E-12</v>
      </c>
      <c r="CX153" s="59">
        <f t="shared" si="122"/>
        <v>293.33333333333559</v>
      </c>
      <c r="CY153" s="59">
        <f ca="1">AVERAGE(OFFSET($CX$3,0,0,'Données projet'!$E$13+1,1))-AVERAGE(OFFSET($H$3,0,0,'Données projet'!$E$13+1,1))</f>
        <v>137.59122085719031</v>
      </c>
      <c r="CZ153" s="59">
        <f t="shared" si="150"/>
        <v>130.1134470448718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47.074405941179826</v>
      </c>
      <c r="DG153" s="21">
        <f>EXP(-LN(2)/25)*DG152+(1-EXP(-LN(2)/25))/(LN(2)/25)*Calculateur!DB153*Calculateur!DD153*VLOOKUP('Données projet'!$B$13,Paramètres!$A$1:$I$89,3,0)*0.475*44/12</f>
        <v>7.1709383148804591</v>
      </c>
      <c r="DH153" s="21">
        <f>EXP(-LN(2)/2)*DH152+(1-EXP(-LN(2)/2))/(LN(2)/2)*DB153*DE153*VLOOKUP('Données projet'!$B$13,Paramètres!$A$1:$I$89,3,0)*0.475*44/12</f>
        <v>7.2157992293327627E-7</v>
      </c>
      <c r="DI153" s="22">
        <f t="shared" si="123"/>
        <v>54.245344977640208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-1.1527845344971866E-13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313.90901812281373</v>
      </c>
      <c r="DU153" s="59">
        <f t="shared" si="152"/>
        <v>210.54265725995265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137.29704953110414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137.29704953110414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-5.6843418860808015E-14</v>
      </c>
      <c r="EK153" s="17">
        <f>EJ153*VLOOKUP('Données projet'!$B$15,Paramètres!$A$1:$I$89,3,0)*VLOOKUP('Données projet'!$B$15,Paramètres!$A$1:$I$89,5,0)</f>
        <v>-4.5224624045658861E-14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316.52407313312403</v>
      </c>
      <c r="EP153" s="59">
        <f t="shared" si="154"/>
        <v>340.55949748167382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36.28955932890981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36.28955932890981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-5.6843418860808015E-14</v>
      </c>
      <c r="FF153" s="17">
        <f>FE153*VLOOKUP('Données projet'!$B$16,Paramètres!$A$1:$I$89,3,0)*VLOOKUP('Données projet'!$B$16,Paramètres!$A$1:$I$89,5,0)</f>
        <v>-3.7243808037601412E-14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199.99826357281154</v>
      </c>
      <c r="FK153" s="59">
        <f t="shared" si="156"/>
        <v>214.67424457475136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15.693425252587437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15.693425252587437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284.60021367910457</v>
      </c>
      <c r="T154" s="59">
        <f t="shared" si="142"/>
        <v>301.41905904220812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36.664566050754445</v>
      </c>
      <c r="AA154" s="21">
        <f>EXP(-LN(2)/25)*AA153+(1-EXP(-LN(2)/25))/(LN(2)/25)*Calculateur!V154*Calculateur!X154*VLOOKUP('Données projet'!$B$9,Paramètres!$A$1:$I$89,3,0)*0.475*44/12</f>
        <v>4.297571692941891</v>
      </c>
      <c r="AB154" s="21">
        <f>EXP(-LN(2)/2)*AB153+(1-EXP(-LN(2)/2))/(LN(2)/2)*V154*Y154*VLOOKUP('Données projet'!$B$9,Paramètres!$A$1:$I$89,3,0)*0.475*44/12</f>
        <v>5.7151787932850152E-12</v>
      </c>
      <c r="AC154" s="22">
        <f t="shared" ref="AC154:AC203" si="163">SUM(Z154:AB154)</f>
        <v>40.962137743702051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294.45857786714919</v>
      </c>
      <c r="AO154" s="59">
        <f t="shared" si="144"/>
        <v>221.9773436301067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50.587497390943952</v>
      </c>
      <c r="AV154" s="21">
        <f>EXP(-LN(2)/25)*AV153+(1-EXP(-LN(2)/25))/(LN(2)/25)*Calculateur!AQ154*Calculateur!AS154*VLOOKUP('Données projet'!$B$10,Paramètres!$A$1:$I$89,3,0)*0.475*44/12</f>
        <v>6.7069308367059248</v>
      </c>
      <c r="AW154" s="21">
        <f>EXP(-LN(2)/2)*AW153+(1-EXP(-LN(2)/2))/(LN(2)/2)*AQ154*AT154*VLOOKUP('Données projet'!$B$10,Paramètres!$A$1:$I$89,3,0)*0.475*44/12</f>
        <v>2.0952478761762747E-9</v>
      </c>
      <c r="AX154" s="21">
        <f t="shared" ref="AX154:AX203" si="166">SUM(AU154:AW154)</f>
        <v>57.294428229745122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6.3550942286383367E-14</v>
      </c>
      <c r="BF154" s="13">
        <f t="shared" ref="BF154:BF203" si="167">EXP(-1.0587+0.8836*LN(BE154)+0.284)</f>
        <v>1.0064464192543978E-12</v>
      </c>
      <c r="BG154" s="20">
        <f t="shared" ref="BG154:BG203" si="168">(BE154+BF154)*0.475*44/12</f>
        <v>1.8635787380168604E-12</v>
      </c>
      <c r="BH154" s="59">
        <f t="shared" si="116"/>
        <v>293.33333333333519</v>
      </c>
      <c r="BI154" s="59">
        <f ca="1">AVERAGE(OFFSET($BH$3,0,0,'Données projet'!$E$11+1,1))-AVERAGE(OFFSET($H$3,0,0,'Données projet'!$E$11+1,1))</f>
        <v>304.91676868833792</v>
      </c>
      <c r="BJ154" s="59">
        <f t="shared" si="146"/>
        <v>365.95065044620048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36.230540648634303</v>
      </c>
      <c r="BQ154" s="21">
        <f>EXP(-LN(2)/25)*BQ153+(1-EXP(-LN(2)/25))/(LN(2)/25)*Calculateur!BL154*Calculateur!BN154*VLOOKUP('Données projet'!$B$11,Paramètres!$A$1:$I$89,3,0)*0.475*44/12</f>
        <v>4.1739371573890791</v>
      </c>
      <c r="BR154" s="21">
        <f>EXP(-LN(2)/2)*BR153+(1-EXP(-LN(2)/2))/(LN(2)/2)*BL154*BO154*VLOOKUP('Données projet'!$B$11,Paramètres!$A$1:$I$89,3,0)*0.475*44/12</f>
        <v>9.6583200548766288E-13</v>
      </c>
      <c r="BS154" s="22">
        <f t="shared" ref="BS154:BS203" si="169">SUM(BP154:BR154)</f>
        <v>40.404477806024346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-1.5961632016114892E-13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259.87681411271632</v>
      </c>
      <c r="CE154" s="59">
        <f t="shared" si="148"/>
        <v>191.8684235641158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86.593431035507706</v>
      </c>
      <c r="CL154" s="21">
        <f>EXP(-LN(2)/25)*CL153+(1-EXP(-LN(2)/25))/(LN(2)/25)*Calculateur!CG154*Calculateur!CI154*VLOOKUP('Données projet'!$B$12,Paramètres!$A$1:$I$89,3,0)*0.475*44/12</f>
        <v>13.320369376084743</v>
      </c>
      <c r="CM154" s="21">
        <f>EXP(-LN(2)/2)*CM153+(1-EXP(-LN(2)/2))/(LN(2)/2)*CG154*CJ154*VLOOKUP('Données projet'!$B$12,Paramètres!$A$1:$I$89,3,0)*0.475*44/12</f>
        <v>9.8995403917973751E-7</v>
      </c>
      <c r="CN154" s="22">
        <f t="shared" ref="CN154:CN203" si="172">SUM(CK154:CM154)</f>
        <v>99.913801401546493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1.7053025658242404E-13</v>
      </c>
      <c r="CU154" s="17">
        <f>CT154*VLOOKUP('Données projet'!$B$13,Paramètres!$A$1:$I$89,3,0)*VLOOKUP('Données projet'!$B$13,Paramètres!$A$1:$I$89,5,0)</f>
        <v>7.9808160080574461E-14</v>
      </c>
      <c r="CV154" s="13">
        <f t="shared" ref="CV154:CV203" si="173">EXP(-1.0587+0.8836*LN(CU154)+0.284)</f>
        <v>1.2308384591775343E-12</v>
      </c>
      <c r="CW154" s="20">
        <f t="shared" ref="CW154:CW203" si="174">(CU154+CV154)*0.475*44/12</f>
        <v>2.282709528541206E-12</v>
      </c>
      <c r="CX154" s="59">
        <f t="shared" si="122"/>
        <v>293.33333333333559</v>
      </c>
      <c r="CY154" s="59">
        <f ca="1">AVERAGE(OFFSET($CX$3,0,0,'Données projet'!$E$13+1,1))-AVERAGE(OFFSET($H$3,0,0,'Données projet'!$E$13+1,1))</f>
        <v>137.59122085719031</v>
      </c>
      <c r="CZ154" s="59">
        <f t="shared" si="150"/>
        <v>130.1134470448718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46.151305553225782</v>
      </c>
      <c r="DG154" s="21">
        <f>EXP(-LN(2)/25)*DG153+(1-EXP(-LN(2)/25))/(LN(2)/25)*Calculateur!DB154*Calculateur!DD154*VLOOKUP('Données projet'!$B$13,Paramètres!$A$1:$I$89,3,0)*0.475*44/12</f>
        <v>6.9748486295567966</v>
      </c>
      <c r="DH154" s="21">
        <f>EXP(-LN(2)/2)*DH153+(1-EXP(-LN(2)/2))/(LN(2)/2)*DB154*DE154*VLOOKUP('Données projet'!$B$13,Paramètres!$A$1:$I$89,3,0)*0.475*44/12</f>
        <v>5.1023405667418601E-7</v>
      </c>
      <c r="DI154" s="22">
        <f t="shared" ref="DI154:DI203" si="175">SUM(DF154:DH154)</f>
        <v>53.126154693016638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-1.1527845344971866E-13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313.90901812281373</v>
      </c>
      <c r="DU154" s="59">
        <f t="shared" si="152"/>
        <v>210.54265725995265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134.60473813273046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134.60473813273046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-5.6843418860808015E-14</v>
      </c>
      <c r="EK154" s="17">
        <f>EJ154*VLOOKUP('Données projet'!$B$15,Paramètres!$A$1:$I$89,3,0)*VLOOKUP('Données projet'!$B$15,Paramètres!$A$1:$I$89,5,0)</f>
        <v>-4.5224624045658861E-14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316.52407313312403</v>
      </c>
      <c r="EP154" s="59">
        <f t="shared" si="154"/>
        <v>340.55949748167382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35.577943204915485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35.577943204915485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-5.6843418860808015E-14</v>
      </c>
      <c r="FF154" s="17">
        <f>FE154*VLOOKUP('Données projet'!$B$16,Paramètres!$A$1:$I$89,3,0)*VLOOKUP('Données projet'!$B$16,Paramètres!$A$1:$I$89,5,0)</f>
        <v>-3.7243808037601412E-14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199.99826357281154</v>
      </c>
      <c r="FK154" s="59">
        <f t="shared" si="156"/>
        <v>214.67424457475136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15.38568675542844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15.38568675542844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284.60021367910457</v>
      </c>
      <c r="T155" s="59">
        <f t="shared" si="142"/>
        <v>301.41905904220812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35.945596273676259</v>
      </c>
      <c r="AA155" s="21">
        <f>EXP(-LN(2)/25)*AA154+(1-EXP(-LN(2)/25))/(LN(2)/25)*Calculateur!V155*Calculateur!X155*VLOOKUP('Données projet'!$B$9,Paramètres!$A$1:$I$89,3,0)*0.475*44/12</f>
        <v>4.1800543689989222</v>
      </c>
      <c r="AB155" s="21">
        <f>EXP(-LN(2)/2)*AB154+(1-EXP(-LN(2)/2))/(LN(2)/2)*V155*Y155*VLOOKUP('Données projet'!$B$9,Paramètres!$A$1:$I$89,3,0)*0.475*44/12</f>
        <v>4.0412416804253839E-12</v>
      </c>
      <c r="AC155" s="22">
        <f t="shared" si="163"/>
        <v>40.125650642679226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294.45857786714919</v>
      </c>
      <c r="AO155" s="59">
        <f t="shared" si="144"/>
        <v>221.9773436301067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49.595507422434238</v>
      </c>
      <c r="AV155" s="21">
        <f>EXP(-LN(2)/25)*AV154+(1-EXP(-LN(2)/25))/(LN(2)/25)*Calculateur!AQ155*Calculateur!AS155*VLOOKUP('Données projet'!$B$10,Paramètres!$A$1:$I$89,3,0)*0.475*44/12</f>
        <v>6.5235294602740375</v>
      </c>
      <c r="AW155" s="21">
        <f>EXP(-LN(2)/2)*AW154+(1-EXP(-LN(2)/2))/(LN(2)/2)*AQ155*AT155*VLOOKUP('Données projet'!$B$10,Paramètres!$A$1:$I$89,3,0)*0.475*44/12</f>
        <v>1.4815639815109556E-9</v>
      </c>
      <c r="AX155" s="21">
        <f t="shared" si="166"/>
        <v>56.119036884189839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6.3550942286383367E-14</v>
      </c>
      <c r="BF155" s="13">
        <f t="shared" si="167"/>
        <v>1.0064464192543978E-12</v>
      </c>
      <c r="BG155" s="20">
        <f t="shared" si="168"/>
        <v>1.8635787380168604E-12</v>
      </c>
      <c r="BH155" s="59">
        <f t="shared" si="116"/>
        <v>293.33333333333519</v>
      </c>
      <c r="BI155" s="59">
        <f ca="1">AVERAGE(OFFSET($BH$3,0,0,'Données projet'!$E$11+1,1))-AVERAGE(OFFSET($H$3,0,0,'Données projet'!$E$11+1,1))</f>
        <v>304.91676868833792</v>
      </c>
      <c r="BJ155" s="59">
        <f t="shared" si="146"/>
        <v>365.95065044620048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35.520081844962341</v>
      </c>
      <c r="BQ155" s="21">
        <f>EXP(-LN(2)/25)*BQ154+(1-EXP(-LN(2)/25))/(LN(2)/25)*Calculateur!BL155*Calculateur!BN155*VLOOKUP('Données projet'!$B$11,Paramètres!$A$1:$I$89,3,0)*0.475*44/12</f>
        <v>4.0598006263224589</v>
      </c>
      <c r="BR155" s="21">
        <f>EXP(-LN(2)/2)*BR154+(1-EXP(-LN(2)/2))/(LN(2)/2)*BL155*BO155*VLOOKUP('Données projet'!$B$11,Paramètres!$A$1:$I$89,3,0)*0.475*44/12</f>
        <v>6.8294636056732921E-13</v>
      </c>
      <c r="BS155" s="22">
        <f t="shared" si="169"/>
        <v>39.57988247128548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-1.5961632016114892E-13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259.87681411271632</v>
      </c>
      <c r="CE155" s="59">
        <f t="shared" si="148"/>
        <v>191.8684235641158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84.895386669679112</v>
      </c>
      <c r="CL155" s="21">
        <f>EXP(-LN(2)/25)*CL154+(1-EXP(-LN(2)/25))/(LN(2)/25)*Calculateur!CG155*Calculateur!CI155*VLOOKUP('Données projet'!$B$12,Paramètres!$A$1:$I$89,3,0)*0.475*44/12</f>
        <v>12.956123175007924</v>
      </c>
      <c r="CM155" s="21">
        <f>EXP(-LN(2)/2)*CM154+(1-EXP(-LN(2)/2))/(LN(2)/2)*CG155*CJ155*VLOOKUP('Données projet'!$B$12,Paramètres!$A$1:$I$89,3,0)*0.475*44/12</f>
        <v>7.0000321416700555E-7</v>
      </c>
      <c r="CN155" s="22">
        <f t="shared" si="172"/>
        <v>97.851510544690242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1.7053025658242404E-13</v>
      </c>
      <c r="CU155" s="17">
        <f>CT155*VLOOKUP('Données projet'!$B$13,Paramètres!$A$1:$I$89,3,0)*VLOOKUP('Données projet'!$B$13,Paramètres!$A$1:$I$89,5,0)</f>
        <v>7.9808160080574461E-14</v>
      </c>
      <c r="CV155" s="13">
        <f t="shared" si="173"/>
        <v>1.2308384591775343E-12</v>
      </c>
      <c r="CW155" s="20">
        <f t="shared" si="174"/>
        <v>2.282709528541206E-12</v>
      </c>
      <c r="CX155" s="59">
        <f t="shared" si="122"/>
        <v>293.33333333333559</v>
      </c>
      <c r="CY155" s="59">
        <f ca="1">AVERAGE(OFFSET($CX$3,0,0,'Données projet'!$E$13+1,1))-AVERAGE(OFFSET($H$3,0,0,'Données projet'!$E$13+1,1))</f>
        <v>137.59122085719031</v>
      </c>
      <c r="CZ155" s="59">
        <f t="shared" si="150"/>
        <v>130.1134470448718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45.24630660084388</v>
      </c>
      <c r="DG155" s="21">
        <f>EXP(-LN(2)/25)*DG154+(1-EXP(-LN(2)/25))/(LN(2)/25)*Calculateur!DB155*Calculateur!DD155*VLOOKUP('Données projet'!$B$13,Paramètres!$A$1:$I$89,3,0)*0.475*44/12</f>
        <v>6.7841210269902179</v>
      </c>
      <c r="DH155" s="21">
        <f>EXP(-LN(2)/2)*DH154+(1-EXP(-LN(2)/2))/(LN(2)/2)*DB155*DE155*VLOOKUP('Données projet'!$B$13,Paramètres!$A$1:$I$89,3,0)*0.475*44/12</f>
        <v>3.6078996146663813E-7</v>
      </c>
      <c r="DI155" s="22">
        <f t="shared" si="175"/>
        <v>52.030427988624062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-1.1527845344971866E-13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313.90901812281373</v>
      </c>
      <c r="DU155" s="59">
        <f t="shared" si="152"/>
        <v>210.54265725995265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131.9652213187311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131.9652213187311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-5.6843418860808015E-14</v>
      </c>
      <c r="EK155" s="17">
        <f>EJ155*VLOOKUP('Données projet'!$B$15,Paramètres!$A$1:$I$89,3,0)*VLOOKUP('Données projet'!$B$15,Paramètres!$A$1:$I$89,5,0)</f>
        <v>-4.5224624045658861E-14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316.52407313312403</v>
      </c>
      <c r="EP155" s="59">
        <f t="shared" si="154"/>
        <v>340.55949748167382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34.880281439069712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34.880281439069712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-5.6843418860808015E-14</v>
      </c>
      <c r="FF155" s="17">
        <f>FE155*VLOOKUP('Données projet'!$B$16,Paramètres!$A$1:$I$89,3,0)*VLOOKUP('Données projet'!$B$16,Paramètres!$A$1:$I$89,5,0)</f>
        <v>-3.7243808037601412E-14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199.99826357281154</v>
      </c>
      <c r="FK155" s="59">
        <f t="shared" si="156"/>
        <v>214.67424457475136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15.083982822496782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15.083982822496782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284.60021367910457</v>
      </c>
      <c r="T156" s="59">
        <f t="shared" si="142"/>
        <v>301.41905904220812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35.240725055398315</v>
      </c>
      <c r="AA156" s="21">
        <f>EXP(-LN(2)/25)*AA155+(1-EXP(-LN(2)/25))/(LN(2)/25)*Calculateur!V156*Calculateur!X156*VLOOKUP('Données projet'!$B$9,Paramètres!$A$1:$I$89,3,0)*0.475*44/12</f>
        <v>4.065750562459141</v>
      </c>
      <c r="AB156" s="21">
        <f>EXP(-LN(2)/2)*AB155+(1-EXP(-LN(2)/2))/(LN(2)/2)*V156*Y156*VLOOKUP('Données projet'!$B$9,Paramètres!$A$1:$I$89,3,0)*0.475*44/12</f>
        <v>2.8575893966425076E-12</v>
      </c>
      <c r="AC156" s="22">
        <f t="shared" si="163"/>
        <v>39.306475617860315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294.45857786714919</v>
      </c>
      <c r="AO156" s="59">
        <f t="shared" si="144"/>
        <v>221.9773436301067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48.622969772152864</v>
      </c>
      <c r="AV156" s="21">
        <f>EXP(-LN(2)/25)*AV155+(1-EXP(-LN(2)/25))/(LN(2)/25)*Calculateur!AQ156*Calculateur!AS156*VLOOKUP('Données projet'!$B$10,Paramètres!$A$1:$I$89,3,0)*0.475*44/12</f>
        <v>6.3451432041253391</v>
      </c>
      <c r="AW156" s="21">
        <f>EXP(-LN(2)/2)*AW155+(1-EXP(-LN(2)/2))/(LN(2)/2)*AQ156*AT156*VLOOKUP('Données projet'!$B$10,Paramètres!$A$1:$I$89,3,0)*0.475*44/12</f>
        <v>1.0476239380881374E-9</v>
      </c>
      <c r="AX156" s="21">
        <f t="shared" si="166"/>
        <v>54.968112977325831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6.3550942286383367E-14</v>
      </c>
      <c r="BF156" s="13">
        <f t="shared" si="167"/>
        <v>1.0064464192543978E-12</v>
      </c>
      <c r="BG156" s="20">
        <f t="shared" si="168"/>
        <v>1.8635787380168604E-12</v>
      </c>
      <c r="BH156" s="59">
        <f t="shared" si="116"/>
        <v>293.33333333333519</v>
      </c>
      <c r="BI156" s="59">
        <f ca="1">AVERAGE(OFFSET($BH$3,0,0,'Données projet'!$E$11+1,1))-AVERAGE(OFFSET($H$3,0,0,'Données projet'!$E$11+1,1))</f>
        <v>304.91676868833792</v>
      </c>
      <c r="BJ156" s="59">
        <f t="shared" si="146"/>
        <v>365.95065044620048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34.823554705093301</v>
      </c>
      <c r="BQ156" s="21">
        <f>EXP(-LN(2)/25)*BQ155+(1-EXP(-LN(2)/25))/(LN(2)/25)*Calculateur!BL156*Calculateur!BN156*VLOOKUP('Données projet'!$B$11,Paramètres!$A$1:$I$89,3,0)*0.475*44/12</f>
        <v>3.9487851647000349</v>
      </c>
      <c r="BR156" s="21">
        <f>EXP(-LN(2)/2)*BR155+(1-EXP(-LN(2)/2))/(LN(2)/2)*BL156*BO156*VLOOKUP('Données projet'!$B$11,Paramètres!$A$1:$I$89,3,0)*0.475*44/12</f>
        <v>4.8291600274383144E-13</v>
      </c>
      <c r="BS156" s="22">
        <f t="shared" si="169"/>
        <v>38.772339869793818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-1.5961632016114892E-13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259.87681411271632</v>
      </c>
      <c r="CE156" s="59">
        <f t="shared" si="148"/>
        <v>191.8684235641158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83.230639918159611</v>
      </c>
      <c r="CL156" s="21">
        <f>EXP(-LN(2)/25)*CL155+(1-EXP(-LN(2)/25))/(LN(2)/25)*Calculateur!CG156*Calculateur!CI156*VLOOKUP('Données projet'!$B$12,Paramètres!$A$1:$I$89,3,0)*0.475*44/12</f>
        <v>12.601837305454426</v>
      </c>
      <c r="CM156" s="21">
        <f>EXP(-LN(2)/2)*CM155+(1-EXP(-LN(2)/2))/(LN(2)/2)*CG156*CJ156*VLOOKUP('Données projet'!$B$12,Paramètres!$A$1:$I$89,3,0)*0.475*44/12</f>
        <v>4.9497701958986876E-7</v>
      </c>
      <c r="CN156" s="22">
        <f t="shared" si="172"/>
        <v>95.832477718591051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1.7053025658242404E-13</v>
      </c>
      <c r="CU156" s="17">
        <f>CT156*VLOOKUP('Données projet'!$B$13,Paramètres!$A$1:$I$89,3,0)*VLOOKUP('Données projet'!$B$13,Paramètres!$A$1:$I$89,5,0)</f>
        <v>7.9808160080574461E-14</v>
      </c>
      <c r="CV156" s="13">
        <f t="shared" si="173"/>
        <v>1.2308384591775343E-12</v>
      </c>
      <c r="CW156" s="20">
        <f t="shared" si="174"/>
        <v>2.282709528541206E-12</v>
      </c>
      <c r="CX156" s="59">
        <f t="shared" si="122"/>
        <v>293.33333333333559</v>
      </c>
      <c r="CY156" s="59">
        <f ca="1">AVERAGE(OFFSET($CX$3,0,0,'Données projet'!$E$13+1,1))-AVERAGE(OFFSET($H$3,0,0,'Données projet'!$E$13+1,1))</f>
        <v>137.59122085719031</v>
      </c>
      <c r="CZ156" s="59">
        <f t="shared" si="150"/>
        <v>130.1134470448718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44.359054125923329</v>
      </c>
      <c r="DG156" s="21">
        <f>EXP(-LN(2)/25)*DG155+(1-EXP(-LN(2)/25))/(LN(2)/25)*Calculateur!DB156*Calculateur!DD156*VLOOKUP('Données projet'!$B$13,Paramètres!$A$1:$I$89,3,0)*0.475*44/12</f>
        <v>6.5986088807457506</v>
      </c>
      <c r="DH156" s="21">
        <f>EXP(-LN(2)/2)*DH155+(1-EXP(-LN(2)/2))/(LN(2)/2)*DB156*DE156*VLOOKUP('Données projet'!$B$13,Paramètres!$A$1:$I$89,3,0)*0.475*44/12</f>
        <v>2.55117028337093E-7</v>
      </c>
      <c r="DI156" s="22">
        <f t="shared" si="175"/>
        <v>50.957663261786109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-1.1527845344971866E-13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313.90901812281373</v>
      </c>
      <c r="DU156" s="59">
        <f t="shared" si="152"/>
        <v>210.54265725995265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129.37746381950797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129.37746381950797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-5.6843418860808015E-14</v>
      </c>
      <c r="EK156" s="17">
        <f>EJ156*VLOOKUP('Données projet'!$B$15,Paramètres!$A$1:$I$89,3,0)*VLOOKUP('Données projet'!$B$15,Paramètres!$A$1:$I$89,5,0)</f>
        <v>-4.5224624045658861E-14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316.52407313312403</v>
      </c>
      <c r="EP156" s="59">
        <f t="shared" si="154"/>
        <v>340.55949748167382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34.196300394920513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34.196300394920513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-5.6843418860808015E-14</v>
      </c>
      <c r="FF156" s="17">
        <f>FE156*VLOOKUP('Données projet'!$B$16,Paramètres!$A$1:$I$89,3,0)*VLOOKUP('Données projet'!$B$16,Paramètres!$A$1:$I$89,5,0)</f>
        <v>-3.7243808037601412E-14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199.99826357281154</v>
      </c>
      <c r="FK156" s="59">
        <f t="shared" si="156"/>
        <v>214.67424457475136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14.788195119668686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14.788195119668686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284.60021367910457</v>
      </c>
      <c r="T157" s="59">
        <f t="shared" si="142"/>
        <v>301.41905904220812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34.549675931781813</v>
      </c>
      <c r="AA157" s="21">
        <f>EXP(-LN(2)/25)*AA156+(1-EXP(-LN(2)/25))/(LN(2)/25)*Calculateur!V157*Calculateur!X157*VLOOKUP('Données projet'!$B$9,Paramètres!$A$1:$I$89,3,0)*0.475*44/12</f>
        <v>3.954572399520166</v>
      </c>
      <c r="AB157" s="21">
        <f>EXP(-LN(2)/2)*AB156+(1-EXP(-LN(2)/2))/(LN(2)/2)*V157*Y157*VLOOKUP('Données projet'!$B$9,Paramètres!$A$1:$I$89,3,0)*0.475*44/12</f>
        <v>2.020620840212692E-12</v>
      </c>
      <c r="AC157" s="22">
        <f t="shared" si="163"/>
        <v>38.504248331303998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294.45857786714919</v>
      </c>
      <c r="AO157" s="59">
        <f t="shared" si="144"/>
        <v>221.9773436301067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47.669502992004112</v>
      </c>
      <c r="AV157" s="21">
        <f>EXP(-LN(2)/25)*AV156+(1-EXP(-LN(2)/25))/(LN(2)/25)*Calculateur!AQ157*Calculateur!AS157*VLOOKUP('Données projet'!$B$10,Paramètres!$A$1:$I$89,3,0)*0.475*44/12</f>
        <v>6.1716349295319528</v>
      </c>
      <c r="AW157" s="21">
        <f>EXP(-LN(2)/2)*AW156+(1-EXP(-LN(2)/2))/(LN(2)/2)*AQ157*AT157*VLOOKUP('Données projet'!$B$10,Paramètres!$A$1:$I$89,3,0)*0.475*44/12</f>
        <v>7.4078199075547778E-10</v>
      </c>
      <c r="AX157" s="21">
        <f t="shared" si="166"/>
        <v>53.84113792227685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6.3550942286383367E-14</v>
      </c>
      <c r="BF157" s="13">
        <f t="shared" si="167"/>
        <v>1.0064464192543978E-12</v>
      </c>
      <c r="BG157" s="20">
        <f t="shared" si="168"/>
        <v>1.8635787380168604E-12</v>
      </c>
      <c r="BH157" s="59">
        <f t="shared" si="116"/>
        <v>293.33333333333519</v>
      </c>
      <c r="BI157" s="59">
        <f ca="1">AVERAGE(OFFSET($BH$3,0,0,'Données projet'!$E$11+1,1))-AVERAGE(OFFSET($H$3,0,0,'Données projet'!$E$11+1,1))</f>
        <v>304.91676868833792</v>
      </c>
      <c r="BJ157" s="59">
        <f t="shared" si="146"/>
        <v>365.95065044620048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34.14068603759749</v>
      </c>
      <c r="BQ157" s="21">
        <f>EXP(-LN(2)/25)*BQ156+(1-EXP(-LN(2)/25))/(LN(2)/25)*Calculateur!BL157*Calculateur!BN157*VLOOKUP('Données projet'!$B$11,Paramètres!$A$1:$I$89,3,0)*0.475*44/12</f>
        <v>3.8408054267137257</v>
      </c>
      <c r="BR157" s="21">
        <f>EXP(-LN(2)/2)*BR156+(1-EXP(-LN(2)/2))/(LN(2)/2)*BL157*BO157*VLOOKUP('Données projet'!$B$11,Paramètres!$A$1:$I$89,3,0)*0.475*44/12</f>
        <v>3.414731802836646E-13</v>
      </c>
      <c r="BS157" s="22">
        <f t="shared" si="169"/>
        <v>37.98149146431156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-1.5961632016114892E-13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259.87681411271632</v>
      </c>
      <c r="CE157" s="59">
        <f t="shared" si="148"/>
        <v>191.8684235641158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81.598537835042151</v>
      </c>
      <c r="CL157" s="21">
        <f>EXP(-LN(2)/25)*CL156+(1-EXP(-LN(2)/25))/(LN(2)/25)*Calculateur!CG157*Calculateur!CI157*VLOOKUP('Données projet'!$B$12,Paramètres!$A$1:$I$89,3,0)*0.475*44/12</f>
        <v>12.257239401634953</v>
      </c>
      <c r="CM157" s="21">
        <f>EXP(-LN(2)/2)*CM156+(1-EXP(-LN(2)/2))/(LN(2)/2)*CG157*CJ157*VLOOKUP('Données projet'!$B$12,Paramètres!$A$1:$I$89,3,0)*0.475*44/12</f>
        <v>3.5000160708350277E-7</v>
      </c>
      <c r="CN157" s="22">
        <f t="shared" si="172"/>
        <v>93.855777586678713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1.7053025658242404E-13</v>
      </c>
      <c r="CU157" s="17">
        <f>CT157*VLOOKUP('Données projet'!$B$13,Paramètres!$A$1:$I$89,3,0)*VLOOKUP('Données projet'!$B$13,Paramètres!$A$1:$I$89,5,0)</f>
        <v>7.9808160080574461E-14</v>
      </c>
      <c r="CV157" s="13">
        <f t="shared" si="173"/>
        <v>1.2308384591775343E-12</v>
      </c>
      <c r="CW157" s="20">
        <f t="shared" si="174"/>
        <v>2.282709528541206E-12</v>
      </c>
      <c r="CX157" s="59">
        <f t="shared" si="122"/>
        <v>293.33333333333559</v>
      </c>
      <c r="CY157" s="59">
        <f ca="1">AVERAGE(OFFSET($CX$3,0,0,'Données projet'!$E$13+1,1))-AVERAGE(OFFSET($H$3,0,0,'Données projet'!$E$13+1,1))</f>
        <v>137.59122085719031</v>
      </c>
      <c r="CZ157" s="59">
        <f t="shared" si="150"/>
        <v>130.1134470448718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43.489200130865399</v>
      </c>
      <c r="DG157" s="21">
        <f>EXP(-LN(2)/25)*DG156+(1-EXP(-LN(2)/25))/(LN(2)/25)*Calculateur!DB157*Calculateur!DD157*VLOOKUP('Données projet'!$B$13,Paramètres!$A$1:$I$89,3,0)*0.475*44/12</f>
        <v>6.4181695738959981</v>
      </c>
      <c r="DH157" s="21">
        <f>EXP(-LN(2)/2)*DH156+(1-EXP(-LN(2)/2))/(LN(2)/2)*DB157*DE157*VLOOKUP('Données projet'!$B$13,Paramètres!$A$1:$I$89,3,0)*0.475*44/12</f>
        <v>1.8039498073331907E-7</v>
      </c>
      <c r="DI157" s="22">
        <f t="shared" si="175"/>
        <v>49.907369885156378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-1.1527845344971866E-13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313.90901812281373</v>
      </c>
      <c r="DU157" s="59">
        <f t="shared" si="152"/>
        <v>210.54265725995265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126.84045066646839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126.84045066646839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-4.5224624045658861E-14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316.52407313312403</v>
      </c>
      <c r="EP157" s="59">
        <f t="shared" si="154"/>
        <v>340.55949748167382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33.525731801859834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33.525731801859834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-5.6843418860808015E-14</v>
      </c>
      <c r="FF157" s="17">
        <f>FE157*VLOOKUP('Données projet'!$B$16,Paramètres!$A$1:$I$89,3,0)*VLOOKUP('Données projet'!$B$16,Paramètres!$A$1:$I$89,5,0)</f>
        <v>-3.7243808037601412E-14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199.99826357281154</v>
      </c>
      <c r="FK157" s="59">
        <f t="shared" si="156"/>
        <v>214.67424457475136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14.498207633280364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14.498207633280364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284.60021367910457</v>
      </c>
      <c r="T158" s="59">
        <f t="shared" si="142"/>
        <v>301.41905904220812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33.872177859981079</v>
      </c>
      <c r="AA158" s="21">
        <f>EXP(-LN(2)/25)*AA157+(1-EXP(-LN(2)/25))/(LN(2)/25)*Calculateur!V158*Calculateur!X158*VLOOKUP('Données projet'!$B$9,Paramètres!$A$1:$I$89,3,0)*0.475*44/12</f>
        <v>3.8464344092933631</v>
      </c>
      <c r="AB158" s="21">
        <f>EXP(-LN(2)/2)*AB157+(1-EXP(-LN(2)/2))/(LN(2)/2)*V158*Y158*VLOOKUP('Données projet'!$B$9,Paramètres!$A$1:$I$89,3,0)*0.475*44/12</f>
        <v>1.4287946983212538E-12</v>
      </c>
      <c r="AC158" s="22">
        <f t="shared" si="163"/>
        <v>37.718612269275873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294.45857786714919</v>
      </c>
      <c r="AO158" s="59">
        <f t="shared" si="144"/>
        <v>221.9773436301067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46.73473311385677</v>
      </c>
      <c r="AV158" s="21">
        <f>EXP(-LN(2)/25)*AV157+(1-EXP(-LN(2)/25))/(LN(2)/25)*Calculateur!AQ158*Calculateur!AS158*VLOOKUP('Données projet'!$B$10,Paramètres!$A$1:$I$89,3,0)*0.475*44/12</f>
        <v>6.0028712478317257</v>
      </c>
      <c r="AW158" s="21">
        <f>EXP(-LN(2)/2)*AW157+(1-EXP(-LN(2)/2))/(LN(2)/2)*AQ158*AT158*VLOOKUP('Données projet'!$B$10,Paramètres!$A$1:$I$89,3,0)*0.475*44/12</f>
        <v>5.2381196904406868E-10</v>
      </c>
      <c r="AX158" s="21">
        <f t="shared" si="166"/>
        <v>52.737604362212309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6.3550942286383367E-14</v>
      </c>
      <c r="BF158" s="13">
        <f t="shared" si="167"/>
        <v>1.0064464192543978E-12</v>
      </c>
      <c r="BG158" s="20">
        <f t="shared" si="168"/>
        <v>1.8635787380168604E-12</v>
      </c>
      <c r="BH158" s="59">
        <f t="shared" si="116"/>
        <v>293.33333333333519</v>
      </c>
      <c r="BI158" s="59">
        <f ca="1">AVERAGE(OFFSET($BH$3,0,0,'Données projet'!$E$11+1,1))-AVERAGE(OFFSET($H$3,0,0,'Données projet'!$E$11+1,1))</f>
        <v>304.91676868833792</v>
      </c>
      <c r="BJ158" s="59">
        <f t="shared" si="146"/>
        <v>365.95065044620048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33.471208008162513</v>
      </c>
      <c r="BQ158" s="21">
        <f>EXP(-LN(2)/25)*BQ157+(1-EXP(-LN(2)/25))/(LN(2)/25)*Calculateur!BL158*Calculateur!BN158*VLOOKUP('Données projet'!$B$11,Paramètres!$A$1:$I$89,3,0)*0.475*44/12</f>
        <v>3.7357784003410597</v>
      </c>
      <c r="BR158" s="21">
        <f>EXP(-LN(2)/2)*BR157+(1-EXP(-LN(2)/2))/(LN(2)/2)*BL158*BO158*VLOOKUP('Données projet'!$B$11,Paramètres!$A$1:$I$89,3,0)*0.475*44/12</f>
        <v>2.4145800137191572E-13</v>
      </c>
      <c r="BS158" s="22">
        <f t="shared" si="169"/>
        <v>37.206986408503816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-1.5961632016114892E-13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259.87681411271632</v>
      </c>
      <c r="CE158" s="59">
        <f t="shared" si="148"/>
        <v>191.8684235641158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79.998440278290659</v>
      </c>
      <c r="CL158" s="21">
        <f>EXP(-LN(2)/25)*CL157+(1-EXP(-LN(2)/25))/(LN(2)/25)*Calculateur!CG158*Calculateur!CI158*VLOOKUP('Données projet'!$B$12,Paramètres!$A$1:$I$89,3,0)*0.475*44/12</f>
        <v>11.92206454561704</v>
      </c>
      <c r="CM158" s="21">
        <f>EXP(-LN(2)/2)*CM157+(1-EXP(-LN(2)/2))/(LN(2)/2)*CG158*CJ158*VLOOKUP('Données projet'!$B$12,Paramètres!$A$1:$I$89,3,0)*0.475*44/12</f>
        <v>2.4748850979493438E-7</v>
      </c>
      <c r="CN158" s="22">
        <f t="shared" si="172"/>
        <v>91.920505071396207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1.7053025658242404E-13</v>
      </c>
      <c r="CU158" s="17">
        <f>CT158*VLOOKUP('Données projet'!$B$13,Paramètres!$A$1:$I$89,3,0)*VLOOKUP('Données projet'!$B$13,Paramètres!$A$1:$I$89,5,0)</f>
        <v>7.9808160080574461E-14</v>
      </c>
      <c r="CV158" s="13">
        <f t="shared" si="173"/>
        <v>1.2308384591775343E-12</v>
      </c>
      <c r="CW158" s="20">
        <f t="shared" si="174"/>
        <v>2.282709528541206E-12</v>
      </c>
      <c r="CX158" s="59">
        <f t="shared" si="122"/>
        <v>293.33333333333559</v>
      </c>
      <c r="CY158" s="59">
        <f ca="1">AVERAGE(OFFSET($CX$3,0,0,'Données projet'!$E$13+1,1))-AVERAGE(OFFSET($H$3,0,0,'Données projet'!$E$13+1,1))</f>
        <v>137.59122085719031</v>
      </c>
      <c r="CZ158" s="59">
        <f t="shared" si="150"/>
        <v>130.1134470448718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42.636403442092004</v>
      </c>
      <c r="DG158" s="21">
        <f>EXP(-LN(2)/25)*DG157+(1-EXP(-LN(2)/25))/(LN(2)/25)*Calculateur!DB158*Calculateur!DD158*VLOOKUP('Données projet'!$B$13,Paramètres!$A$1:$I$89,3,0)*0.475*44/12</f>
        <v>6.242664389380943</v>
      </c>
      <c r="DH158" s="21">
        <f>EXP(-LN(2)/2)*DH157+(1-EXP(-LN(2)/2))/(LN(2)/2)*DB158*DE158*VLOOKUP('Données projet'!$B$13,Paramètres!$A$1:$I$89,3,0)*0.475*44/12</f>
        <v>1.275585141685465E-7</v>
      </c>
      <c r="DI158" s="22">
        <f t="shared" si="175"/>
        <v>48.87906795903146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-1.1527845344971866E-13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313.90901812281373</v>
      </c>
      <c r="DU158" s="59">
        <f t="shared" si="152"/>
        <v>210.54265725995265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124.35318679393468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124.35318679393468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-4.5224624045658861E-14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316.52407313312403</v>
      </c>
      <c r="EP158" s="59">
        <f t="shared" si="154"/>
        <v>340.55949748167382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32.86831264990262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32.86831264990262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-5.6843418860808015E-14</v>
      </c>
      <c r="FF158" s="17">
        <f>FE158*VLOOKUP('Données projet'!$B$16,Paramètres!$A$1:$I$89,3,0)*VLOOKUP('Données projet'!$B$16,Paramètres!$A$1:$I$89,5,0)</f>
        <v>-3.7243808037601412E-14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199.99826357281154</v>
      </c>
      <c r="FK158" s="59">
        <f t="shared" si="156"/>
        <v>214.67424457475136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14.213906624625215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14.213906624625215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284.60021367910457</v>
      </c>
      <c r="T159" s="59">
        <f t="shared" si="142"/>
        <v>301.41905904220812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33.207965112135341</v>
      </c>
      <c r="AA159" s="21">
        <f>EXP(-LN(2)/25)*AA158+(1-EXP(-LN(2)/25))/(LN(2)/25)*Calculateur!V159*Calculateur!X159*VLOOKUP('Données projet'!$B$9,Paramètres!$A$1:$I$89,3,0)*0.475*44/12</f>
        <v>3.7412534580960415</v>
      </c>
      <c r="AB159" s="21">
        <f>EXP(-LN(2)/2)*AB158+(1-EXP(-LN(2)/2))/(LN(2)/2)*V159*Y159*VLOOKUP('Données projet'!$B$9,Paramètres!$A$1:$I$89,3,0)*0.475*44/12</f>
        <v>1.010310420106346E-12</v>
      </c>
      <c r="AC159" s="22">
        <f t="shared" si="163"/>
        <v>36.949218570232389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294.45857786714919</v>
      </c>
      <c r="AO159" s="59">
        <f t="shared" si="144"/>
        <v>221.9773436301067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45.818293502866567</v>
      </c>
      <c r="AV159" s="21">
        <f>EXP(-LN(2)/25)*AV158+(1-EXP(-LN(2)/25))/(LN(2)/25)*Calculateur!AQ159*Calculateur!AS159*VLOOKUP('Données projet'!$B$10,Paramètres!$A$1:$I$89,3,0)*0.475*44/12</f>
        <v>5.8387224178824884</v>
      </c>
      <c r="AW159" s="21">
        <f>EXP(-LN(2)/2)*AW158+(1-EXP(-LN(2)/2))/(LN(2)/2)*AQ159*AT159*VLOOKUP('Données projet'!$B$10,Paramètres!$A$1:$I$89,3,0)*0.475*44/12</f>
        <v>3.7039099537773889E-10</v>
      </c>
      <c r="AX159" s="21">
        <f t="shared" si="166"/>
        <v>51.657015921119445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6.3550942286383367E-14</v>
      </c>
      <c r="BF159" s="13">
        <f t="shared" si="167"/>
        <v>1.0064464192543978E-12</v>
      </c>
      <c r="BG159" s="20">
        <f t="shared" si="168"/>
        <v>1.8635787380168604E-12</v>
      </c>
      <c r="BH159" s="59">
        <f t="shared" si="116"/>
        <v>293.33333333333519</v>
      </c>
      <c r="BI159" s="59">
        <f ca="1">AVERAGE(OFFSET($BH$3,0,0,'Données projet'!$E$11+1,1))-AVERAGE(OFFSET($H$3,0,0,'Données projet'!$E$11+1,1))</f>
        <v>304.91676868833792</v>
      </c>
      <c r="BJ159" s="59">
        <f t="shared" si="146"/>
        <v>365.95065044620048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32.814858034543477</v>
      </c>
      <c r="BQ159" s="21">
        <f>EXP(-LN(2)/25)*BQ158+(1-EXP(-LN(2)/25))/(LN(2)/25)*Calculateur!BL159*Calculateur!BN159*VLOOKUP('Données projet'!$B$11,Paramètres!$A$1:$I$89,3,0)*0.475*44/12</f>
        <v>3.6336233435276855</v>
      </c>
      <c r="BR159" s="21">
        <f>EXP(-LN(2)/2)*BR158+(1-EXP(-LN(2)/2))/(LN(2)/2)*BL159*BO159*VLOOKUP('Données projet'!$B$11,Paramètres!$A$1:$I$89,3,0)*0.475*44/12</f>
        <v>1.707365901418323E-13</v>
      </c>
      <c r="BS159" s="22">
        <f t="shared" si="169"/>
        <v>36.448481378071335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-1.5961632016114892E-13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259.87681411271632</v>
      </c>
      <c r="CE159" s="59">
        <f t="shared" si="148"/>
        <v>191.8684235641158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78.429719658663913</v>
      </c>
      <c r="CL159" s="21">
        <f>EXP(-LN(2)/25)*CL158+(1-EXP(-LN(2)/25))/(LN(2)/25)*Calculateur!CG159*Calculateur!CI159*VLOOKUP('Données projet'!$B$12,Paramètres!$A$1:$I$89,3,0)*0.475*44/12</f>
        <v>11.596055063663016</v>
      </c>
      <c r="CM159" s="21">
        <f>EXP(-LN(2)/2)*CM158+(1-EXP(-LN(2)/2))/(LN(2)/2)*CG159*CJ159*VLOOKUP('Données projet'!$B$12,Paramètres!$A$1:$I$89,3,0)*0.475*44/12</f>
        <v>1.7500080354175139E-7</v>
      </c>
      <c r="CN159" s="22">
        <f t="shared" si="172"/>
        <v>90.025774897327736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1.7053025658242404E-13</v>
      </c>
      <c r="CU159" s="17">
        <f>CT159*VLOOKUP('Données projet'!$B$13,Paramètres!$A$1:$I$89,3,0)*VLOOKUP('Données projet'!$B$13,Paramètres!$A$1:$I$89,5,0)</f>
        <v>7.9808160080574461E-14</v>
      </c>
      <c r="CV159" s="13">
        <f t="shared" si="173"/>
        <v>1.2308384591775343E-12</v>
      </c>
      <c r="CW159" s="20">
        <f t="shared" si="174"/>
        <v>2.282709528541206E-12</v>
      </c>
      <c r="CX159" s="59">
        <f t="shared" si="122"/>
        <v>293.33333333333559</v>
      </c>
      <c r="CY159" s="59">
        <f ca="1">AVERAGE(OFFSET($CX$3,0,0,'Données projet'!$E$13+1,1))-AVERAGE(OFFSET($H$3,0,0,'Données projet'!$E$13+1,1))</f>
        <v>137.59122085719031</v>
      </c>
      <c r="CZ159" s="59">
        <f t="shared" si="150"/>
        <v>130.1134470448718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41.800329576230837</v>
      </c>
      <c r="DG159" s="21">
        <f>EXP(-LN(2)/25)*DG158+(1-EXP(-LN(2)/25))/(LN(2)/25)*Calculateur!DB159*Calculateur!DD159*VLOOKUP('Données projet'!$B$13,Paramètres!$A$1:$I$89,3,0)*0.475*44/12</f>
        <v>6.0719584033658691</v>
      </c>
      <c r="DH159" s="21">
        <f>EXP(-LN(2)/2)*DH158+(1-EXP(-LN(2)/2))/(LN(2)/2)*DB159*DE159*VLOOKUP('Données projet'!$B$13,Paramètres!$A$1:$I$89,3,0)*0.475*44/12</f>
        <v>9.0197490366659534E-8</v>
      </c>
      <c r="DI159" s="22">
        <f t="shared" si="175"/>
        <v>47.872288069794195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-1.1527845344971866E-13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313.90901812281373</v>
      </c>
      <c r="DU159" s="59">
        <f t="shared" si="152"/>
        <v>210.54265725995265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121.9146966488602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121.9146966488602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-4.5224624045658861E-14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316.52407313312403</v>
      </c>
      <c r="EP159" s="59">
        <f t="shared" si="154"/>
        <v>340.55949748167382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32.223785086529205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32.223785086529205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-5.6843418860808015E-14</v>
      </c>
      <c r="FF159" s="17">
        <f>FE159*VLOOKUP('Données projet'!$B$16,Paramètres!$A$1:$I$89,3,0)*VLOOKUP('Données projet'!$B$16,Paramètres!$A$1:$I$89,5,0)</f>
        <v>-3.7243808037601412E-14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199.99826357281154</v>
      </c>
      <c r="FK159" s="59">
        <f t="shared" si="156"/>
        <v>214.67424457475136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13.935180585343302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13.935180585343302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284.60021367910457</v>
      </c>
      <c r="T160" s="59">
        <f t="shared" si="142"/>
        <v>301.41905904220812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32.556777171145086</v>
      </c>
      <c r="AA160" s="21">
        <f>EXP(-LN(2)/25)*AA159+(1-EXP(-LN(2)/25))/(LN(2)/25)*Calculateur!V160*Calculateur!X160*VLOOKUP('Données projet'!$B$9,Paramètres!$A$1:$I$89,3,0)*0.475*44/12</f>
        <v>3.6389486855404365</v>
      </c>
      <c r="AB160" s="21">
        <f>EXP(-LN(2)/2)*AB159+(1-EXP(-LN(2)/2))/(LN(2)/2)*V160*Y160*VLOOKUP('Données projet'!$B$9,Paramètres!$A$1:$I$89,3,0)*0.475*44/12</f>
        <v>7.1439734916062691E-13</v>
      </c>
      <c r="AC160" s="22">
        <f t="shared" si="163"/>
        <v>36.195725856686238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294.45857786714919</v>
      </c>
      <c r="AO160" s="59">
        <f t="shared" si="144"/>
        <v>221.9773436301067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44.919824713674913</v>
      </c>
      <c r="AV160" s="21">
        <f>EXP(-LN(2)/25)*AV159+(1-EXP(-LN(2)/25))/(LN(2)/25)*Calculateur!AQ160*Calculateur!AS160*VLOOKUP('Données projet'!$B$10,Paramètres!$A$1:$I$89,3,0)*0.475*44/12</f>
        <v>5.6790622463204246</v>
      </c>
      <c r="AW160" s="21">
        <f>EXP(-LN(2)/2)*AW159+(1-EXP(-LN(2)/2))/(LN(2)/2)*AQ160*AT160*VLOOKUP('Données projet'!$B$10,Paramètres!$A$1:$I$89,3,0)*0.475*44/12</f>
        <v>2.6190598452203434E-10</v>
      </c>
      <c r="AX160" s="21">
        <f t="shared" si="166"/>
        <v>50.598886960257246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6.3550942286383367E-14</v>
      </c>
      <c r="BF160" s="13">
        <f t="shared" si="167"/>
        <v>1.0064464192543978E-12</v>
      </c>
      <c r="BG160" s="20">
        <f t="shared" si="168"/>
        <v>1.8635787380168604E-12</v>
      </c>
      <c r="BH160" s="59">
        <f t="shared" si="116"/>
        <v>293.33333333333519</v>
      </c>
      <c r="BI160" s="59">
        <f ca="1">AVERAGE(OFFSET($BH$3,0,0,'Données projet'!$E$11+1,1))-AVERAGE(OFFSET($H$3,0,0,'Données projet'!$E$11+1,1))</f>
        <v>304.91676868833792</v>
      </c>
      <c r="BJ160" s="59">
        <f t="shared" si="146"/>
        <v>365.95065044620048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32.171378683573153</v>
      </c>
      <c r="BQ160" s="21">
        <f>EXP(-LN(2)/25)*BQ159+(1-EXP(-LN(2)/25))/(LN(2)/25)*Calculateur!BL160*Calculateur!BN160*VLOOKUP('Données projet'!$B$11,Paramètres!$A$1:$I$89,3,0)*0.475*44/12</f>
        <v>3.5342617221149739</v>
      </c>
      <c r="BR160" s="21">
        <f>EXP(-LN(2)/2)*BR159+(1-EXP(-LN(2)/2))/(LN(2)/2)*BL160*BO160*VLOOKUP('Données projet'!$B$11,Paramètres!$A$1:$I$89,3,0)*0.475*44/12</f>
        <v>1.2072900068595786E-13</v>
      </c>
      <c r="BS160" s="22">
        <f t="shared" si="169"/>
        <v>35.70564040568825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-1.5961632016114892E-13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259.87681411271632</v>
      </c>
      <c r="CE160" s="59">
        <f t="shared" si="148"/>
        <v>191.8684235641158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76.891760693562958</v>
      </c>
      <c r="CL160" s="21">
        <f>EXP(-LN(2)/25)*CL159+(1-EXP(-LN(2)/25))/(LN(2)/25)*Calculateur!CG160*Calculateur!CI160*VLOOKUP('Données projet'!$B$12,Paramètres!$A$1:$I$89,3,0)*0.475*44/12</f>
        <v>11.278960328137119</v>
      </c>
      <c r="CM160" s="21">
        <f>EXP(-LN(2)/2)*CM159+(1-EXP(-LN(2)/2))/(LN(2)/2)*CG160*CJ160*VLOOKUP('Données projet'!$B$12,Paramètres!$A$1:$I$89,3,0)*0.475*44/12</f>
        <v>1.2374425489746719E-7</v>
      </c>
      <c r="CN160" s="22">
        <f t="shared" si="172"/>
        <v>88.170721145444332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1.7053025658242404E-13</v>
      </c>
      <c r="CU160" s="17">
        <f>CT160*VLOOKUP('Données projet'!$B$13,Paramètres!$A$1:$I$89,3,0)*VLOOKUP('Données projet'!$B$13,Paramètres!$A$1:$I$89,5,0)</f>
        <v>7.9808160080574461E-14</v>
      </c>
      <c r="CV160" s="13">
        <f t="shared" si="173"/>
        <v>1.2308384591775343E-12</v>
      </c>
      <c r="CW160" s="20">
        <f t="shared" si="174"/>
        <v>2.282709528541206E-12</v>
      </c>
      <c r="CX160" s="59">
        <f t="shared" si="122"/>
        <v>293.33333333333559</v>
      </c>
      <c r="CY160" s="59">
        <f ca="1">AVERAGE(OFFSET($CX$3,0,0,'Données projet'!$E$13+1,1))-AVERAGE(OFFSET($H$3,0,0,'Données projet'!$E$13+1,1))</f>
        <v>137.59122085719031</v>
      </c>
      <c r="CZ160" s="59">
        <f t="shared" si="150"/>
        <v>130.1134470448718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40.980650608924499</v>
      </c>
      <c r="DG160" s="21">
        <f>EXP(-LN(2)/25)*DG159+(1-EXP(-LN(2)/25))/(LN(2)/25)*Calculateur!DB160*Calculateur!DD160*VLOOKUP('Données projet'!$B$13,Paramètres!$A$1:$I$89,3,0)*0.475*44/12</f>
        <v>5.9059203815154149</v>
      </c>
      <c r="DH160" s="21">
        <f>EXP(-LN(2)/2)*DH159+(1-EXP(-LN(2)/2))/(LN(2)/2)*DB160*DE160*VLOOKUP('Données projet'!$B$13,Paramètres!$A$1:$I$89,3,0)*0.475*44/12</f>
        <v>6.3779257084273251E-8</v>
      </c>
      <c r="DI160" s="22">
        <f t="shared" si="175"/>
        <v>46.886571054219168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-1.1527845344971866E-13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313.90901812281373</v>
      </c>
      <c r="DU160" s="59">
        <f t="shared" si="152"/>
        <v>210.54265725995265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119.52402380819851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119.52402380819851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-4.5224624045658861E-14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316.52407313312403</v>
      </c>
      <c r="EP160" s="59">
        <f t="shared" si="154"/>
        <v>340.55949748167382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31.591896315550542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31.591896315550542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-5.6843418860808015E-14</v>
      </c>
      <c r="FF160" s="17">
        <f>FE160*VLOOKUP('Données projet'!$B$16,Paramètres!$A$1:$I$89,3,0)*VLOOKUP('Données projet'!$B$16,Paramètres!$A$1:$I$89,5,0)</f>
        <v>-3.7243808037601412E-14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199.99826357281154</v>
      </c>
      <c r="FK160" s="59">
        <f t="shared" si="156"/>
        <v>214.67424457475136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13.661920193685608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13.661920193685608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284.60021367910457</v>
      </c>
      <c r="T161" s="59">
        <f t="shared" si="142"/>
        <v>301.41905904220812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31.918358628492221</v>
      </c>
      <c r="AA161" s="21">
        <f>EXP(-LN(2)/25)*AA160+(1-EXP(-LN(2)/25))/(LN(2)/25)*Calculateur!V161*Calculateur!X161*VLOOKUP('Données projet'!$B$9,Paramètres!$A$1:$I$89,3,0)*0.475*44/12</f>
        <v>3.5394414423703386</v>
      </c>
      <c r="AB161" s="21">
        <f>EXP(-LN(2)/2)*AB160+(1-EXP(-LN(2)/2))/(LN(2)/2)*V161*Y161*VLOOKUP('Données projet'!$B$9,Paramètres!$A$1:$I$89,3,0)*0.475*44/12</f>
        <v>5.0515521005317299E-13</v>
      </c>
      <c r="AC161" s="22">
        <f t="shared" si="163"/>
        <v>35.457800070863065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294.45857786714919</v>
      </c>
      <c r="AO161" s="59">
        <f t="shared" si="144"/>
        <v>221.9773436301067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44.038974349427455</v>
      </c>
      <c r="AV161" s="21">
        <f>EXP(-LN(2)/25)*AV160+(1-EXP(-LN(2)/25))/(LN(2)/25)*Calculateur!AQ161*Calculateur!AS161*VLOOKUP('Données projet'!$B$10,Paramètres!$A$1:$I$89,3,0)*0.475*44/12</f>
        <v>5.5237679905458883</v>
      </c>
      <c r="AW161" s="21">
        <f>EXP(-LN(2)/2)*AW160+(1-EXP(-LN(2)/2))/(LN(2)/2)*AQ161*AT161*VLOOKUP('Données projet'!$B$10,Paramètres!$A$1:$I$89,3,0)*0.475*44/12</f>
        <v>1.8519549768886944E-10</v>
      </c>
      <c r="AX161" s="21">
        <f t="shared" si="166"/>
        <v>49.562742340158536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6.3550942286383367E-14</v>
      </c>
      <c r="BF161" s="13">
        <f t="shared" si="167"/>
        <v>1.0064464192543978E-12</v>
      </c>
      <c r="BG161" s="20">
        <f t="shared" si="168"/>
        <v>1.8635787380168604E-12</v>
      </c>
      <c r="BH161" s="59">
        <f t="shared" si="116"/>
        <v>293.33333333333519</v>
      </c>
      <c r="BI161" s="59">
        <f ca="1">AVERAGE(OFFSET($BH$3,0,0,'Données projet'!$E$11+1,1))-AVERAGE(OFFSET($H$3,0,0,'Données projet'!$E$11+1,1))</f>
        <v>304.91676868833792</v>
      </c>
      <c r="BJ161" s="59">
        <f t="shared" si="146"/>
        <v>365.95065044620048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31.54051757019171</v>
      </c>
      <c r="BQ161" s="21">
        <f>EXP(-LN(2)/25)*BQ160+(1-EXP(-LN(2)/25))/(LN(2)/25)*Calculateur!BL161*Calculateur!BN161*VLOOKUP('Données projet'!$B$11,Paramètres!$A$1:$I$89,3,0)*0.475*44/12</f>
        <v>3.4376171494649936</v>
      </c>
      <c r="BR161" s="21">
        <f>EXP(-LN(2)/2)*BR160+(1-EXP(-LN(2)/2))/(LN(2)/2)*BL161*BO161*VLOOKUP('Données projet'!$B$11,Paramètres!$A$1:$I$89,3,0)*0.475*44/12</f>
        <v>8.5368295070916151E-14</v>
      </c>
      <c r="BS161" s="22">
        <f t="shared" si="169"/>
        <v>34.978134719656786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-1.5961632016114892E-13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259.87681411271632</v>
      </c>
      <c r="CE161" s="59">
        <f t="shared" si="148"/>
        <v>191.8684235641158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75.38396016570529</v>
      </c>
      <c r="CL161" s="21">
        <f>EXP(-LN(2)/25)*CL160+(1-EXP(-LN(2)/25))/(LN(2)/25)*Calculateur!CG161*Calculateur!CI161*VLOOKUP('Données projet'!$B$12,Paramètres!$A$1:$I$89,3,0)*0.475*44/12</f>
        <v>10.970536564829464</v>
      </c>
      <c r="CM161" s="21">
        <f>EXP(-LN(2)/2)*CM160+(1-EXP(-LN(2)/2))/(LN(2)/2)*CG161*CJ161*VLOOKUP('Données projet'!$B$12,Paramètres!$A$1:$I$89,3,0)*0.475*44/12</f>
        <v>8.7500401770875694E-8</v>
      </c>
      <c r="CN161" s="22">
        <f t="shared" si="172"/>
        <v>86.354496818035145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1.7053025658242404E-13</v>
      </c>
      <c r="CU161" s="17">
        <f>CT161*VLOOKUP('Données projet'!$B$13,Paramètres!$A$1:$I$89,3,0)*VLOOKUP('Données projet'!$B$13,Paramètres!$A$1:$I$89,5,0)</f>
        <v>7.9808160080574461E-14</v>
      </c>
      <c r="CV161" s="13">
        <f t="shared" si="173"/>
        <v>1.2308384591775343E-12</v>
      </c>
      <c r="CW161" s="20">
        <f t="shared" si="174"/>
        <v>2.282709528541206E-12</v>
      </c>
      <c r="CX161" s="59">
        <f t="shared" si="122"/>
        <v>293.33333333333559</v>
      </c>
      <c r="CY161" s="59">
        <f ca="1">AVERAGE(OFFSET($CX$3,0,0,'Données projet'!$E$13+1,1))-AVERAGE(OFFSET($H$3,0,0,'Données projet'!$E$13+1,1))</f>
        <v>137.59122085719031</v>
      </c>
      <c r="CZ161" s="59">
        <f t="shared" si="150"/>
        <v>130.1134470448718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40.177045046212235</v>
      </c>
      <c r="DG161" s="21">
        <f>EXP(-LN(2)/25)*DG160+(1-EXP(-LN(2)/25))/(LN(2)/25)*Calculateur!DB161*Calculateur!DD161*VLOOKUP('Données projet'!$B$13,Paramètres!$A$1:$I$89,3,0)*0.475*44/12</f>
        <v>5.7444226781040211</v>
      </c>
      <c r="DH161" s="21">
        <f>EXP(-LN(2)/2)*DH160+(1-EXP(-LN(2)/2))/(LN(2)/2)*DB161*DE161*VLOOKUP('Données projet'!$B$13,Paramètres!$A$1:$I$89,3,0)*0.475*44/12</f>
        <v>4.5098745183329767E-8</v>
      </c>
      <c r="DI161" s="22">
        <f t="shared" si="175"/>
        <v>45.921467769415003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-1.1527845344971866E-13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313.90901812281373</v>
      </c>
      <c r="DU161" s="59">
        <f t="shared" si="152"/>
        <v>210.54265725995265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117.18023060377574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117.18023060377574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-4.5224624045658861E-14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316.52407313312403</v>
      </c>
      <c r="EP161" s="59">
        <f t="shared" si="154"/>
        <v>340.55949748167382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30.972398497956679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30.972398497956679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-5.6843418860808015E-14</v>
      </c>
      <c r="FF161" s="17">
        <f>FE161*VLOOKUP('Données projet'!$B$16,Paramètres!$A$1:$I$89,3,0)*VLOOKUP('Données projet'!$B$16,Paramètres!$A$1:$I$89,5,0)</f>
        <v>-3.7243808037601412E-14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199.99826357281154</v>
      </c>
      <c r="FK161" s="59">
        <f t="shared" si="156"/>
        <v>214.67424457475136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13.394018271635941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13.394018271635941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284.60021367910457</v>
      </c>
      <c r="T162" s="59">
        <f t="shared" si="142"/>
        <v>301.41905904220812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31.292459084063921</v>
      </c>
      <c r="AA162" s="21">
        <f>EXP(-LN(2)/25)*AA161+(1-EXP(-LN(2)/25))/(LN(2)/25)*Calculateur!V162*Calculateur!X162*VLOOKUP('Données projet'!$B$9,Paramètres!$A$1:$I$89,3,0)*0.475*44/12</f>
        <v>3.4426552299975857</v>
      </c>
      <c r="AB162" s="21">
        <f>EXP(-LN(2)/2)*AB161+(1-EXP(-LN(2)/2))/(LN(2)/2)*V162*Y162*VLOOKUP('Données projet'!$B$9,Paramètres!$A$1:$I$89,3,0)*0.475*44/12</f>
        <v>3.5719867458031345E-13</v>
      </c>
      <c r="AC162" s="22">
        <f t="shared" si="163"/>
        <v>34.73511431406186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294.45857786714919</v>
      </c>
      <c r="AO162" s="59">
        <f t="shared" si="144"/>
        <v>221.9773436301067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43.175396923557223</v>
      </c>
      <c r="AV162" s="21">
        <f>EXP(-LN(2)/25)*AV161+(1-EXP(-LN(2)/25))/(LN(2)/25)*Calculateur!AQ162*Calculateur!AS162*VLOOKUP('Données projet'!$B$10,Paramètres!$A$1:$I$89,3,0)*0.475*44/12</f>
        <v>5.3727202643620773</v>
      </c>
      <c r="AW162" s="21">
        <f>EXP(-LN(2)/2)*AW161+(1-EXP(-LN(2)/2))/(LN(2)/2)*AQ162*AT162*VLOOKUP('Données projet'!$B$10,Paramètres!$A$1:$I$89,3,0)*0.475*44/12</f>
        <v>1.3095299226101717E-10</v>
      </c>
      <c r="AX162" s="21">
        <f t="shared" si="166"/>
        <v>48.548117188050256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6.3550942286383367E-14</v>
      </c>
      <c r="BF162" s="13">
        <f t="shared" si="167"/>
        <v>1.0064464192543978E-12</v>
      </c>
      <c r="BG162" s="20">
        <f t="shared" si="168"/>
        <v>1.8635787380168604E-12</v>
      </c>
      <c r="BH162" s="59">
        <f t="shared" si="116"/>
        <v>293.33333333333519</v>
      </c>
      <c r="BI162" s="59">
        <f ca="1">AVERAGE(OFFSET($BH$3,0,0,'Données projet'!$E$11+1,1))-AVERAGE(OFFSET($H$3,0,0,'Données projet'!$E$11+1,1))</f>
        <v>304.91676868833792</v>
      </c>
      <c r="BJ162" s="59">
        <f t="shared" si="146"/>
        <v>365.95065044620048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30.922027258456392</v>
      </c>
      <c r="BQ162" s="21">
        <f>EXP(-LN(2)/25)*BQ161+(1-EXP(-LN(2)/25))/(LN(2)/25)*Calculateur!BL162*Calculateur!BN162*VLOOKUP('Données projet'!$B$11,Paramètres!$A$1:$I$89,3,0)*0.475*44/12</f>
        <v>3.3436153277364444</v>
      </c>
      <c r="BR162" s="21">
        <f>EXP(-LN(2)/2)*BR161+(1-EXP(-LN(2)/2))/(LN(2)/2)*BL162*BO162*VLOOKUP('Données projet'!$B$11,Paramètres!$A$1:$I$89,3,0)*0.475*44/12</f>
        <v>6.036450034297893E-14</v>
      </c>
      <c r="BS162" s="22">
        <f t="shared" si="169"/>
        <v>34.265642586192897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-1.5961632016114892E-13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259.87681411271632</v>
      </c>
      <c r="CE162" s="59">
        <f t="shared" si="148"/>
        <v>191.8684235641158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73.905726686531395</v>
      </c>
      <c r="CL162" s="21">
        <f>EXP(-LN(2)/25)*CL161+(1-EXP(-LN(2)/25))/(LN(2)/25)*Calculateur!CG162*Calculateur!CI162*VLOOKUP('Données projet'!$B$12,Paramètres!$A$1:$I$89,3,0)*0.475*44/12</f>
        <v>10.670546665548757</v>
      </c>
      <c r="CM162" s="21">
        <f>EXP(-LN(2)/2)*CM161+(1-EXP(-LN(2)/2))/(LN(2)/2)*CG162*CJ162*VLOOKUP('Données projet'!$B$12,Paramètres!$A$1:$I$89,3,0)*0.475*44/12</f>
        <v>6.1872127448733595E-8</v>
      </c>
      <c r="CN162" s="22">
        <f t="shared" si="172"/>
        <v>84.576273413952279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1.7053025658242404E-13</v>
      </c>
      <c r="CU162" s="17">
        <f>CT162*VLOOKUP('Données projet'!$B$13,Paramètres!$A$1:$I$89,3,0)*VLOOKUP('Données projet'!$B$13,Paramètres!$A$1:$I$89,5,0)</f>
        <v>7.9808160080574461E-14</v>
      </c>
      <c r="CV162" s="13">
        <f t="shared" si="173"/>
        <v>1.2308384591775343E-12</v>
      </c>
      <c r="CW162" s="20">
        <f t="shared" si="174"/>
        <v>2.282709528541206E-12</v>
      </c>
      <c r="CX162" s="59">
        <f t="shared" si="122"/>
        <v>293.33333333333559</v>
      </c>
      <c r="CY162" s="59">
        <f ca="1">AVERAGE(OFFSET($CX$3,0,0,'Données projet'!$E$13+1,1))-AVERAGE(OFFSET($H$3,0,0,'Données projet'!$E$13+1,1))</f>
        <v>137.59122085719031</v>
      </c>
      <c r="CZ162" s="59">
        <f t="shared" si="150"/>
        <v>130.1134470448718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39.389197698433769</v>
      </c>
      <c r="DG162" s="21">
        <f>EXP(-LN(2)/25)*DG161+(1-EXP(-LN(2)/25))/(LN(2)/25)*Calculateur!DB162*Calculateur!DD162*VLOOKUP('Données projet'!$B$13,Paramètres!$A$1:$I$89,3,0)*0.475*44/12</f>
        <v>5.5873411378852067</v>
      </c>
      <c r="DH162" s="21">
        <f>EXP(-LN(2)/2)*DH161+(1-EXP(-LN(2)/2))/(LN(2)/2)*DB162*DE162*VLOOKUP('Données projet'!$B$13,Paramètres!$A$1:$I$89,3,0)*0.475*44/12</f>
        <v>3.1889628542136625E-8</v>
      </c>
      <c r="DI162" s="22">
        <f t="shared" si="175"/>
        <v>44.9765388682086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-1.1527845344971866E-13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313.90901812281373</v>
      </c>
      <c r="DU162" s="59">
        <f t="shared" si="152"/>
        <v>210.54265725995265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114.882397754519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114.882397754519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-4.5224624045658861E-14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316.52407313312403</v>
      </c>
      <c r="EP162" s="59">
        <f t="shared" si="154"/>
        <v>340.55949748167382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30.365048654709472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30.365048654709472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-5.6843418860808015E-14</v>
      </c>
      <c r="FF162" s="17">
        <f>FE162*VLOOKUP('Données projet'!$B$16,Paramètres!$A$1:$I$89,3,0)*VLOOKUP('Données projet'!$B$16,Paramètres!$A$1:$I$89,5,0)</f>
        <v>-3.7243808037601412E-14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199.99826357281154</v>
      </c>
      <c r="FK162" s="59">
        <f t="shared" si="156"/>
        <v>214.67424457475136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13.13136974287363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13.13136974287363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284.60021367910457</v>
      </c>
      <c r="T163" s="59">
        <f t="shared" si="142"/>
        <v>301.41905904220812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30.678833047940831</v>
      </c>
      <c r="AA163" s="21">
        <f>EXP(-LN(2)/25)*AA162+(1-EXP(-LN(2)/25))/(LN(2)/25)*Calculateur!V163*Calculateur!X163*VLOOKUP('Données projet'!$B$9,Paramètres!$A$1:$I$89,3,0)*0.475*44/12</f>
        <v>3.3485156416919315</v>
      </c>
      <c r="AB163" s="21">
        <f>EXP(-LN(2)/2)*AB162+(1-EXP(-LN(2)/2))/(LN(2)/2)*V163*Y163*VLOOKUP('Données projet'!$B$9,Paramètres!$A$1:$I$89,3,0)*0.475*44/12</f>
        <v>2.525776050265865E-13</v>
      </c>
      <c r="AC163" s="22">
        <f t="shared" si="163"/>
        <v>34.027348689633016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294.45857786714919</v>
      </c>
      <c r="AO163" s="59">
        <f t="shared" si="144"/>
        <v>221.9773436301067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42.328753724278087</v>
      </c>
      <c r="AV163" s="21">
        <f>EXP(-LN(2)/25)*AV162+(1-EXP(-LN(2)/25))/(LN(2)/25)*Calculateur!AQ163*Calculateur!AS163*VLOOKUP('Données projet'!$B$10,Paramètres!$A$1:$I$89,3,0)*0.475*44/12</f>
        <v>5.2258029461940172</v>
      </c>
      <c r="AW163" s="21">
        <f>EXP(-LN(2)/2)*AW162+(1-EXP(-LN(2)/2))/(LN(2)/2)*AQ163*AT163*VLOOKUP('Données projet'!$B$10,Paramètres!$A$1:$I$89,3,0)*0.475*44/12</f>
        <v>9.2597748844434722E-11</v>
      </c>
      <c r="AX163" s="21">
        <f t="shared" si="166"/>
        <v>47.5545566705647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6.3550942286383367E-14</v>
      </c>
      <c r="BF163" s="13">
        <f t="shared" si="167"/>
        <v>1.0064464192543978E-12</v>
      </c>
      <c r="BG163" s="20">
        <f t="shared" si="168"/>
        <v>1.8635787380168604E-12</v>
      </c>
      <c r="BH163" s="59">
        <f t="shared" si="116"/>
        <v>293.33333333333519</v>
      </c>
      <c r="BI163" s="59">
        <f ca="1">AVERAGE(OFFSET($BH$3,0,0,'Données projet'!$E$11+1,1))-AVERAGE(OFFSET($H$3,0,0,'Données projet'!$E$11+1,1))</f>
        <v>304.91676868833792</v>
      </c>
      <c r="BJ163" s="59">
        <f t="shared" si="146"/>
        <v>365.95065044620048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30.315665164492362</v>
      </c>
      <c r="BQ163" s="21">
        <f>EXP(-LN(2)/25)*BQ162+(1-EXP(-LN(2)/25))/(LN(2)/25)*Calculateur!BL163*Calculateur!BN163*VLOOKUP('Données projet'!$B$11,Paramètres!$A$1:$I$89,3,0)*0.475*44/12</f>
        <v>3.2521839907664032</v>
      </c>
      <c r="BR163" s="21">
        <f>EXP(-LN(2)/2)*BR162+(1-EXP(-LN(2)/2))/(LN(2)/2)*BL163*BO163*VLOOKUP('Données projet'!$B$11,Paramètres!$A$1:$I$89,3,0)*0.475*44/12</f>
        <v>4.2684147535458075E-14</v>
      </c>
      <c r="BS163" s="22">
        <f t="shared" si="169"/>
        <v>33.567849155258806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-1.5961632016114892E-13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259.87681411271632</v>
      </c>
      <c r="CE163" s="59">
        <f t="shared" si="148"/>
        <v>191.8684235641158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72.456480464250703</v>
      </c>
      <c r="CL163" s="21">
        <f>EXP(-LN(2)/25)*CL162+(1-EXP(-LN(2)/25))/(LN(2)/25)*Calculateur!CG163*Calculateur!CI163*VLOOKUP('Données projet'!$B$12,Paramètres!$A$1:$I$89,3,0)*0.475*44/12</f>
        <v>10.378760005839665</v>
      </c>
      <c r="CM163" s="21">
        <f>EXP(-LN(2)/2)*CM162+(1-EXP(-LN(2)/2))/(LN(2)/2)*CG163*CJ163*VLOOKUP('Données projet'!$B$12,Paramètres!$A$1:$I$89,3,0)*0.475*44/12</f>
        <v>4.3750200885437847E-8</v>
      </c>
      <c r="CN163" s="22">
        <f t="shared" si="172"/>
        <v>82.835240513840574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1.7053025658242404E-13</v>
      </c>
      <c r="CU163" s="17">
        <f>CT163*VLOOKUP('Données projet'!$B$13,Paramètres!$A$1:$I$89,3,0)*VLOOKUP('Données projet'!$B$13,Paramètres!$A$1:$I$89,5,0)</f>
        <v>7.9808160080574461E-14</v>
      </c>
      <c r="CV163" s="13">
        <f t="shared" si="173"/>
        <v>1.2308384591775343E-12</v>
      </c>
      <c r="CW163" s="20">
        <f t="shared" si="174"/>
        <v>2.282709528541206E-12</v>
      </c>
      <c r="CX163" s="59">
        <f t="shared" si="122"/>
        <v>293.33333333333559</v>
      </c>
      <c r="CY163" s="59">
        <f ca="1">AVERAGE(OFFSET($CX$3,0,0,'Données projet'!$E$13+1,1))-AVERAGE(OFFSET($H$3,0,0,'Données projet'!$E$13+1,1))</f>
        <v>137.59122085719031</v>
      </c>
      <c r="CZ163" s="59">
        <f t="shared" si="150"/>
        <v>130.1134470448718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38.616799556605805</v>
      </c>
      <c r="DG163" s="21">
        <f>EXP(-LN(2)/25)*DG162+(1-EXP(-LN(2)/25))/(LN(2)/25)*Calculateur!DB163*Calculateur!DD163*VLOOKUP('Données projet'!$B$13,Paramètres!$A$1:$I$89,3,0)*0.475*44/12</f>
        <v>5.4345550006442354</v>
      </c>
      <c r="DH163" s="21">
        <f>EXP(-LN(2)/2)*DH162+(1-EXP(-LN(2)/2))/(LN(2)/2)*DB163*DE163*VLOOKUP('Données projet'!$B$13,Paramètres!$A$1:$I$89,3,0)*0.475*44/12</f>
        <v>2.2549372591664883E-8</v>
      </c>
      <c r="DI163" s="22">
        <f t="shared" si="175"/>
        <v>44.051354579799415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-1.1527845344971866E-13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313.90901812281373</v>
      </c>
      <c r="DU163" s="59">
        <f t="shared" si="152"/>
        <v>210.54265725995265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112.62962400589655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112.62962400589655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-4.5224624045658861E-14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316.52407313312403</v>
      </c>
      <c r="EP163" s="59">
        <f t="shared" si="154"/>
        <v>340.55949748167382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29.769608571441516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29.769608571441516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-5.6843418860808015E-14</v>
      </c>
      <c r="FF163" s="17">
        <f>FE163*VLOOKUP('Données projet'!$B$16,Paramètres!$A$1:$I$89,3,0)*VLOOKUP('Données projet'!$B$16,Paramètres!$A$1:$I$89,5,0)</f>
        <v>-3.7243808037601412E-14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199.99826357281154</v>
      </c>
      <c r="FK163" s="59">
        <f t="shared" si="156"/>
        <v>214.67424457475136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12.873871591560565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12.873871591560565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284.60021367910457</v>
      </c>
      <c r="T164" s="59">
        <f t="shared" si="142"/>
        <v>301.41905904220812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30.07723984411119</v>
      </c>
      <c r="AA164" s="21">
        <f>EXP(-LN(2)/25)*AA163+(1-EXP(-LN(2)/25))/(LN(2)/25)*Calculateur!V164*Calculateur!X164*VLOOKUP('Données projet'!$B$9,Paramètres!$A$1:$I$89,3,0)*0.475*44/12</f>
        <v>3.2569503053790814</v>
      </c>
      <c r="AB164" s="21">
        <f>EXP(-LN(2)/2)*AB163+(1-EXP(-LN(2)/2))/(LN(2)/2)*V164*Y164*VLOOKUP('Données projet'!$B$9,Paramètres!$A$1:$I$89,3,0)*0.475*44/12</f>
        <v>1.7859933729015673E-13</v>
      </c>
      <c r="AC164" s="22">
        <f t="shared" si="163"/>
        <v>33.334190149490446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294.45857786714919</v>
      </c>
      <c r="AO164" s="59">
        <f t="shared" si="144"/>
        <v>221.9773436301067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41.498712681735448</v>
      </c>
      <c r="AV164" s="21">
        <f>EXP(-LN(2)/25)*AV163+(1-EXP(-LN(2)/25))/(LN(2)/25)*Calculateur!AQ164*Calculateur!AS164*VLOOKUP('Données projet'!$B$10,Paramètres!$A$1:$I$89,3,0)*0.475*44/12</f>
        <v>5.0829030898173082</v>
      </c>
      <c r="AW164" s="21">
        <f>EXP(-LN(2)/2)*AW163+(1-EXP(-LN(2)/2))/(LN(2)/2)*AQ164*AT164*VLOOKUP('Données projet'!$B$10,Paramètres!$A$1:$I$89,3,0)*0.475*44/12</f>
        <v>6.5476496130508586E-11</v>
      </c>
      <c r="AX164" s="21">
        <f t="shared" si="166"/>
        <v>46.581615771618232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6.3550942286383367E-14</v>
      </c>
      <c r="BF164" s="13">
        <f t="shared" si="167"/>
        <v>1.0064464192543978E-12</v>
      </c>
      <c r="BG164" s="20">
        <f t="shared" si="168"/>
        <v>1.8635787380168604E-12</v>
      </c>
      <c r="BH164" s="59">
        <f t="shared" si="116"/>
        <v>293.33333333333519</v>
      </c>
      <c r="BI164" s="59">
        <f ca="1">AVERAGE(OFFSET($BH$3,0,0,'Données projet'!$E$11+1,1))-AVERAGE(OFFSET($H$3,0,0,'Données projet'!$E$11+1,1))</f>
        <v>304.91676868833792</v>
      </c>
      <c r="BJ164" s="59">
        <f t="shared" si="146"/>
        <v>365.95065044620048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29.721193461346608</v>
      </c>
      <c r="BQ164" s="21">
        <f>EXP(-LN(2)/25)*BQ163+(1-EXP(-LN(2)/25))/(LN(2)/25)*Calculateur!BL164*Calculateur!BN164*VLOOKUP('Données projet'!$B$11,Paramètres!$A$1:$I$89,3,0)*0.475*44/12</f>
        <v>3.1632528485139728</v>
      </c>
      <c r="BR164" s="21">
        <f>EXP(-LN(2)/2)*BR163+(1-EXP(-LN(2)/2))/(LN(2)/2)*BL164*BO164*VLOOKUP('Données projet'!$B$11,Paramètres!$A$1:$I$89,3,0)*0.475*44/12</f>
        <v>3.0182250171489465E-14</v>
      </c>
      <c r="BS164" s="22">
        <f t="shared" si="169"/>
        <v>32.884446309860607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-1.5961632016114892E-13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259.87681411271632</v>
      </c>
      <c r="CE164" s="59">
        <f t="shared" si="148"/>
        <v>191.8684235641158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71.03565307643602</v>
      </c>
      <c r="CL164" s="21">
        <f>EXP(-LN(2)/25)*CL163+(1-EXP(-LN(2)/25))/(LN(2)/25)*Calculateur!CG164*Calculateur!CI164*VLOOKUP('Données projet'!$B$12,Paramètres!$A$1:$I$89,3,0)*0.475*44/12</f>
        <v>10.094952267684711</v>
      </c>
      <c r="CM164" s="21">
        <f>EXP(-LN(2)/2)*CM163+(1-EXP(-LN(2)/2))/(LN(2)/2)*CG164*CJ164*VLOOKUP('Données projet'!$B$12,Paramètres!$A$1:$I$89,3,0)*0.475*44/12</f>
        <v>3.0936063724366797E-8</v>
      </c>
      <c r="CN164" s="22">
        <f t="shared" si="172"/>
        <v>81.130605375056803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1.7053025658242404E-13</v>
      </c>
      <c r="CU164" s="17">
        <f>CT164*VLOOKUP('Données projet'!$B$13,Paramètres!$A$1:$I$89,3,0)*VLOOKUP('Données projet'!$B$13,Paramètres!$A$1:$I$89,5,0)</f>
        <v>7.9808160080574461E-14</v>
      </c>
      <c r="CV164" s="13">
        <f t="shared" si="173"/>
        <v>1.2308384591775343E-12</v>
      </c>
      <c r="CW164" s="20">
        <f t="shared" si="174"/>
        <v>2.282709528541206E-12</v>
      </c>
      <c r="CX164" s="59">
        <f t="shared" si="122"/>
        <v>293.33333333333559</v>
      </c>
      <c r="CY164" s="59">
        <f ca="1">AVERAGE(OFFSET($CX$3,0,0,'Données projet'!$E$13+1,1))-AVERAGE(OFFSET($H$3,0,0,'Données projet'!$E$13+1,1))</f>
        <v>137.59122085719031</v>
      </c>
      <c r="CZ164" s="59">
        <f t="shared" si="150"/>
        <v>130.1134470448718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37.859547671222735</v>
      </c>
      <c r="DG164" s="21">
        <f>EXP(-LN(2)/25)*DG163+(1-EXP(-LN(2)/25))/(LN(2)/25)*Calculateur!DB164*Calculateur!DD164*VLOOKUP('Données projet'!$B$13,Paramètres!$A$1:$I$89,3,0)*0.475*44/12</f>
        <v>5.2859468083607917</v>
      </c>
      <c r="DH164" s="21">
        <f>EXP(-LN(2)/2)*DH163+(1-EXP(-LN(2)/2))/(LN(2)/2)*DB164*DE164*VLOOKUP('Données projet'!$B$13,Paramètres!$A$1:$I$89,3,0)*0.475*44/12</f>
        <v>1.5944814271068313E-8</v>
      </c>
      <c r="DI164" s="22">
        <f t="shared" si="175"/>
        <v>43.145494495528339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-1.1527845344971866E-13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313.90901812281373</v>
      </c>
      <c r="DU164" s="59">
        <f t="shared" si="152"/>
        <v>210.54265725995265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110.42102577642827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110.42102577642827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-4.5224624045658861E-14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316.52407313312403</v>
      </c>
      <c r="EP164" s="59">
        <f t="shared" si="154"/>
        <v>340.55949748167382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29.185844705023857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29.185844705023857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-5.6843418860808015E-14</v>
      </c>
      <c r="FF164" s="17">
        <f>FE164*VLOOKUP('Données projet'!$B$16,Paramètres!$A$1:$I$89,3,0)*VLOOKUP('Données projet'!$B$16,Paramètres!$A$1:$I$89,5,0)</f>
        <v>-3.7243808037601412E-14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199.99826357281154</v>
      </c>
      <c r="FK164" s="59">
        <f t="shared" si="156"/>
        <v>214.67424457475136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12.621422821936385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12.621422821936385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284.60021367910457</v>
      </c>
      <c r="T165" s="59">
        <f t="shared" si="142"/>
        <v>301.41905904220812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29.487443516073025</v>
      </c>
      <c r="AA165" s="21">
        <f>EXP(-LN(2)/25)*AA164+(1-EXP(-LN(2)/25))/(LN(2)/25)*Calculateur!V165*Calculateur!X165*VLOOKUP('Données projet'!$B$9,Paramètres!$A$1:$I$89,3,0)*0.475*44/12</f>
        <v>3.1678888280029178</v>
      </c>
      <c r="AB165" s="21">
        <f>EXP(-LN(2)/2)*AB164+(1-EXP(-LN(2)/2))/(LN(2)/2)*V165*Y165*VLOOKUP('Données projet'!$B$9,Paramètres!$A$1:$I$89,3,0)*0.475*44/12</f>
        <v>1.2628880251329325E-13</v>
      </c>
      <c r="AC165" s="22">
        <f t="shared" si="163"/>
        <v>32.655332344076072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294.45857786714919</v>
      </c>
      <c r="AO165" s="59">
        <f t="shared" si="144"/>
        <v>221.9773436301067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40.684948237762029</v>
      </c>
      <c r="AV165" s="21">
        <f>EXP(-LN(2)/25)*AV164+(1-EXP(-LN(2)/25))/(LN(2)/25)*Calculateur!AQ165*Calculateur!AS165*VLOOKUP('Données projet'!$B$10,Paramètres!$A$1:$I$89,3,0)*0.475*44/12</f>
        <v>4.9439108375279979</v>
      </c>
      <c r="AW165" s="21">
        <f>EXP(-LN(2)/2)*AW164+(1-EXP(-LN(2)/2))/(LN(2)/2)*AQ165*AT165*VLOOKUP('Données projet'!$B$10,Paramètres!$A$1:$I$89,3,0)*0.475*44/12</f>
        <v>4.6298874422217361E-11</v>
      </c>
      <c r="AX165" s="21">
        <f t="shared" si="166"/>
        <v>45.628859075336322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6.3550942286383367E-14</v>
      </c>
      <c r="BF165" s="13">
        <f t="shared" si="167"/>
        <v>1.0064464192543978E-12</v>
      </c>
      <c r="BG165" s="20">
        <f t="shared" si="168"/>
        <v>1.8635787380168604E-12</v>
      </c>
      <c r="BH165" s="59">
        <f t="shared" si="116"/>
        <v>293.33333333333519</v>
      </c>
      <c r="BI165" s="59">
        <f ca="1">AVERAGE(OFFSET($BH$3,0,0,'Données projet'!$E$11+1,1))-AVERAGE(OFFSET($H$3,0,0,'Données projet'!$E$11+1,1))</f>
        <v>304.91676868833792</v>
      </c>
      <c r="BJ165" s="59">
        <f t="shared" si="146"/>
        <v>365.95065044620048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29.138378985707607</v>
      </c>
      <c r="BQ165" s="21">
        <f>EXP(-LN(2)/25)*BQ164+(1-EXP(-LN(2)/25))/(LN(2)/25)*Calculateur!BL165*Calculateur!BN165*VLOOKUP('Données projet'!$B$11,Paramètres!$A$1:$I$89,3,0)*0.475*44/12</f>
        <v>3.0767535330231208</v>
      </c>
      <c r="BR165" s="21">
        <f>EXP(-LN(2)/2)*BR164+(1-EXP(-LN(2)/2))/(LN(2)/2)*BL165*BO165*VLOOKUP('Données projet'!$B$11,Paramètres!$A$1:$I$89,3,0)*0.475*44/12</f>
        <v>2.1342073767729038E-14</v>
      </c>
      <c r="BS165" s="22">
        <f t="shared" si="169"/>
        <v>32.215132518730748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-1.5961632016114892E-13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259.87681411271632</v>
      </c>
      <c r="CE165" s="59">
        <f t="shared" si="148"/>
        <v>191.8684235641158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69.642687247077248</v>
      </c>
      <c r="CL165" s="21">
        <f>EXP(-LN(2)/25)*CL164+(1-EXP(-LN(2)/25))/(LN(2)/25)*Calculateur!CG165*Calculateur!CI165*VLOOKUP('Données projet'!$B$12,Paramètres!$A$1:$I$89,3,0)*0.475*44/12</f>
        <v>9.8189052670544044</v>
      </c>
      <c r="CM165" s="21">
        <f>EXP(-LN(2)/2)*CM164+(1-EXP(-LN(2)/2))/(LN(2)/2)*CG165*CJ165*VLOOKUP('Données projet'!$B$12,Paramètres!$A$1:$I$89,3,0)*0.475*44/12</f>
        <v>2.1875100442718923E-8</v>
      </c>
      <c r="CN165" s="22">
        <f t="shared" si="172"/>
        <v>79.461592536006748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1.7053025658242404E-13</v>
      </c>
      <c r="CU165" s="17">
        <f>CT165*VLOOKUP('Données projet'!$B$13,Paramètres!$A$1:$I$89,3,0)*VLOOKUP('Données projet'!$B$13,Paramètres!$A$1:$I$89,5,0)</f>
        <v>7.9808160080574461E-14</v>
      </c>
      <c r="CV165" s="13">
        <f t="shared" si="173"/>
        <v>1.2308384591775343E-12</v>
      </c>
      <c r="CW165" s="20">
        <f t="shared" si="174"/>
        <v>2.282709528541206E-12</v>
      </c>
      <c r="CX165" s="59">
        <f t="shared" si="122"/>
        <v>293.33333333333559</v>
      </c>
      <c r="CY165" s="59">
        <f ca="1">AVERAGE(OFFSET($CX$3,0,0,'Données projet'!$E$13+1,1))-AVERAGE(OFFSET($H$3,0,0,'Données projet'!$E$13+1,1))</f>
        <v>137.59122085719031</v>
      </c>
      <c r="CZ165" s="59">
        <f t="shared" si="150"/>
        <v>130.1134470448718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37.117145033433985</v>
      </c>
      <c r="DG165" s="21">
        <f>EXP(-LN(2)/25)*DG164+(1-EXP(-LN(2)/25))/(LN(2)/25)*Calculateur!DB165*Calculateur!DD165*VLOOKUP('Données projet'!$B$13,Paramètres!$A$1:$I$89,3,0)*0.475*44/12</f>
        <v>5.1414023149103043</v>
      </c>
      <c r="DH165" s="21">
        <f>EXP(-LN(2)/2)*DH164+(1-EXP(-LN(2)/2))/(LN(2)/2)*DB165*DE165*VLOOKUP('Données projet'!$B$13,Paramètres!$A$1:$I$89,3,0)*0.475*44/12</f>
        <v>1.1274686295832442E-8</v>
      </c>
      <c r="DI165" s="22">
        <f t="shared" si="175"/>
        <v>42.258547359618973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-1.1527845344971866E-13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313.90901812281373</v>
      </c>
      <c r="DU165" s="59">
        <f t="shared" si="152"/>
        <v>210.54265725995265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108.25573681112796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108.25573681112796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-4.5224624045658861E-14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316.52407313312403</v>
      </c>
      <c r="EP165" s="59">
        <f t="shared" si="154"/>
        <v>340.55949748167382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28.613528091965847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28.613528091965847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-5.6843418860808015E-14</v>
      </c>
      <c r="FF165" s="17">
        <f>FE165*VLOOKUP('Données projet'!$B$16,Paramètres!$A$1:$I$89,3,0)*VLOOKUP('Données projet'!$B$16,Paramètres!$A$1:$I$89,5,0)</f>
        <v>-3.7243808037601412E-14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199.99826357281154</v>
      </c>
      <c r="FK165" s="59">
        <f t="shared" si="156"/>
        <v>214.67424457475136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12.37392441870599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12.37392441870599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284.60021367910457</v>
      </c>
      <c r="T166" s="59">
        <f t="shared" si="142"/>
        <v>301.41905904220812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28.909212734287451</v>
      </c>
      <c r="AA166" s="21">
        <f>EXP(-LN(2)/25)*AA165+(1-EXP(-LN(2)/25))/(LN(2)/25)*Calculateur!V166*Calculateur!X166*VLOOKUP('Données projet'!$B$9,Paramètres!$A$1:$I$89,3,0)*0.475*44/12</f>
        <v>3.0812627414091449</v>
      </c>
      <c r="AB166" s="21">
        <f>EXP(-LN(2)/2)*AB165+(1-EXP(-LN(2)/2))/(LN(2)/2)*V166*Y166*VLOOKUP('Données projet'!$B$9,Paramètres!$A$1:$I$89,3,0)*0.475*44/12</f>
        <v>8.9299668645078363E-14</v>
      </c>
      <c r="AC166" s="22">
        <f t="shared" si="163"/>
        <v>31.990475475696684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294.45857786714919</v>
      </c>
      <c r="AO166" s="59">
        <f t="shared" si="144"/>
        <v>221.9773436301067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39.887141218187629</v>
      </c>
      <c r="AV166" s="21">
        <f>EXP(-LN(2)/25)*AV165+(1-EXP(-LN(2)/25))/(LN(2)/25)*Calculateur!AQ166*Calculateur!AS166*VLOOKUP('Données projet'!$B$10,Paramètres!$A$1:$I$89,3,0)*0.475*44/12</f>
        <v>4.8087193356868232</v>
      </c>
      <c r="AW166" s="21">
        <f>EXP(-LN(2)/2)*AW165+(1-EXP(-LN(2)/2))/(LN(2)/2)*AQ166*AT166*VLOOKUP('Données projet'!$B$10,Paramètres!$A$1:$I$89,3,0)*0.475*44/12</f>
        <v>3.2738248065254293E-11</v>
      </c>
      <c r="AX166" s="21">
        <f t="shared" si="166"/>
        <v>44.695860553907188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6.3550942286383367E-14</v>
      </c>
      <c r="BF166" s="13">
        <f t="shared" si="167"/>
        <v>1.0064464192543978E-12</v>
      </c>
      <c r="BG166" s="20">
        <f t="shared" si="168"/>
        <v>1.8635787380168604E-12</v>
      </c>
      <c r="BH166" s="59">
        <f t="shared" si="116"/>
        <v>293.33333333333519</v>
      </c>
      <c r="BI166" s="59">
        <f ca="1">AVERAGE(OFFSET($BH$3,0,0,'Données projet'!$E$11+1,1))-AVERAGE(OFFSET($H$3,0,0,'Données projet'!$E$11+1,1))</f>
        <v>304.91676868833792</v>
      </c>
      <c r="BJ166" s="59">
        <f t="shared" si="146"/>
        <v>365.95065044620048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28.566993146454159</v>
      </c>
      <c r="BQ166" s="21">
        <f>EXP(-LN(2)/25)*BQ165+(1-EXP(-LN(2)/25))/(LN(2)/25)*Calculateur!BL166*Calculateur!BN166*VLOOKUP('Données projet'!$B$11,Paramètres!$A$1:$I$89,3,0)*0.475*44/12</f>
        <v>2.9926195458631675</v>
      </c>
      <c r="BR166" s="21">
        <f>EXP(-LN(2)/2)*BR165+(1-EXP(-LN(2)/2))/(LN(2)/2)*BL166*BO166*VLOOKUP('Données projet'!$B$11,Paramètres!$A$1:$I$89,3,0)*0.475*44/12</f>
        <v>1.5091125085744732E-14</v>
      </c>
      <c r="BS166" s="22">
        <f t="shared" si="169"/>
        <v>31.559612692317341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-1.5961632016114892E-13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259.87681411271632</v>
      </c>
      <c r="CE166" s="59">
        <f t="shared" si="148"/>
        <v>191.8684235641158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68.27703662800694</v>
      </c>
      <c r="CL166" s="21">
        <f>EXP(-LN(2)/25)*CL165+(1-EXP(-LN(2)/25))/(LN(2)/25)*Calculateur!CG166*Calculateur!CI166*VLOOKUP('Données projet'!$B$12,Paramètres!$A$1:$I$89,3,0)*0.475*44/12</f>
        <v>9.5504067861730153</v>
      </c>
      <c r="CM166" s="21">
        <f>EXP(-LN(2)/2)*CM165+(1-EXP(-LN(2)/2))/(LN(2)/2)*CG166*CJ166*VLOOKUP('Données projet'!$B$12,Paramètres!$A$1:$I$89,3,0)*0.475*44/12</f>
        <v>1.5468031862183399E-8</v>
      </c>
      <c r="CN166" s="22">
        <f t="shared" si="172"/>
        <v>77.827443429647985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1.7053025658242404E-13</v>
      </c>
      <c r="CU166" s="17">
        <f>CT166*VLOOKUP('Données projet'!$B$13,Paramètres!$A$1:$I$89,3,0)*VLOOKUP('Données projet'!$B$13,Paramètres!$A$1:$I$89,5,0)</f>
        <v>7.9808160080574461E-14</v>
      </c>
      <c r="CV166" s="13">
        <f t="shared" si="173"/>
        <v>1.2308384591775343E-12</v>
      </c>
      <c r="CW166" s="20">
        <f t="shared" si="174"/>
        <v>2.282709528541206E-12</v>
      </c>
      <c r="CX166" s="59">
        <f t="shared" si="122"/>
        <v>293.33333333333559</v>
      </c>
      <c r="CY166" s="59">
        <f ca="1">AVERAGE(OFFSET($CX$3,0,0,'Données projet'!$E$13+1,1))-AVERAGE(OFFSET($H$3,0,0,'Données projet'!$E$13+1,1))</f>
        <v>137.59122085719031</v>
      </c>
      <c r="CZ166" s="59">
        <f t="shared" si="150"/>
        <v>130.1134470448718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36.389300458551375</v>
      </c>
      <c r="DG166" s="21">
        <f>EXP(-LN(2)/25)*DG165+(1-EXP(-LN(2)/25))/(LN(2)/25)*Calculateur!DB166*Calculateur!DD166*VLOOKUP('Données projet'!$B$13,Paramètres!$A$1:$I$89,3,0)*0.475*44/12</f>
        <v>5.0008103982344849</v>
      </c>
      <c r="DH166" s="21">
        <f>EXP(-LN(2)/2)*DH165+(1-EXP(-LN(2)/2))/(LN(2)/2)*DB166*DE166*VLOOKUP('Données projet'!$B$13,Paramètres!$A$1:$I$89,3,0)*0.475*44/12</f>
        <v>7.9724071355341564E-9</v>
      </c>
      <c r="DI166" s="22">
        <f t="shared" si="175"/>
        <v>41.39011086475827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-1.1527845344971866E-13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313.90901812281373</v>
      </c>
      <c r="DU166" s="59">
        <f t="shared" si="152"/>
        <v>210.54265725995265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106.13290784174133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106.13290784174133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-4.5224624045658861E-14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316.52407313312403</v>
      </c>
      <c r="EP166" s="59">
        <f t="shared" si="154"/>
        <v>340.55949748167382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28.052434258611239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28.052434258611239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-5.6843418860808015E-14</v>
      </c>
      <c r="FF166" s="17">
        <f>FE166*VLOOKUP('Données projet'!$B$16,Paramètres!$A$1:$I$89,3,0)*VLOOKUP('Données projet'!$B$16,Paramètres!$A$1:$I$89,5,0)</f>
        <v>-3.7243808037601412E-14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199.99826357281154</v>
      </c>
      <c r="FK166" s="59">
        <f t="shared" si="156"/>
        <v>214.67424457475136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12.131279308203823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12.131279308203823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284.60021367910457</v>
      </c>
      <c r="T167" s="59">
        <f t="shared" si="142"/>
        <v>301.41905904220812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28.342320705446738</v>
      </c>
      <c r="AA167" s="21">
        <f>EXP(-LN(2)/25)*AA166+(1-EXP(-LN(2)/25))/(LN(2)/25)*Calculateur!V167*Calculateur!X167*VLOOKUP('Données projet'!$B$9,Paramètres!$A$1:$I$89,3,0)*0.475*44/12</f>
        <v>2.9970054497087464</v>
      </c>
      <c r="AB167" s="21">
        <f>EXP(-LN(2)/2)*AB166+(1-EXP(-LN(2)/2))/(LN(2)/2)*V167*Y167*VLOOKUP('Données projet'!$B$9,Paramètres!$A$1:$I$89,3,0)*0.475*44/12</f>
        <v>6.3144401256646624E-14</v>
      </c>
      <c r="AC167" s="22">
        <f t="shared" si="163"/>
        <v>31.339326155155547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294.45857786714919</v>
      </c>
      <c r="AO167" s="59">
        <f t="shared" si="144"/>
        <v>221.9773436301067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39.104978707652847</v>
      </c>
      <c r="AV167" s="21">
        <f>EXP(-LN(2)/25)*AV166+(1-EXP(-LN(2)/25))/(LN(2)/25)*Calculateur!AQ167*Calculateur!AS167*VLOOKUP('Données projet'!$B$10,Paramètres!$A$1:$I$89,3,0)*0.475*44/12</f>
        <v>4.6772246525729075</v>
      </c>
      <c r="AW167" s="21">
        <f>EXP(-LN(2)/2)*AW166+(1-EXP(-LN(2)/2))/(LN(2)/2)*AQ167*AT167*VLOOKUP('Données projet'!$B$10,Paramètres!$A$1:$I$89,3,0)*0.475*44/12</f>
        <v>2.3149437211108681E-11</v>
      </c>
      <c r="AX167" s="21">
        <f t="shared" si="166"/>
        <v>43.782203360248907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6.3550942286383367E-14</v>
      </c>
      <c r="BF167" s="13">
        <f t="shared" si="167"/>
        <v>1.0064464192543978E-12</v>
      </c>
      <c r="BG167" s="20">
        <f t="shared" si="168"/>
        <v>1.8635787380168604E-12</v>
      </c>
      <c r="BH167" s="59">
        <f t="shared" si="116"/>
        <v>293.33333333333519</v>
      </c>
      <c r="BI167" s="59">
        <f ca="1">AVERAGE(OFFSET($BH$3,0,0,'Données projet'!$E$11+1,1))-AVERAGE(OFFSET($H$3,0,0,'Données projet'!$E$11+1,1))</f>
        <v>304.91676868833792</v>
      </c>
      <c r="BJ167" s="59">
        <f t="shared" si="146"/>
        <v>365.95065044620048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28.006811834997521</v>
      </c>
      <c r="BQ167" s="21">
        <f>EXP(-LN(2)/25)*BQ166+(1-EXP(-LN(2)/25))/(LN(2)/25)*Calculateur!BL167*Calculateur!BN167*VLOOKUP('Données projet'!$B$11,Paramètres!$A$1:$I$89,3,0)*0.475*44/12</f>
        <v>2.9107862070065171</v>
      </c>
      <c r="BR167" s="21">
        <f>EXP(-LN(2)/2)*BR166+(1-EXP(-LN(2)/2))/(LN(2)/2)*BL167*BO167*VLOOKUP('Données projet'!$B$11,Paramètres!$A$1:$I$89,3,0)*0.475*44/12</f>
        <v>1.0671036883864519E-14</v>
      </c>
      <c r="BS167" s="22">
        <f t="shared" si="169"/>
        <v>30.917598042004048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-1.5961632016114892E-13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259.87681411271632</v>
      </c>
      <c r="CE167" s="59">
        <f t="shared" si="148"/>
        <v>191.8684235641158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66.93816558461198</v>
      </c>
      <c r="CL167" s="21">
        <f>EXP(-LN(2)/25)*CL166+(1-EXP(-LN(2)/25))/(LN(2)/25)*Calculateur!CG167*Calculateur!CI167*VLOOKUP('Données projet'!$B$12,Paramètres!$A$1:$I$89,3,0)*0.475*44/12</f>
        <v>9.2892504103710483</v>
      </c>
      <c r="CM167" s="21">
        <f>EXP(-LN(2)/2)*CM166+(1-EXP(-LN(2)/2))/(LN(2)/2)*CG167*CJ167*VLOOKUP('Données projet'!$B$12,Paramètres!$A$1:$I$89,3,0)*0.475*44/12</f>
        <v>1.0937550221359462E-8</v>
      </c>
      <c r="CN167" s="22">
        <f t="shared" si="172"/>
        <v>76.227416005920588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1.7053025658242404E-13</v>
      </c>
      <c r="CU167" s="17">
        <f>CT167*VLOOKUP('Données projet'!$B$13,Paramètres!$A$1:$I$89,3,0)*VLOOKUP('Données projet'!$B$13,Paramètres!$A$1:$I$89,5,0)</f>
        <v>7.9808160080574461E-14</v>
      </c>
      <c r="CV167" s="13">
        <f t="shared" si="173"/>
        <v>1.2308384591775343E-12</v>
      </c>
      <c r="CW167" s="20">
        <f t="shared" si="174"/>
        <v>2.282709528541206E-12</v>
      </c>
      <c r="CX167" s="59">
        <f t="shared" si="122"/>
        <v>293.33333333333559</v>
      </c>
      <c r="CY167" s="59">
        <f ca="1">AVERAGE(OFFSET($CX$3,0,0,'Données projet'!$E$13+1,1))-AVERAGE(OFFSET($H$3,0,0,'Données projet'!$E$13+1,1))</f>
        <v>137.59122085719031</v>
      </c>
      <c r="CZ167" s="59">
        <f t="shared" si="150"/>
        <v>130.1134470448718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35.675728471840863</v>
      </c>
      <c r="DG167" s="21">
        <f>EXP(-LN(2)/25)*DG166+(1-EXP(-LN(2)/25))/(LN(2)/25)*Calculateur!DB167*Calculateur!DD167*VLOOKUP('Données projet'!$B$13,Paramètres!$A$1:$I$89,3,0)*0.475*44/12</f>
        <v>4.8640629749135735</v>
      </c>
      <c r="DH167" s="21">
        <f>EXP(-LN(2)/2)*DH166+(1-EXP(-LN(2)/2))/(LN(2)/2)*DB167*DE167*VLOOKUP('Données projet'!$B$13,Paramètres!$A$1:$I$89,3,0)*0.475*44/12</f>
        <v>5.6373431479162208E-9</v>
      </c>
      <c r="DI167" s="22">
        <f t="shared" si="175"/>
        <v>40.539791452391782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-1.1527845344971866E-13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313.90901812281373</v>
      </c>
      <c r="DU167" s="59">
        <f t="shared" si="152"/>
        <v>210.54265725995265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104.05170625364654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104.05170625364654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-4.5224624045658861E-14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316.52407313312403</v>
      </c>
      <c r="EP167" s="59">
        <f t="shared" si="154"/>
        <v>340.55949748167382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27.50234313309527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27.50234313309527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-5.6843418860808015E-14</v>
      </c>
      <c r="FF167" s="17">
        <f>FE167*VLOOKUP('Données projet'!$B$16,Paramètres!$A$1:$I$89,3,0)*VLOOKUP('Données projet'!$B$16,Paramètres!$A$1:$I$89,5,0)</f>
        <v>-3.7243808037601412E-14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199.99826357281154</v>
      </c>
      <c r="FK167" s="59">
        <f t="shared" si="156"/>
        <v>214.67424457475136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11.893392320319698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11.893392320319698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284.60021367910457</v>
      </c>
      <c r="T168" s="59">
        <f t="shared" si="142"/>
        <v>301.41905904220812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27.786545083521599</v>
      </c>
      <c r="AA168" s="21">
        <f>EXP(-LN(2)/25)*AA167+(1-EXP(-LN(2)/25))/(LN(2)/25)*Calculateur!V168*Calculateur!X168*VLOOKUP('Données projet'!$B$9,Paramètres!$A$1:$I$89,3,0)*0.475*44/12</f>
        <v>2.9150521780807939</v>
      </c>
      <c r="AB168" s="21">
        <f>EXP(-LN(2)/2)*AB167+(1-EXP(-LN(2)/2))/(LN(2)/2)*V168*Y168*VLOOKUP('Données projet'!$B$9,Paramètres!$A$1:$I$89,3,0)*0.475*44/12</f>
        <v>4.4649834322539182E-14</v>
      </c>
      <c r="AC168" s="22">
        <f t="shared" si="163"/>
        <v>30.701597261602441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294.45857786714919</v>
      </c>
      <c r="AO168" s="59">
        <f t="shared" si="144"/>
        <v>221.9773436301067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38.338153926877631</v>
      </c>
      <c r="AV168" s="21">
        <f>EXP(-LN(2)/25)*AV167+(1-EXP(-LN(2)/25))/(LN(2)/25)*Calculateur!AQ168*Calculateur!AS168*VLOOKUP('Données projet'!$B$10,Paramètres!$A$1:$I$89,3,0)*0.475*44/12</f>
        <v>4.5493256984837469</v>
      </c>
      <c r="AW168" s="21">
        <f>EXP(-LN(2)/2)*AW167+(1-EXP(-LN(2)/2))/(LN(2)/2)*AQ168*AT168*VLOOKUP('Données projet'!$B$10,Paramètres!$A$1:$I$89,3,0)*0.475*44/12</f>
        <v>1.6369124032627146E-11</v>
      </c>
      <c r="AX168" s="21">
        <f t="shared" si="166"/>
        <v>42.88747962537775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6.3550942286383367E-14</v>
      </c>
      <c r="BF168" s="13">
        <f t="shared" si="167"/>
        <v>1.0064464192543978E-12</v>
      </c>
      <c r="BG168" s="20">
        <f t="shared" si="168"/>
        <v>1.8635787380168604E-12</v>
      </c>
      <c r="BH168" s="59">
        <f t="shared" si="116"/>
        <v>293.33333333333519</v>
      </c>
      <c r="BI168" s="59">
        <f ca="1">AVERAGE(OFFSET($BH$3,0,0,'Données projet'!$E$11+1,1))-AVERAGE(OFFSET($H$3,0,0,'Données projet'!$E$11+1,1))</f>
        <v>304.91676868833792</v>
      </c>
      <c r="BJ168" s="59">
        <f t="shared" si="146"/>
        <v>365.95065044620048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27.457615337381686</v>
      </c>
      <c r="BQ168" s="21">
        <f>EXP(-LN(2)/25)*BQ167+(1-EXP(-LN(2)/25))/(LN(2)/25)*Calculateur!BL168*Calculateur!BN168*VLOOKUP('Données projet'!$B$11,Paramètres!$A$1:$I$89,3,0)*0.475*44/12</f>
        <v>2.8311906051043301</v>
      </c>
      <c r="BR168" s="21">
        <f>EXP(-LN(2)/2)*BR167+(1-EXP(-LN(2)/2))/(LN(2)/2)*BL168*BO168*VLOOKUP('Données projet'!$B$11,Paramètres!$A$1:$I$89,3,0)*0.475*44/12</f>
        <v>7.5455625428723662E-15</v>
      </c>
      <c r="BS168" s="22">
        <f t="shared" si="169"/>
        <v>30.288805942486022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-1.5961632016114892E-13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259.87681411271632</v>
      </c>
      <c r="CE168" s="59">
        <f t="shared" si="148"/>
        <v>191.8684235641158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65.625548985747287</v>
      </c>
      <c r="CL168" s="21">
        <f>EXP(-LN(2)/25)*CL167+(1-EXP(-LN(2)/25))/(LN(2)/25)*Calculateur!CG168*Calculateur!CI168*VLOOKUP('Données projet'!$B$12,Paramètres!$A$1:$I$89,3,0)*0.475*44/12</f>
        <v>9.035235369399004</v>
      </c>
      <c r="CM168" s="21">
        <f>EXP(-LN(2)/2)*CM167+(1-EXP(-LN(2)/2))/(LN(2)/2)*CG168*CJ168*VLOOKUP('Données projet'!$B$12,Paramètres!$A$1:$I$89,3,0)*0.475*44/12</f>
        <v>7.7340159310916993E-9</v>
      </c>
      <c r="CN168" s="22">
        <f t="shared" si="172"/>
        <v>74.660784362880307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1.7053025658242404E-13</v>
      </c>
      <c r="CU168" s="17">
        <f>CT168*VLOOKUP('Données projet'!$B$13,Paramètres!$A$1:$I$89,3,0)*VLOOKUP('Données projet'!$B$13,Paramètres!$A$1:$I$89,5,0)</f>
        <v>7.9808160080574461E-14</v>
      </c>
      <c r="CV168" s="13">
        <f t="shared" si="173"/>
        <v>1.2308384591775343E-12</v>
      </c>
      <c r="CW168" s="20">
        <f t="shared" si="174"/>
        <v>2.282709528541206E-12</v>
      </c>
      <c r="CX168" s="59">
        <f t="shared" si="122"/>
        <v>293.33333333333559</v>
      </c>
      <c r="CY168" s="59">
        <f ca="1">AVERAGE(OFFSET($CX$3,0,0,'Données projet'!$E$13+1,1))-AVERAGE(OFFSET($H$3,0,0,'Données projet'!$E$13+1,1))</f>
        <v>137.59122085719031</v>
      </c>
      <c r="CZ168" s="59">
        <f t="shared" si="150"/>
        <v>130.1134470448718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34.976149196553806</v>
      </c>
      <c r="DG168" s="21">
        <f>EXP(-LN(2)/25)*DG167+(1-EXP(-LN(2)/25))/(LN(2)/25)*Calculateur!DB168*Calculateur!DD168*VLOOKUP('Données projet'!$B$13,Paramètres!$A$1:$I$89,3,0)*0.475*44/12</f>
        <v>4.7310549170746068</v>
      </c>
      <c r="DH168" s="21">
        <f>EXP(-LN(2)/2)*DH167+(1-EXP(-LN(2)/2))/(LN(2)/2)*DB168*DE168*VLOOKUP('Données projet'!$B$13,Paramètres!$A$1:$I$89,3,0)*0.475*44/12</f>
        <v>3.9862035677670782E-9</v>
      </c>
      <c r="DI168" s="22">
        <f t="shared" si="175"/>
        <v>39.707204117614616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-1.1527845344971866E-13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313.90901812281373</v>
      </c>
      <c r="DU168" s="59">
        <f t="shared" si="152"/>
        <v>210.54265725995265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102.01131575928667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102.01131575928667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-4.5224624045658861E-14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316.52407313312403</v>
      </c>
      <c r="EP168" s="59">
        <f t="shared" si="154"/>
        <v>340.55949748167382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26.963038959028211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26.963038959028211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-5.6843418860808015E-14</v>
      </c>
      <c r="FF168" s="17">
        <f>FE168*VLOOKUP('Données projet'!$B$16,Paramètres!$A$1:$I$89,3,0)*VLOOKUP('Données projet'!$B$16,Paramètres!$A$1:$I$89,5,0)</f>
        <v>-3.7243808037601412E-14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199.99826357281154</v>
      </c>
      <c r="FK168" s="59">
        <f t="shared" si="156"/>
        <v>214.67424457475136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11.660170151171247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11.660170151171247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284.60021367910457</v>
      </c>
      <c r="T169" s="59">
        <f t="shared" si="142"/>
        <v>301.41905904220812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27.241667882552754</v>
      </c>
      <c r="AA169" s="21">
        <f>EXP(-LN(2)/25)*AA168+(1-EXP(-LN(2)/25))/(LN(2)/25)*Calculateur!V169*Calculateur!X169*VLOOKUP('Données projet'!$B$9,Paramètres!$A$1:$I$89,3,0)*0.475*44/12</f>
        <v>2.8353399229752427</v>
      </c>
      <c r="AB169" s="21">
        <f>EXP(-LN(2)/2)*AB168+(1-EXP(-LN(2)/2))/(LN(2)/2)*V169*Y169*VLOOKUP('Données projet'!$B$9,Paramètres!$A$1:$I$89,3,0)*0.475*44/12</f>
        <v>3.1572200628323312E-14</v>
      </c>
      <c r="AC169" s="22">
        <f t="shared" si="163"/>
        <v>30.07700780552803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294.45857786714919</v>
      </c>
      <c r="AO169" s="59">
        <f t="shared" si="144"/>
        <v>221.9773436301067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37.586366112336478</v>
      </c>
      <c r="AV169" s="21">
        <f>EXP(-LN(2)/25)*AV168+(1-EXP(-LN(2)/25))/(LN(2)/25)*Calculateur!AQ169*Calculateur!AS169*VLOOKUP('Données projet'!$B$10,Paramètres!$A$1:$I$89,3,0)*0.475*44/12</f>
        <v>4.4249241480200681</v>
      </c>
      <c r="AW169" s="21">
        <f>EXP(-LN(2)/2)*AW168+(1-EXP(-LN(2)/2))/(LN(2)/2)*AQ169*AT169*VLOOKUP('Données projet'!$B$10,Paramètres!$A$1:$I$89,3,0)*0.475*44/12</f>
        <v>1.157471860555434E-11</v>
      </c>
      <c r="AX169" s="21">
        <f t="shared" si="166"/>
        <v>42.011290260368121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6.3550942286383367E-14</v>
      </c>
      <c r="BF169" s="13">
        <f t="shared" si="167"/>
        <v>1.0064464192543978E-12</v>
      </c>
      <c r="BG169" s="20">
        <f t="shared" si="168"/>
        <v>1.8635787380168604E-12</v>
      </c>
      <c r="BH169" s="59">
        <f t="shared" si="116"/>
        <v>293.33333333333519</v>
      </c>
      <c r="BI169" s="59">
        <f ca="1">AVERAGE(OFFSET($BH$3,0,0,'Données projet'!$E$11+1,1))-AVERAGE(OFFSET($H$3,0,0,'Données projet'!$E$11+1,1))</f>
        <v>304.91676868833792</v>
      </c>
      <c r="BJ169" s="59">
        <f t="shared" si="146"/>
        <v>365.95065044620048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26.919188248107311</v>
      </c>
      <c r="BQ169" s="21">
        <f>EXP(-LN(2)/25)*BQ168+(1-EXP(-LN(2)/25))/(LN(2)/25)*Calculateur!BL169*Calculateur!BN169*VLOOKUP('Données projet'!$B$11,Paramètres!$A$1:$I$89,3,0)*0.475*44/12</f>
        <v>2.7537715491219088</v>
      </c>
      <c r="BR169" s="21">
        <f>EXP(-LN(2)/2)*BR168+(1-EXP(-LN(2)/2))/(LN(2)/2)*BL169*BO169*VLOOKUP('Données projet'!$B$11,Paramètres!$A$1:$I$89,3,0)*0.475*44/12</f>
        <v>5.3355184419322594E-15</v>
      </c>
      <c r="BS169" s="22">
        <f t="shared" si="169"/>
        <v>29.672959797229225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-1.5961632016114892E-13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259.87681411271632</v>
      </c>
      <c r="CE169" s="59">
        <f t="shared" si="148"/>
        <v>191.8684235641158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64.338671997769268</v>
      </c>
      <c r="CL169" s="21">
        <f>EXP(-LN(2)/25)*CL168+(1-EXP(-LN(2)/25))/(LN(2)/25)*Calculateur!CG169*Calculateur!CI169*VLOOKUP('Données projet'!$B$12,Paramètres!$A$1:$I$89,3,0)*0.475*44/12</f>
        <v>8.7881663830804104</v>
      </c>
      <c r="CM169" s="21">
        <f>EXP(-LN(2)/2)*CM168+(1-EXP(-LN(2)/2))/(LN(2)/2)*CG169*CJ169*VLOOKUP('Données projet'!$B$12,Paramètres!$A$1:$I$89,3,0)*0.475*44/12</f>
        <v>5.4687751106797309E-9</v>
      </c>
      <c r="CN169" s="22">
        <f t="shared" si="172"/>
        <v>73.126838386318454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1.7053025658242404E-13</v>
      </c>
      <c r="CU169" s="17">
        <f>CT169*VLOOKUP('Données projet'!$B$13,Paramètres!$A$1:$I$89,3,0)*VLOOKUP('Données projet'!$B$13,Paramètres!$A$1:$I$89,5,0)</f>
        <v>7.9808160080574461E-14</v>
      </c>
      <c r="CV169" s="13">
        <f t="shared" si="173"/>
        <v>1.2308384591775343E-12</v>
      </c>
      <c r="CW169" s="20">
        <f t="shared" si="174"/>
        <v>2.282709528541206E-12</v>
      </c>
      <c r="CX169" s="59">
        <f t="shared" si="122"/>
        <v>293.33333333333559</v>
      </c>
      <c r="CY169" s="59">
        <f ca="1">AVERAGE(OFFSET($CX$3,0,0,'Données projet'!$E$13+1,1))-AVERAGE(OFFSET($H$3,0,0,'Données projet'!$E$13+1,1))</f>
        <v>137.59122085719031</v>
      </c>
      <c r="CZ169" s="59">
        <f t="shared" si="150"/>
        <v>130.1134470448718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34.290288244153899</v>
      </c>
      <c r="DG169" s="21">
        <f>EXP(-LN(2)/25)*DG168+(1-EXP(-LN(2)/25))/(LN(2)/25)*Calculateur!DB169*Calculateur!DD169*VLOOKUP('Données projet'!$B$13,Paramètres!$A$1:$I$89,3,0)*0.475*44/12</f>
        <v>4.6016839715718367</v>
      </c>
      <c r="DH169" s="21">
        <f>EXP(-LN(2)/2)*DH168+(1-EXP(-LN(2)/2))/(LN(2)/2)*DB169*DE169*VLOOKUP('Données projet'!$B$13,Paramètres!$A$1:$I$89,3,0)*0.475*44/12</f>
        <v>2.8186715739581104E-9</v>
      </c>
      <c r="DI169" s="22">
        <f t="shared" si="175"/>
        <v>38.89197221854441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-1.1527845344971866E-13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313.90901812281373</v>
      </c>
      <c r="DU169" s="59">
        <f t="shared" si="152"/>
        <v>210.54265725995265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100.01093607800588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100.01093607800588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-4.5224624045658861E-14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316.52407313312403</v>
      </c>
      <c r="EP169" s="59">
        <f t="shared" si="154"/>
        <v>340.55949748167382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26.434310210871541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26.434310210871541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-5.6843418860808015E-14</v>
      </c>
      <c r="FF169" s="17">
        <f>FE169*VLOOKUP('Données projet'!$B$16,Paramètres!$A$1:$I$89,3,0)*VLOOKUP('Données projet'!$B$16,Paramètres!$A$1:$I$89,5,0)</f>
        <v>-3.7243808037601412E-14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199.99826357281154</v>
      </c>
      <c r="FK169" s="59">
        <f t="shared" si="156"/>
        <v>214.67424457475136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11.431521326508319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11.431521326508319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284.60021367910457</v>
      </c>
      <c r="T170" s="59">
        <f t="shared" si="142"/>
        <v>301.41905904220812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26.707475391152631</v>
      </c>
      <c r="AA170" s="21">
        <f>EXP(-LN(2)/25)*AA169+(1-EXP(-LN(2)/25))/(LN(2)/25)*Calculateur!V170*Calculateur!X170*VLOOKUP('Données projet'!$B$9,Paramètres!$A$1:$I$89,3,0)*0.475*44/12</f>
        <v>2.7578074036774383</v>
      </c>
      <c r="AB170" s="21">
        <f>EXP(-LN(2)/2)*AB169+(1-EXP(-LN(2)/2))/(LN(2)/2)*V170*Y170*VLOOKUP('Données projet'!$B$9,Paramètres!$A$1:$I$89,3,0)*0.475*44/12</f>
        <v>2.2324917161269591E-14</v>
      </c>
      <c r="AC170" s="22">
        <f t="shared" si="163"/>
        <v>29.465282794830092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294.45857786714919</v>
      </c>
      <c r="AO170" s="59">
        <f t="shared" si="144"/>
        <v>221.9773436301067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36.849320398293187</v>
      </c>
      <c r="AV170" s="21">
        <f>EXP(-LN(2)/25)*AV169+(1-EXP(-LN(2)/25))/(LN(2)/25)*Calculateur!AQ170*Calculateur!AS170*VLOOKUP('Données projet'!$B$10,Paramètres!$A$1:$I$89,3,0)*0.475*44/12</f>
        <v>4.3039243644958116</v>
      </c>
      <c r="AW170" s="21">
        <f>EXP(-LN(2)/2)*AW169+(1-EXP(-LN(2)/2))/(LN(2)/2)*AQ170*AT170*VLOOKUP('Données projet'!$B$10,Paramètres!$A$1:$I$89,3,0)*0.475*44/12</f>
        <v>8.1845620163135732E-12</v>
      </c>
      <c r="AX170" s="21">
        <f t="shared" si="166"/>
        <v>41.153244762797186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6.3550942286383367E-14</v>
      </c>
      <c r="BF170" s="13">
        <f t="shared" si="167"/>
        <v>1.0064464192543978E-12</v>
      </c>
      <c r="BG170" s="20">
        <f t="shared" si="168"/>
        <v>1.8635787380168604E-12</v>
      </c>
      <c r="BH170" s="59">
        <f t="shared" si="116"/>
        <v>293.33333333333519</v>
      </c>
      <c r="BI170" s="59">
        <f ca="1">AVERAGE(OFFSET($BH$3,0,0,'Données projet'!$E$11+1,1))-AVERAGE(OFFSET($H$3,0,0,'Données projet'!$E$11+1,1))</f>
        <v>304.91676868833792</v>
      </c>
      <c r="BJ170" s="59">
        <f t="shared" si="146"/>
        <v>365.95065044620048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26.391319385645509</v>
      </c>
      <c r="BQ170" s="21">
        <f>EXP(-LN(2)/25)*BQ169+(1-EXP(-LN(2)/25))/(LN(2)/25)*Calculateur!BL170*Calculateur!BN170*VLOOKUP('Données projet'!$B$11,Paramètres!$A$1:$I$89,3,0)*0.475*44/12</f>
        <v>2.6784695212966181</v>
      </c>
      <c r="BR170" s="21">
        <f>EXP(-LN(2)/2)*BR169+(1-EXP(-LN(2)/2))/(LN(2)/2)*BL170*BO170*VLOOKUP('Données projet'!$B$11,Paramètres!$A$1:$I$89,3,0)*0.475*44/12</f>
        <v>3.7727812714361831E-15</v>
      </c>
      <c r="BS170" s="22">
        <f t="shared" si="169"/>
        <v>29.069788906942133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-1.5961632016114892E-13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259.87681411271632</v>
      </c>
      <c r="CE170" s="59">
        <f t="shared" si="148"/>
        <v>191.8684235641158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63.077029882608038</v>
      </c>
      <c r="CL170" s="21">
        <f>EXP(-LN(2)/25)*CL169+(1-EXP(-LN(2)/25))/(LN(2)/25)*Calculateur!CG170*Calculateur!CI170*VLOOKUP('Données projet'!$B$12,Paramètres!$A$1:$I$89,3,0)*0.475*44/12</f>
        <v>8.5478535111854921</v>
      </c>
      <c r="CM170" s="21">
        <f>EXP(-LN(2)/2)*CM169+(1-EXP(-LN(2)/2))/(LN(2)/2)*CG170*CJ170*VLOOKUP('Données projet'!$B$12,Paramètres!$A$1:$I$89,3,0)*0.475*44/12</f>
        <v>3.8670079655458497E-9</v>
      </c>
      <c r="CN170" s="22">
        <f t="shared" si="172"/>
        <v>71.624883397660525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1.7053025658242404E-13</v>
      </c>
      <c r="CU170" s="17">
        <f>CT170*VLOOKUP('Données projet'!$B$13,Paramètres!$A$1:$I$89,3,0)*VLOOKUP('Données projet'!$B$13,Paramètres!$A$1:$I$89,5,0)</f>
        <v>7.9808160080574461E-14</v>
      </c>
      <c r="CV170" s="13">
        <f t="shared" si="173"/>
        <v>1.2308384591775343E-12</v>
      </c>
      <c r="CW170" s="20">
        <f t="shared" si="174"/>
        <v>2.282709528541206E-12</v>
      </c>
      <c r="CX170" s="59">
        <f t="shared" si="122"/>
        <v>293.33333333333559</v>
      </c>
      <c r="CY170" s="59">
        <f ca="1">AVERAGE(OFFSET($CX$3,0,0,'Données projet'!$E$13+1,1))-AVERAGE(OFFSET($H$3,0,0,'Données projet'!$E$13+1,1))</f>
        <v>137.59122085719031</v>
      </c>
      <c r="CZ170" s="59">
        <f t="shared" si="150"/>
        <v>130.1134470448718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33.617876606696683</v>
      </c>
      <c r="DG170" s="21">
        <f>EXP(-LN(2)/25)*DG169+(1-EXP(-LN(2)/25))/(LN(2)/25)*Calculateur!DB170*Calculateur!DD170*VLOOKUP('Données projet'!$B$13,Paramètres!$A$1:$I$89,3,0)*0.475*44/12</f>
        <v>4.4758506813771621</v>
      </c>
      <c r="DH170" s="21">
        <f>EXP(-LN(2)/2)*DH169+(1-EXP(-LN(2)/2))/(LN(2)/2)*DB170*DE170*VLOOKUP('Données projet'!$B$13,Paramètres!$A$1:$I$89,3,0)*0.475*44/12</f>
        <v>1.9931017838835391E-9</v>
      </c>
      <c r="DI170" s="22">
        <f t="shared" si="175"/>
        <v>38.093727290066944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-1.1527845344971866E-13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313.90901812281373</v>
      </c>
      <c r="DU170" s="59">
        <f t="shared" si="152"/>
        <v>210.54265725995265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98.049782622163889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98.049782622163889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-4.5224624045658861E-14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316.52407313312403</v>
      </c>
      <c r="EP170" s="59">
        <f t="shared" si="154"/>
        <v>340.55949748167382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25.91594951097353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25.91594951097353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-5.6843418860808015E-14</v>
      </c>
      <c r="FF170" s="17">
        <f>FE170*VLOOKUP('Données projet'!$B$16,Paramètres!$A$1:$I$89,3,0)*VLOOKUP('Données projet'!$B$16,Paramètres!$A$1:$I$89,5,0)</f>
        <v>-3.7243808037601412E-14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199.99826357281154</v>
      </c>
      <c r="FK170" s="59">
        <f t="shared" si="156"/>
        <v>214.67424457475136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11.207356165835019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11.207356165835019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284.60021367910457</v>
      </c>
      <c r="T171" s="59">
        <f t="shared" si="142"/>
        <v>301.41905904220812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26.183758088683618</v>
      </c>
      <c r="AA171" s="21">
        <f>EXP(-LN(2)/25)*AA170+(1-EXP(-LN(2)/25))/(LN(2)/25)*Calculateur!V171*Calculateur!X171*VLOOKUP('Données projet'!$B$9,Paramètres!$A$1:$I$89,3,0)*0.475*44/12</f>
        <v>2.6823950151970903</v>
      </c>
      <c r="AB171" s="21">
        <f>EXP(-LN(2)/2)*AB170+(1-EXP(-LN(2)/2))/(LN(2)/2)*V171*Y171*VLOOKUP('Données projet'!$B$9,Paramètres!$A$1:$I$89,3,0)*0.475*44/12</f>
        <v>1.5786100314161656E-14</v>
      </c>
      <c r="AC171" s="22">
        <f t="shared" si="163"/>
        <v>28.866153103880723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294.45857786714919</v>
      </c>
      <c r="AO171" s="59">
        <f t="shared" si="144"/>
        <v>221.9773436301067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36.126727701148795</v>
      </c>
      <c r="AV171" s="21">
        <f>EXP(-LN(2)/25)*AV170+(1-EXP(-LN(2)/25))/(LN(2)/25)*Calculateur!AQ171*Calculateur!AS171*VLOOKUP('Données projet'!$B$10,Paramètres!$A$1:$I$89,3,0)*0.475*44/12</f>
        <v>4.1862333264151284</v>
      </c>
      <c r="AW171" s="21">
        <f>EXP(-LN(2)/2)*AW170+(1-EXP(-LN(2)/2))/(LN(2)/2)*AQ171*AT171*VLOOKUP('Données projet'!$B$10,Paramètres!$A$1:$I$89,3,0)*0.475*44/12</f>
        <v>5.7873593027771701E-12</v>
      </c>
      <c r="AX171" s="21">
        <f t="shared" si="166"/>
        <v>40.312961027569706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6.3550942286383367E-14</v>
      </c>
      <c r="BF171" s="13">
        <f t="shared" si="167"/>
        <v>1.0064464192543978E-12</v>
      </c>
      <c r="BG171" s="20">
        <f t="shared" si="168"/>
        <v>1.8635787380168604E-12</v>
      </c>
      <c r="BH171" s="59">
        <f t="shared" si="116"/>
        <v>293.33333333333519</v>
      </c>
      <c r="BI171" s="59">
        <f ca="1">AVERAGE(OFFSET($BH$3,0,0,'Données projet'!$E$11+1,1))-AVERAGE(OFFSET($H$3,0,0,'Données projet'!$E$11+1,1))</f>
        <v>304.91676868833792</v>
      </c>
      <c r="BJ171" s="59">
        <f t="shared" si="146"/>
        <v>365.95065044620048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25.873801709608369</v>
      </c>
      <c r="BQ171" s="21">
        <f>EXP(-LN(2)/25)*BQ170+(1-EXP(-LN(2)/25))/(LN(2)/25)*Calculateur!BL171*Calculateur!BN171*VLOOKUP('Données projet'!$B$11,Paramètres!$A$1:$I$89,3,0)*0.475*44/12</f>
        <v>2.6052266313821715</v>
      </c>
      <c r="BR171" s="21">
        <f>EXP(-LN(2)/2)*BR170+(1-EXP(-LN(2)/2))/(LN(2)/2)*BL171*BO171*VLOOKUP('Données projet'!$B$11,Paramètres!$A$1:$I$89,3,0)*0.475*44/12</f>
        <v>2.6677592209661297E-15</v>
      </c>
      <c r="BS171" s="22">
        <f t="shared" si="169"/>
        <v>28.479028340990542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-1.5961632016114892E-13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259.87681411271632</v>
      </c>
      <c r="CE171" s="59">
        <f t="shared" si="148"/>
        <v>191.8684235641158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61.840127799799411</v>
      </c>
      <c r="CL171" s="21">
        <f>EXP(-LN(2)/25)*CL170+(1-EXP(-LN(2)/25))/(LN(2)/25)*Calculateur!CG171*Calculateur!CI171*VLOOKUP('Données projet'!$B$12,Paramètres!$A$1:$I$89,3,0)*0.475*44/12</f>
        <v>8.3141120074100456</v>
      </c>
      <c r="CM171" s="21">
        <f>EXP(-LN(2)/2)*CM170+(1-EXP(-LN(2)/2))/(LN(2)/2)*CG171*CJ171*VLOOKUP('Données projet'!$B$12,Paramètres!$A$1:$I$89,3,0)*0.475*44/12</f>
        <v>2.7343875553398654E-9</v>
      </c>
      <c r="CN171" s="22">
        <f t="shared" si="172"/>
        <v>70.154239809943832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1.7053025658242404E-13</v>
      </c>
      <c r="CU171" s="17">
        <f>CT171*VLOOKUP('Données projet'!$B$13,Paramètres!$A$1:$I$89,3,0)*VLOOKUP('Données projet'!$B$13,Paramètres!$A$1:$I$89,5,0)</f>
        <v>7.9808160080574461E-14</v>
      </c>
      <c r="CV171" s="13">
        <f t="shared" si="173"/>
        <v>1.2308384591775343E-12</v>
      </c>
      <c r="CW171" s="20">
        <f t="shared" si="174"/>
        <v>2.282709528541206E-12</v>
      </c>
      <c r="CX171" s="59">
        <f t="shared" si="122"/>
        <v>293.33333333333559</v>
      </c>
      <c r="CY171" s="59">
        <f ca="1">AVERAGE(OFFSET($CX$3,0,0,'Données projet'!$E$13+1,1))-AVERAGE(OFFSET($H$3,0,0,'Données projet'!$E$13+1,1))</f>
        <v>137.59122085719031</v>
      </c>
      <c r="CZ171" s="59">
        <f t="shared" si="150"/>
        <v>130.1134470448718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32.958650551319401</v>
      </c>
      <c r="DG171" s="21">
        <f>EXP(-LN(2)/25)*DG170+(1-EXP(-LN(2)/25))/(LN(2)/25)*Calculateur!DB171*Calculateur!DD171*VLOOKUP('Données projet'!$B$13,Paramètres!$A$1:$I$89,3,0)*0.475*44/12</f>
        <v>4.3534583091201462</v>
      </c>
      <c r="DH171" s="21">
        <f>EXP(-LN(2)/2)*DH170+(1-EXP(-LN(2)/2))/(LN(2)/2)*DB171*DE171*VLOOKUP('Données projet'!$B$13,Paramètres!$A$1:$I$89,3,0)*0.475*44/12</f>
        <v>1.4093357869790552E-9</v>
      </c>
      <c r="DI171" s="22">
        <f t="shared" si="175"/>
        <v>37.312108861848884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-1.1527845344971866E-13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313.90901812281373</v>
      </c>
      <c r="DU171" s="59">
        <f t="shared" si="152"/>
        <v>210.54265725995265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96.12708618940546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96.12708618940546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-4.5224624045658861E-14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316.52407313312403</v>
      </c>
      <c r="EP171" s="59">
        <f t="shared" si="154"/>
        <v>340.55949748167382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25.407753548231714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25.407753548231714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-5.6843418860808015E-14</v>
      </c>
      <c r="FF171" s="17">
        <f>FE171*VLOOKUP('Données projet'!$B$16,Paramètres!$A$1:$I$89,3,0)*VLOOKUP('Données projet'!$B$16,Paramètres!$A$1:$I$89,5,0)</f>
        <v>-3.7243808037601412E-14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199.99826357281154</v>
      </c>
      <c r="FK171" s="59">
        <f t="shared" si="156"/>
        <v>214.67424457475136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10.987586747235275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10.987586747235275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284.60021367910457</v>
      </c>
      <c r="T172" s="59">
        <f t="shared" si="142"/>
        <v>301.41905904220812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25.670310563080008</v>
      </c>
      <c r="AA172" s="21">
        <f>EXP(-LN(2)/25)*AA171+(1-EXP(-LN(2)/25))/(LN(2)/25)*Calculateur!V172*Calculateur!X172*VLOOKUP('Données projet'!$B$9,Paramètres!$A$1:$I$89,3,0)*0.475*44/12</f>
        <v>2.6090447824455025</v>
      </c>
      <c r="AB172" s="21">
        <f>EXP(-LN(2)/2)*AB171+(1-EXP(-LN(2)/2))/(LN(2)/2)*V172*Y172*VLOOKUP('Données projet'!$B$9,Paramètres!$A$1:$I$89,3,0)*0.475*44/12</f>
        <v>1.1162458580634795E-14</v>
      </c>
      <c r="AC172" s="22">
        <f t="shared" si="163"/>
        <v>28.27935534552552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294.45857786714919</v>
      </c>
      <c r="AO172" s="59">
        <f t="shared" si="144"/>
        <v>221.9773436301067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35.418304606057376</v>
      </c>
      <c r="AV172" s="21">
        <f>EXP(-LN(2)/25)*AV171+(1-EXP(-LN(2)/25))/(LN(2)/25)*Calculateur!AQ172*Calculateur!AS172*VLOOKUP('Données projet'!$B$10,Paramètres!$A$1:$I$89,3,0)*0.475*44/12</f>
        <v>4.0717605559598642</v>
      </c>
      <c r="AW172" s="21">
        <f>EXP(-LN(2)/2)*AW171+(1-EXP(-LN(2)/2))/(LN(2)/2)*AQ172*AT172*VLOOKUP('Données projet'!$B$10,Paramètres!$A$1:$I$89,3,0)*0.475*44/12</f>
        <v>4.0922810081567866E-12</v>
      </c>
      <c r="AX172" s="21">
        <f t="shared" si="166"/>
        <v>39.490065162021331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6.3550942286383367E-14</v>
      </c>
      <c r="BF172" s="13">
        <f t="shared" si="167"/>
        <v>1.0064464192543978E-12</v>
      </c>
      <c r="BG172" s="20">
        <f t="shared" si="168"/>
        <v>1.8635787380168604E-12</v>
      </c>
      <c r="BH172" s="59">
        <f t="shared" si="116"/>
        <v>293.33333333333519</v>
      </c>
      <c r="BI172" s="59">
        <f ca="1">AVERAGE(OFFSET($BH$3,0,0,'Données projet'!$E$11+1,1))-AVERAGE(OFFSET($H$3,0,0,'Données projet'!$E$11+1,1))</f>
        <v>304.91676868833792</v>
      </c>
      <c r="BJ172" s="59">
        <f t="shared" si="146"/>
        <v>365.95065044620048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25.366432239543702</v>
      </c>
      <c r="BQ172" s="21">
        <f>EXP(-LN(2)/25)*BQ171+(1-EXP(-LN(2)/25))/(LN(2)/25)*Calculateur!BL172*Calculateur!BN172*VLOOKUP('Données projet'!$B$11,Paramètres!$A$1:$I$89,3,0)*0.475*44/12</f>
        <v>2.5339865721441117</v>
      </c>
      <c r="BR172" s="21">
        <f>EXP(-LN(2)/2)*BR171+(1-EXP(-LN(2)/2))/(LN(2)/2)*BL172*BO172*VLOOKUP('Données projet'!$B$11,Paramètres!$A$1:$I$89,3,0)*0.475*44/12</f>
        <v>1.8863906357180916E-15</v>
      </c>
      <c r="BS172" s="22">
        <f t="shared" si="169"/>
        <v>27.900418811687818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-1.5961632016114892E-13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259.87681411271632</v>
      </c>
      <c r="CE172" s="59">
        <f t="shared" si="148"/>
        <v>191.8684235641158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60.627480612398884</v>
      </c>
      <c r="CL172" s="21">
        <f>EXP(-LN(2)/25)*CL171+(1-EXP(-LN(2)/25))/(LN(2)/25)*Calculateur!CG172*Calculateur!CI172*VLOOKUP('Données projet'!$B$12,Paramètres!$A$1:$I$89,3,0)*0.475*44/12</f>
        <v>8.0867621773472695</v>
      </c>
      <c r="CM172" s="21">
        <f>EXP(-LN(2)/2)*CM171+(1-EXP(-LN(2)/2))/(LN(2)/2)*CG172*CJ172*VLOOKUP('Données projet'!$B$12,Paramètres!$A$1:$I$89,3,0)*0.475*44/12</f>
        <v>1.9335039827729248E-9</v>
      </c>
      <c r="CN172" s="22">
        <f t="shared" si="172"/>
        <v>68.714242791679652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1.7053025658242404E-13</v>
      </c>
      <c r="CU172" s="17">
        <f>CT172*VLOOKUP('Données projet'!$B$13,Paramètres!$A$1:$I$89,3,0)*VLOOKUP('Données projet'!$B$13,Paramètres!$A$1:$I$89,5,0)</f>
        <v>7.9808160080574461E-14</v>
      </c>
      <c r="CV172" s="13">
        <f t="shared" si="173"/>
        <v>1.2308384591775343E-12</v>
      </c>
      <c r="CW172" s="20">
        <f t="shared" si="174"/>
        <v>2.282709528541206E-12</v>
      </c>
      <c r="CX172" s="59">
        <f t="shared" si="122"/>
        <v>293.33333333333559</v>
      </c>
      <c r="CY172" s="59">
        <f ca="1">AVERAGE(OFFSET($CX$3,0,0,'Données projet'!$E$13+1,1))-AVERAGE(OFFSET($H$3,0,0,'Données projet'!$E$13+1,1))</f>
        <v>137.59122085719031</v>
      </c>
      <c r="CZ172" s="59">
        <f t="shared" si="150"/>
        <v>130.1134470448718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32.312351516799879</v>
      </c>
      <c r="DG172" s="21">
        <f>EXP(-LN(2)/25)*DG171+(1-EXP(-LN(2)/25))/(LN(2)/25)*Calculateur!DB172*Calculateur!DD172*VLOOKUP('Données projet'!$B$13,Paramètres!$A$1:$I$89,3,0)*0.475*44/12</f>
        <v>4.2344127627188337</v>
      </c>
      <c r="DH172" s="21">
        <f>EXP(-LN(2)/2)*DH171+(1-EXP(-LN(2)/2))/(LN(2)/2)*DB172*DE172*VLOOKUP('Données projet'!$B$13,Paramètres!$A$1:$I$89,3,0)*0.475*44/12</f>
        <v>9.9655089194176955E-10</v>
      </c>
      <c r="DI172" s="22">
        <f t="shared" si="175"/>
        <v>36.546764280515262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-1.1527845344971866E-13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313.90901812281373</v>
      </c>
      <c r="DU172" s="59">
        <f t="shared" si="152"/>
        <v>210.54265725995265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94.242092660964389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94.242092660964389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-4.5224624045658861E-14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316.52407313312403</v>
      </c>
      <c r="EP172" s="59">
        <f t="shared" si="154"/>
        <v>340.55949748167382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24.909522998350333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24.909522998350333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-5.6843418860808015E-14</v>
      </c>
      <c r="FF172" s="17">
        <f>FE172*VLOOKUP('Données projet'!$B$16,Paramètres!$A$1:$I$89,3,0)*VLOOKUP('Données projet'!$B$16,Paramètres!$A$1:$I$89,5,0)</f>
        <v>-3.7243808037601412E-14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199.99826357281154</v>
      </c>
      <c r="FK172" s="59">
        <f t="shared" si="156"/>
        <v>214.67424457475136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10.772126872888162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10.772126872888162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284.60021367910457</v>
      </c>
      <c r="T173" s="59">
        <f t="shared" si="142"/>
        <v>301.41905904220812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25.166931430281419</v>
      </c>
      <c r="AA173" s="21">
        <f>EXP(-LN(2)/25)*AA172+(1-EXP(-LN(2)/25))/(LN(2)/25)*Calculateur!V173*Calculateur!X173*VLOOKUP('Données projet'!$B$9,Paramètres!$A$1:$I$89,3,0)*0.475*44/12</f>
        <v>2.5377003156658282</v>
      </c>
      <c r="AB173" s="21">
        <f>EXP(-LN(2)/2)*AB172+(1-EXP(-LN(2)/2))/(LN(2)/2)*V173*Y173*VLOOKUP('Données projet'!$B$9,Paramètres!$A$1:$I$89,3,0)*0.475*44/12</f>
        <v>7.893050157080828E-15</v>
      </c>
      <c r="AC173" s="22">
        <f t="shared" si="163"/>
        <v>27.704631745947253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294.45857786714919</v>
      </c>
      <c r="AO173" s="59">
        <f t="shared" si="144"/>
        <v>221.9773436301067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34.723773255765281</v>
      </c>
      <c r="AV173" s="21">
        <f>EXP(-LN(2)/25)*AV172+(1-EXP(-LN(2)/25))/(LN(2)/25)*Calculateur!AQ173*Calculateur!AS173*VLOOKUP('Données projet'!$B$10,Paramètres!$A$1:$I$89,3,0)*0.475*44/12</f>
        <v>3.96041804943256</v>
      </c>
      <c r="AW173" s="21">
        <f>EXP(-LN(2)/2)*AW172+(1-EXP(-LN(2)/2))/(LN(2)/2)*AQ173*AT173*VLOOKUP('Données projet'!$B$10,Paramètres!$A$1:$I$89,3,0)*0.475*44/12</f>
        <v>2.8936796513885851E-12</v>
      </c>
      <c r="AX173" s="21">
        <f t="shared" si="166"/>
        <v>38.684191305200734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6.3550942286383367E-14</v>
      </c>
      <c r="BF173" s="13">
        <f t="shared" si="167"/>
        <v>1.0064464192543978E-12</v>
      </c>
      <c r="BG173" s="20">
        <f t="shared" si="168"/>
        <v>1.8635787380168604E-12</v>
      </c>
      <c r="BH173" s="59">
        <f t="shared" si="116"/>
        <v>293.33333333333519</v>
      </c>
      <c r="BI173" s="59">
        <f ca="1">AVERAGE(OFFSET($BH$3,0,0,'Données projet'!$E$11+1,1))-AVERAGE(OFFSET($H$3,0,0,'Données projet'!$E$11+1,1))</f>
        <v>304.91676868833792</v>
      </c>
      <c r="BJ173" s="59">
        <f t="shared" si="146"/>
        <v>365.95065044620048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24.869011975322184</v>
      </c>
      <c r="BQ173" s="21">
        <f>EXP(-LN(2)/25)*BQ172+(1-EXP(-LN(2)/25))/(LN(2)/25)*Calculateur!BL173*Calculateur!BN173*VLOOKUP('Données projet'!$B$11,Paramètres!$A$1:$I$89,3,0)*0.475*44/12</f>
        <v>2.4646945760722687</v>
      </c>
      <c r="BR173" s="21">
        <f>EXP(-LN(2)/2)*BR172+(1-EXP(-LN(2)/2))/(LN(2)/2)*BL173*BO173*VLOOKUP('Données projet'!$B$11,Paramètres!$A$1:$I$89,3,0)*0.475*44/12</f>
        <v>1.3338796104830649E-15</v>
      </c>
      <c r="BS173" s="22">
        <f t="shared" si="169"/>
        <v>27.333706551394453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-1.5961632016114892E-13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259.87681411271632</v>
      </c>
      <c r="CE173" s="59">
        <f t="shared" si="148"/>
        <v>191.8684235641158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59.438612696701533</v>
      </c>
      <c r="CL173" s="21">
        <f>EXP(-LN(2)/25)*CL172+(1-EXP(-LN(2)/25))/(LN(2)/25)*Calculateur!CG173*Calculateur!CI173*VLOOKUP('Données projet'!$B$12,Paramètres!$A$1:$I$89,3,0)*0.475*44/12</f>
        <v>7.8656292403433685</v>
      </c>
      <c r="CM173" s="21">
        <f>EXP(-LN(2)/2)*CM172+(1-EXP(-LN(2)/2))/(LN(2)/2)*CG173*CJ173*VLOOKUP('Données projet'!$B$12,Paramètres!$A$1:$I$89,3,0)*0.475*44/12</f>
        <v>1.3671937776699327E-9</v>
      </c>
      <c r="CN173" s="22">
        <f t="shared" si="172"/>
        <v>67.304241938412105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1.7053025658242404E-13</v>
      </c>
      <c r="CU173" s="17">
        <f>CT173*VLOOKUP('Données projet'!$B$13,Paramètres!$A$1:$I$89,3,0)*VLOOKUP('Données projet'!$B$13,Paramètres!$A$1:$I$89,5,0)</f>
        <v>7.9808160080574461E-14</v>
      </c>
      <c r="CV173" s="13">
        <f t="shared" si="173"/>
        <v>1.2308384591775343E-12</v>
      </c>
      <c r="CW173" s="20">
        <f t="shared" si="174"/>
        <v>2.282709528541206E-12</v>
      </c>
      <c r="CX173" s="59">
        <f t="shared" si="122"/>
        <v>293.33333333333559</v>
      </c>
      <c r="CY173" s="59">
        <f ca="1">AVERAGE(OFFSET($CX$3,0,0,'Données projet'!$E$13+1,1))-AVERAGE(OFFSET($H$3,0,0,'Données projet'!$E$13+1,1))</f>
        <v>137.59122085719031</v>
      </c>
      <c r="CZ173" s="59">
        <f t="shared" si="150"/>
        <v>130.1134470448718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31.678726012143798</v>
      </c>
      <c r="DG173" s="21">
        <f>EXP(-LN(2)/25)*DG172+(1-EXP(-LN(2)/25))/(LN(2)/25)*Calculateur!DB173*Calculateur!DD173*VLOOKUP('Données projet'!$B$13,Paramètres!$A$1:$I$89,3,0)*0.475*44/12</f>
        <v>4.1186225230441975</v>
      </c>
      <c r="DH173" s="21">
        <f>EXP(-LN(2)/2)*DH172+(1-EXP(-LN(2)/2))/(LN(2)/2)*DB173*DE173*VLOOKUP('Données projet'!$B$13,Paramètres!$A$1:$I$89,3,0)*0.475*44/12</f>
        <v>7.0466789348952761E-10</v>
      </c>
      <c r="DI173" s="22">
        <f t="shared" si="175"/>
        <v>35.79734853589266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-1.1527845344971866E-13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313.90901812281373</v>
      </c>
      <c r="DU173" s="59">
        <f t="shared" si="152"/>
        <v>210.54265725995265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92.394062705883528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92.394062705883528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-4.5224624045658861E-14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316.52407313312403</v>
      </c>
      <c r="EP173" s="59">
        <f t="shared" si="154"/>
        <v>340.55949748167382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24.421062445661498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24.421062445661498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-5.6843418860808015E-14</v>
      </c>
      <c r="FF173" s="17">
        <f>FE173*VLOOKUP('Données projet'!$B$16,Paramètres!$A$1:$I$89,3,0)*VLOOKUP('Données projet'!$B$16,Paramètres!$A$1:$I$89,5,0)</f>
        <v>-3.7243808037601412E-14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199.99826357281154</v>
      </c>
      <c r="FK173" s="59">
        <f t="shared" si="156"/>
        <v>214.67424457475136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10.56089203525945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10.56089203525945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284.60021367910457</v>
      </c>
      <c r="T174" s="59">
        <f t="shared" si="142"/>
        <v>301.41905904220812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24.673423255246057</v>
      </c>
      <c r="AA174" s="21">
        <f>EXP(-LN(2)/25)*AA173+(1-EXP(-LN(2)/25))/(LN(2)/25)*Calculateur!V174*Calculateur!X174*VLOOKUP('Données projet'!$B$9,Paramètres!$A$1:$I$89,3,0)*0.475*44/12</f>
        <v>2.4683067670820864</v>
      </c>
      <c r="AB174" s="21">
        <f>EXP(-LN(2)/2)*AB173+(1-EXP(-LN(2)/2))/(LN(2)/2)*V174*Y174*VLOOKUP('Données projet'!$B$9,Paramètres!$A$1:$I$89,3,0)*0.475*44/12</f>
        <v>5.5812292903173977E-15</v>
      </c>
      <c r="AC174" s="22">
        <f t="shared" si="163"/>
        <v>27.141730022328151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294.45857786714919</v>
      </c>
      <c r="AO174" s="59">
        <f t="shared" si="144"/>
        <v>221.9773436301067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34.042861241630114</v>
      </c>
      <c r="AV174" s="21">
        <f>EXP(-LN(2)/25)*AV173+(1-EXP(-LN(2)/25))/(LN(2)/25)*Calculateur!AQ174*Calculateur!AS174*VLOOKUP('Données projet'!$B$10,Paramètres!$A$1:$I$89,3,0)*0.475*44/12</f>
        <v>3.8521202096014933</v>
      </c>
      <c r="AW174" s="21">
        <f>EXP(-LN(2)/2)*AW173+(1-EXP(-LN(2)/2))/(LN(2)/2)*AQ174*AT174*VLOOKUP('Données projet'!$B$10,Paramètres!$A$1:$I$89,3,0)*0.475*44/12</f>
        <v>2.0461405040783933E-12</v>
      </c>
      <c r="AX174" s="21">
        <f t="shared" si="166"/>
        <v>37.894981451233654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6.3550942286383367E-14</v>
      </c>
      <c r="BF174" s="13">
        <f t="shared" si="167"/>
        <v>1.0064464192543978E-12</v>
      </c>
      <c r="BG174" s="20">
        <f t="shared" si="168"/>
        <v>1.8635787380168604E-12</v>
      </c>
      <c r="BH174" s="59">
        <f t="shared" si="116"/>
        <v>293.33333333333519</v>
      </c>
      <c r="BI174" s="59">
        <f ca="1">AVERAGE(OFFSET($BH$3,0,0,'Données projet'!$E$11+1,1))-AVERAGE(OFFSET($H$3,0,0,'Données projet'!$E$11+1,1))</f>
        <v>304.91676868833792</v>
      </c>
      <c r="BJ174" s="59">
        <f t="shared" si="146"/>
        <v>365.95065044620048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24.381345819085645</v>
      </c>
      <c r="BQ174" s="21">
        <f>EXP(-LN(2)/25)*BQ173+(1-EXP(-LN(2)/25))/(LN(2)/25)*Calculateur!BL174*Calculateur!BN174*VLOOKUP('Données projet'!$B$11,Paramètres!$A$1:$I$89,3,0)*0.475*44/12</f>
        <v>2.3972973732769178</v>
      </c>
      <c r="BR174" s="21">
        <f>EXP(-LN(2)/2)*BR173+(1-EXP(-LN(2)/2))/(LN(2)/2)*BL174*BO174*VLOOKUP('Données projet'!$B$11,Paramètres!$A$1:$I$89,3,0)*0.475*44/12</f>
        <v>9.4319531785904578E-16</v>
      </c>
      <c r="BS174" s="22">
        <f t="shared" si="169"/>
        <v>26.778643192362562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-1.5961632016114892E-13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259.87681411271632</v>
      </c>
      <c r="CE174" s="59">
        <f t="shared" si="148"/>
        <v>191.8684235641158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58.273057755693181</v>
      </c>
      <c r="CL174" s="21">
        <f>EXP(-LN(2)/25)*CL173+(1-EXP(-LN(2)/25))/(LN(2)/25)*Calculateur!CG174*Calculateur!CI174*VLOOKUP('Données projet'!$B$12,Paramètres!$A$1:$I$89,3,0)*0.475*44/12</f>
        <v>7.6505431951307141</v>
      </c>
      <c r="CM174" s="21">
        <f>EXP(-LN(2)/2)*CM173+(1-EXP(-LN(2)/2))/(LN(2)/2)*CG174*CJ174*VLOOKUP('Données projet'!$B$12,Paramètres!$A$1:$I$89,3,0)*0.475*44/12</f>
        <v>9.6675199138646242E-10</v>
      </c>
      <c r="CN174" s="22">
        <f t="shared" si="172"/>
        <v>65.923600951790647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1.7053025658242404E-13</v>
      </c>
      <c r="CU174" s="17">
        <f>CT174*VLOOKUP('Données projet'!$B$13,Paramètres!$A$1:$I$89,3,0)*VLOOKUP('Données projet'!$B$13,Paramètres!$A$1:$I$89,5,0)</f>
        <v>7.9808160080574461E-14</v>
      </c>
      <c r="CV174" s="13">
        <f t="shared" si="173"/>
        <v>1.2308384591775343E-12</v>
      </c>
      <c r="CW174" s="20">
        <f t="shared" si="174"/>
        <v>2.282709528541206E-12</v>
      </c>
      <c r="CX174" s="59">
        <f t="shared" si="122"/>
        <v>293.33333333333559</v>
      </c>
      <c r="CY174" s="59">
        <f ca="1">AVERAGE(OFFSET($CX$3,0,0,'Données projet'!$E$13+1,1))-AVERAGE(OFFSET($H$3,0,0,'Données projet'!$E$13+1,1))</f>
        <v>137.59122085719031</v>
      </c>
      <c r="CZ174" s="59">
        <f t="shared" si="150"/>
        <v>130.1134470448718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31.057525517160624</v>
      </c>
      <c r="DG174" s="21">
        <f>EXP(-LN(2)/25)*DG173+(1-EXP(-LN(2)/25))/(LN(2)/25)*Calculateur!DB174*Calculateur!DD174*VLOOKUP('Données projet'!$B$13,Paramètres!$A$1:$I$89,3,0)*0.475*44/12</f>
        <v>4.0059985735626089</v>
      </c>
      <c r="DH174" s="21">
        <f>EXP(-LN(2)/2)*DH173+(1-EXP(-LN(2)/2))/(LN(2)/2)*DB174*DE174*VLOOKUP('Données projet'!$B$13,Paramètres!$A$1:$I$89,3,0)*0.475*44/12</f>
        <v>4.9827544597088477E-10</v>
      </c>
      <c r="DI174" s="22">
        <f t="shared" si="175"/>
        <v>35.06352409122151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-1.1527845344971866E-13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313.90901812281373</v>
      </c>
      <c r="DU174" s="59">
        <f t="shared" si="152"/>
        <v>210.54265725995265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90.582271491034831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90.582271491034831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-4.5224624045658861E-14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316.52407313312403</v>
      </c>
      <c r="EP174" s="59">
        <f t="shared" si="154"/>
        <v>340.55949748167382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23.942180306479372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23.942180306479372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-5.6843418860808015E-14</v>
      </c>
      <c r="FF174" s="17">
        <f>FE174*VLOOKUP('Données projet'!$B$16,Paramètres!$A$1:$I$89,3,0)*VLOOKUP('Données projet'!$B$16,Paramètres!$A$1:$I$89,5,0)</f>
        <v>-3.7243808037601412E-14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199.99826357281154</v>
      </c>
      <c r="FK174" s="59">
        <f t="shared" si="156"/>
        <v>214.67424457475136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10.353799383956106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10.353799383956106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284.60021367910457</v>
      </c>
      <c r="T175" s="59">
        <f t="shared" si="142"/>
        <v>301.41905904220812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24.189592474512871</v>
      </c>
      <c r="AA175" s="21">
        <f>EXP(-LN(2)/25)*AA174+(1-EXP(-LN(2)/25))/(LN(2)/25)*Calculateur!V175*Calculateur!X175*VLOOKUP('Données projet'!$B$9,Paramètres!$A$1:$I$89,3,0)*0.475*44/12</f>
        <v>2.4008107887336152</v>
      </c>
      <c r="AB175" s="21">
        <f>EXP(-LN(2)/2)*AB174+(1-EXP(-LN(2)/2))/(LN(2)/2)*V175*Y175*VLOOKUP('Données projet'!$B$9,Paramètres!$A$1:$I$89,3,0)*0.475*44/12</f>
        <v>3.946525078540414E-15</v>
      </c>
      <c r="AC175" s="22">
        <f t="shared" si="163"/>
        <v>26.59040326324649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294.45857786714919</v>
      </c>
      <c r="AO175" s="59">
        <f t="shared" si="144"/>
        <v>221.9773436301067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33.375301496776821</v>
      </c>
      <c r="AV175" s="21">
        <f>EXP(-LN(2)/25)*AV174+(1-EXP(-LN(2)/25))/(LN(2)/25)*Calculateur!AQ175*Calculateur!AS175*VLOOKUP('Données projet'!$B$10,Paramètres!$A$1:$I$89,3,0)*0.475*44/12</f>
        <v>3.7467837798957428</v>
      </c>
      <c r="AW175" s="21">
        <f>EXP(-LN(2)/2)*AW174+(1-EXP(-LN(2)/2))/(LN(2)/2)*AQ175*AT175*VLOOKUP('Données projet'!$B$10,Paramètres!$A$1:$I$89,3,0)*0.475*44/12</f>
        <v>1.4468398256942925E-12</v>
      </c>
      <c r="AX175" s="21">
        <f t="shared" si="166"/>
        <v>37.122085276674014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6.3550942286383367E-14</v>
      </c>
      <c r="BF175" s="13">
        <f t="shared" si="167"/>
        <v>1.0064464192543978E-12</v>
      </c>
      <c r="BG175" s="20">
        <f t="shared" si="168"/>
        <v>1.8635787380168604E-12</v>
      </c>
      <c r="BH175" s="59">
        <f t="shared" si="116"/>
        <v>293.33333333333519</v>
      </c>
      <c r="BI175" s="59">
        <f ca="1">AVERAGE(OFFSET($BH$3,0,0,'Données projet'!$E$11+1,1))-AVERAGE(OFFSET($H$3,0,0,'Données projet'!$E$11+1,1))</f>
        <v>304.91676868833792</v>
      </c>
      <c r="BJ175" s="59">
        <f t="shared" si="146"/>
        <v>365.95065044620048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23.90324249872592</v>
      </c>
      <c r="BQ175" s="21">
        <f>EXP(-LN(2)/25)*BQ174+(1-EXP(-LN(2)/25))/(LN(2)/25)*Calculateur!BL175*Calculateur!BN175*VLOOKUP('Données projet'!$B$11,Paramètres!$A$1:$I$89,3,0)*0.475*44/12</f>
        <v>2.3317431505362709</v>
      </c>
      <c r="BR175" s="21">
        <f>EXP(-LN(2)/2)*BR174+(1-EXP(-LN(2)/2))/(LN(2)/2)*BL175*BO175*VLOOKUP('Données projet'!$B$11,Paramètres!$A$1:$I$89,3,0)*0.475*44/12</f>
        <v>6.6693980524153243E-16</v>
      </c>
      <c r="BS175" s="22">
        <f t="shared" si="169"/>
        <v>26.234985649262192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-1.5961632016114892E-13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259.87681411271632</v>
      </c>
      <c r="CE175" s="59">
        <f t="shared" si="148"/>
        <v>191.8684235641158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57.130358636159684</v>
      </c>
      <c r="CL175" s="21">
        <f>EXP(-LN(2)/25)*CL174+(1-EXP(-LN(2)/25))/(LN(2)/25)*Calculateur!CG175*Calculateur!CI175*VLOOKUP('Données projet'!$B$12,Paramètres!$A$1:$I$89,3,0)*0.475*44/12</f>
        <v>7.441338689135284</v>
      </c>
      <c r="CM175" s="21">
        <f>EXP(-LN(2)/2)*CM174+(1-EXP(-LN(2)/2))/(LN(2)/2)*CG175*CJ175*VLOOKUP('Données projet'!$B$12,Paramètres!$A$1:$I$89,3,0)*0.475*44/12</f>
        <v>6.8359688883496636E-10</v>
      </c>
      <c r="CN175" s="22">
        <f t="shared" si="172"/>
        <v>64.571697325978562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1.7053025658242404E-13</v>
      </c>
      <c r="CU175" s="17">
        <f>CT175*VLOOKUP('Données projet'!$B$13,Paramètres!$A$1:$I$89,3,0)*VLOOKUP('Données projet'!$B$13,Paramètres!$A$1:$I$89,5,0)</f>
        <v>7.9808160080574461E-14</v>
      </c>
      <c r="CV175" s="13">
        <f t="shared" si="173"/>
        <v>1.2308384591775343E-12</v>
      </c>
      <c r="CW175" s="20">
        <f t="shared" si="174"/>
        <v>2.282709528541206E-12</v>
      </c>
      <c r="CX175" s="59">
        <f t="shared" si="122"/>
        <v>293.33333333333559</v>
      </c>
      <c r="CY175" s="59">
        <f ca="1">AVERAGE(OFFSET($CX$3,0,0,'Données projet'!$E$13+1,1))-AVERAGE(OFFSET($H$3,0,0,'Données projet'!$E$13+1,1))</f>
        <v>137.59122085719031</v>
      </c>
      <c r="CZ175" s="59">
        <f t="shared" si="150"/>
        <v>130.1134470448718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30.44850638498918</v>
      </c>
      <c r="DG175" s="21">
        <f>EXP(-LN(2)/25)*DG174+(1-EXP(-LN(2)/25))/(LN(2)/25)*Calculateur!DB175*Calculateur!DD175*VLOOKUP('Données projet'!$B$13,Paramètres!$A$1:$I$89,3,0)*0.475*44/12</f>
        <v>3.89645433190223</v>
      </c>
      <c r="DH175" s="21">
        <f>EXP(-LN(2)/2)*DH174+(1-EXP(-LN(2)/2))/(LN(2)/2)*DB175*DE175*VLOOKUP('Données projet'!$B$13,Paramètres!$A$1:$I$89,3,0)*0.475*44/12</f>
        <v>3.523339467447638E-10</v>
      </c>
      <c r="DI175" s="22">
        <f t="shared" si="175"/>
        <v>34.344960717243744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-1.1527845344971866E-13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313.90901812281373</v>
      </c>
      <c r="DU175" s="59">
        <f t="shared" si="152"/>
        <v>210.54265725995265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88.806008396825789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88.806008396825789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-4.5224624045658861E-14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316.52407313312403</v>
      </c>
      <c r="EP175" s="59">
        <f t="shared" si="154"/>
        <v>340.55949748167382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23.472688753957343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23.472688753957343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-5.6843418860808015E-14</v>
      </c>
      <c r="FF175" s="17">
        <f>FE175*VLOOKUP('Données projet'!$B$16,Paramètres!$A$1:$I$89,3,0)*VLOOKUP('Données projet'!$B$16,Paramètres!$A$1:$I$89,5,0)</f>
        <v>-3.7243808037601412E-14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199.99826357281154</v>
      </c>
      <c r="FK175" s="59">
        <f t="shared" si="156"/>
        <v>214.67424457475136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10.150767693230778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10.150767693230778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284.60021367910457</v>
      </c>
      <c r="T176" s="59">
        <f t="shared" si="142"/>
        <v>301.41905904220812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23.715249320282226</v>
      </c>
      <c r="AA176" s="21">
        <f>EXP(-LN(2)/25)*AA175+(1-EXP(-LN(2)/25))/(LN(2)/25)*Calculateur!V176*Calculateur!X176*VLOOKUP('Données projet'!$B$9,Paramètres!$A$1:$I$89,3,0)*0.475*44/12</f>
        <v>2.3351604914625423</v>
      </c>
      <c r="AB176" s="21">
        <f>EXP(-LN(2)/2)*AB175+(1-EXP(-LN(2)/2))/(LN(2)/2)*V176*Y176*VLOOKUP('Données projet'!$B$9,Paramètres!$A$1:$I$89,3,0)*0.475*44/12</f>
        <v>2.7906146451586988E-15</v>
      </c>
      <c r="AC176" s="22">
        <f t="shared" si="163"/>
        <v>26.050409811744771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294.45857786714919</v>
      </c>
      <c r="AO176" s="59">
        <f t="shared" si="144"/>
        <v>221.9773436301067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32.720832191348862</v>
      </c>
      <c r="AV176" s="21">
        <f>EXP(-LN(2)/25)*AV175+(1-EXP(-LN(2)/25))/(LN(2)/25)*Calculateur!AQ176*Calculateur!AS176*VLOOKUP('Données projet'!$B$10,Paramètres!$A$1:$I$89,3,0)*0.475*44/12</f>
        <v>3.6443277803996983</v>
      </c>
      <c r="AW176" s="21">
        <f>EXP(-LN(2)/2)*AW175+(1-EXP(-LN(2)/2))/(LN(2)/2)*AQ176*AT176*VLOOKUP('Données projet'!$B$10,Paramètres!$A$1:$I$89,3,0)*0.475*44/12</f>
        <v>1.0230702520391966E-12</v>
      </c>
      <c r="AX176" s="21">
        <f t="shared" si="166"/>
        <v>36.365159971749584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6.3550942286383367E-14</v>
      </c>
      <c r="BF176" s="13">
        <f t="shared" si="167"/>
        <v>1.0064464192543978E-12</v>
      </c>
      <c r="BG176" s="20">
        <f t="shared" si="168"/>
        <v>1.8635787380168604E-12</v>
      </c>
      <c r="BH176" s="59">
        <f t="shared" si="116"/>
        <v>293.33333333333519</v>
      </c>
      <c r="BI176" s="59">
        <f ca="1">AVERAGE(OFFSET($BH$3,0,0,'Données projet'!$E$11+1,1))-AVERAGE(OFFSET($H$3,0,0,'Données projet'!$E$11+1,1))</f>
        <v>304.91676868833792</v>
      </c>
      <c r="BJ176" s="59">
        <f t="shared" si="146"/>
        <v>365.95065044620048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23.434514492864221</v>
      </c>
      <c r="BQ176" s="21">
        <f>EXP(-LN(2)/25)*BQ175+(1-EXP(-LN(2)/25))/(LN(2)/25)*Calculateur!BL176*Calculateur!BN176*VLOOKUP('Données projet'!$B$11,Paramètres!$A$1:$I$89,3,0)*0.475*44/12</f>
        <v>2.2679815114638138</v>
      </c>
      <c r="BR176" s="21">
        <f>EXP(-LN(2)/2)*BR175+(1-EXP(-LN(2)/2))/(LN(2)/2)*BL176*BO176*VLOOKUP('Données projet'!$B$11,Paramètres!$A$1:$I$89,3,0)*0.475*44/12</f>
        <v>4.7159765892952289E-16</v>
      </c>
      <c r="BS176" s="22">
        <f t="shared" si="169"/>
        <v>25.702496004328033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-1.5961632016114892E-13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259.87681411271632</v>
      </c>
      <c r="CE176" s="59">
        <f t="shared" si="148"/>
        <v>191.8684235641158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56.0100671493826</v>
      </c>
      <c r="CL176" s="21">
        <f>EXP(-LN(2)/25)*CL175+(1-EXP(-LN(2)/25))/(LN(2)/25)*Calculateur!CG176*Calculateur!CI176*VLOOKUP('Données projet'!$B$12,Paramètres!$A$1:$I$89,3,0)*0.475*44/12</f>
        <v>7.2378548913578857</v>
      </c>
      <c r="CM176" s="21">
        <f>EXP(-LN(2)/2)*CM175+(1-EXP(-LN(2)/2))/(LN(2)/2)*CG176*CJ176*VLOOKUP('Données projet'!$B$12,Paramètres!$A$1:$I$89,3,0)*0.475*44/12</f>
        <v>4.8337599569323121E-10</v>
      </c>
      <c r="CN176" s="22">
        <f t="shared" si="172"/>
        <v>63.247922041223859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1.7053025658242404E-13</v>
      </c>
      <c r="CU176" s="17">
        <f>CT176*VLOOKUP('Données projet'!$B$13,Paramètres!$A$1:$I$89,3,0)*VLOOKUP('Données projet'!$B$13,Paramètres!$A$1:$I$89,5,0)</f>
        <v>7.9808160080574461E-14</v>
      </c>
      <c r="CV176" s="13">
        <f t="shared" si="173"/>
        <v>1.2308384591775343E-12</v>
      </c>
      <c r="CW176" s="20">
        <f t="shared" si="174"/>
        <v>2.282709528541206E-12</v>
      </c>
      <c r="CX176" s="59">
        <f t="shared" si="122"/>
        <v>293.33333333333559</v>
      </c>
      <c r="CY176" s="59">
        <f ca="1">AVERAGE(OFFSET($CX$3,0,0,'Données projet'!$E$13+1,1))-AVERAGE(OFFSET($H$3,0,0,'Données projet'!$E$13+1,1))</f>
        <v>137.59122085719031</v>
      </c>
      <c r="CZ176" s="59">
        <f t="shared" si="150"/>
        <v>130.1134470448718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29.851429746534627</v>
      </c>
      <c r="DG176" s="21">
        <f>EXP(-LN(2)/25)*DG175+(1-EXP(-LN(2)/25))/(LN(2)/25)*Calculateur!DB176*Calculateur!DD176*VLOOKUP('Données projet'!$B$13,Paramètres!$A$1:$I$89,3,0)*0.475*44/12</f>
        <v>3.7899055832907358</v>
      </c>
      <c r="DH176" s="21">
        <f>EXP(-LN(2)/2)*DH175+(1-EXP(-LN(2)/2))/(LN(2)/2)*DB176*DE176*VLOOKUP('Données projet'!$B$13,Paramètres!$A$1:$I$89,3,0)*0.475*44/12</f>
        <v>2.4913772298544239E-10</v>
      </c>
      <c r="DI176" s="22">
        <f t="shared" si="175"/>
        <v>33.641335330074504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-1.1527845344971866E-13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313.90901812281373</v>
      </c>
      <c r="DU176" s="59">
        <f t="shared" si="152"/>
        <v>210.54265725995265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87.064576738480682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87.064576738480682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-4.5224624045658861E-14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316.52407313312403</v>
      </c>
      <c r="EP176" s="59">
        <f t="shared" si="154"/>
        <v>340.55949748167382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23.012403644418701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23.012403644418701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-5.6843418860808015E-14</v>
      </c>
      <c r="FF176" s="17">
        <f>FE176*VLOOKUP('Données projet'!$B$16,Paramètres!$A$1:$I$89,3,0)*VLOOKUP('Données projet'!$B$16,Paramètres!$A$1:$I$89,5,0)</f>
        <v>-3.7243808037601412E-14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199.99826357281154</v>
      </c>
      <c r="FK176" s="59">
        <f t="shared" si="156"/>
        <v>214.67424457475136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9.9517173301234685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9.9517173301234685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284.60021367910457</v>
      </c>
      <c r="T177" s="59">
        <f t="shared" si="142"/>
        <v>301.41905904220812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23.250207745985289</v>
      </c>
      <c r="AA177" s="21">
        <f>EXP(-LN(2)/25)*AA176+(1-EXP(-LN(2)/25))/(LN(2)/25)*Calculateur!V177*Calculateur!X177*VLOOKUP('Données projet'!$B$9,Paramètres!$A$1:$I$89,3,0)*0.475*44/12</f>
        <v>2.2713054050227459</v>
      </c>
      <c r="AB177" s="21">
        <f>EXP(-LN(2)/2)*AB176+(1-EXP(-LN(2)/2))/(LN(2)/2)*V177*Y177*VLOOKUP('Données projet'!$B$9,Paramètres!$A$1:$I$89,3,0)*0.475*44/12</f>
        <v>1.973262539270207E-15</v>
      </c>
      <c r="AC177" s="22">
        <f t="shared" si="163"/>
        <v>25.52151315100804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294.45857786714919</v>
      </c>
      <c r="AO177" s="59">
        <f t="shared" si="144"/>
        <v>221.9773436301067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32.079196629813481</v>
      </c>
      <c r="AV177" s="21">
        <f>EXP(-LN(2)/25)*AV176+(1-EXP(-LN(2)/25))/(LN(2)/25)*Calculateur!AQ177*Calculateur!AS177*VLOOKUP('Données projet'!$B$10,Paramètres!$A$1:$I$89,3,0)*0.475*44/12</f>
        <v>3.5446734455978</v>
      </c>
      <c r="AW177" s="21">
        <f>EXP(-LN(2)/2)*AW176+(1-EXP(-LN(2)/2))/(LN(2)/2)*AQ177*AT177*VLOOKUP('Données projet'!$B$10,Paramètres!$A$1:$I$89,3,0)*0.475*44/12</f>
        <v>7.2341991284714627E-13</v>
      </c>
      <c r="AX177" s="21">
        <f t="shared" si="166"/>
        <v>35.623870075412007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6.3550942286383367E-14</v>
      </c>
      <c r="BF177" s="13">
        <f t="shared" si="167"/>
        <v>1.0064464192543978E-12</v>
      </c>
      <c r="BG177" s="20">
        <f t="shared" si="168"/>
        <v>1.8635787380168604E-12</v>
      </c>
      <c r="BH177" s="59">
        <f t="shared" si="116"/>
        <v>293.33333333333519</v>
      </c>
      <c r="BI177" s="59">
        <f ca="1">AVERAGE(OFFSET($BH$3,0,0,'Données projet'!$E$11+1,1))-AVERAGE(OFFSET($H$3,0,0,'Données projet'!$E$11+1,1))</f>
        <v>304.91676868833792</v>
      </c>
      <c r="BJ177" s="59">
        <f t="shared" si="146"/>
        <v>365.95065044620048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22.974977957301615</v>
      </c>
      <c r="BQ177" s="21">
        <f>EXP(-LN(2)/25)*BQ176+(1-EXP(-LN(2)/25))/(LN(2)/25)*Calculateur!BL177*Calculateur!BN177*VLOOKUP('Données projet'!$B$11,Paramètres!$A$1:$I$89,3,0)*0.475*44/12</f>
        <v>2.2059634377648716</v>
      </c>
      <c r="BR177" s="21">
        <f>EXP(-LN(2)/2)*BR176+(1-EXP(-LN(2)/2))/(LN(2)/2)*BL177*BO177*VLOOKUP('Données projet'!$B$11,Paramètres!$A$1:$I$89,3,0)*0.475*44/12</f>
        <v>3.3346990262076621E-16</v>
      </c>
      <c r="BS177" s="22">
        <f t="shared" si="169"/>
        <v>25.180941395066487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-1.5961632016114892E-13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259.87681411271632</v>
      </c>
      <c r="CE177" s="59">
        <f t="shared" si="148"/>
        <v>191.8684235641158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54.911743895350874</v>
      </c>
      <c r="CL177" s="21">
        <f>EXP(-LN(2)/25)*CL176+(1-EXP(-LN(2)/25))/(LN(2)/25)*Calculateur!CG177*Calculateur!CI177*VLOOKUP('Données projet'!$B$12,Paramètres!$A$1:$I$89,3,0)*0.475*44/12</f>
        <v>7.0399353687314576</v>
      </c>
      <c r="CM177" s="21">
        <f>EXP(-LN(2)/2)*CM176+(1-EXP(-LN(2)/2))/(LN(2)/2)*CG177*CJ177*VLOOKUP('Données projet'!$B$12,Paramètres!$A$1:$I$89,3,0)*0.475*44/12</f>
        <v>3.4179844441748318E-10</v>
      </c>
      <c r="CN177" s="22">
        <f t="shared" si="172"/>
        <v>61.951679264424129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1.7053025658242404E-13</v>
      </c>
      <c r="CU177" s="17">
        <f>CT177*VLOOKUP('Données projet'!$B$13,Paramètres!$A$1:$I$89,3,0)*VLOOKUP('Données projet'!$B$13,Paramètres!$A$1:$I$89,5,0)</f>
        <v>7.9808160080574461E-14</v>
      </c>
      <c r="CV177" s="13">
        <f t="shared" si="173"/>
        <v>1.2308384591775343E-12</v>
      </c>
      <c r="CW177" s="20">
        <f t="shared" si="174"/>
        <v>2.282709528541206E-12</v>
      </c>
      <c r="CX177" s="59">
        <f t="shared" si="122"/>
        <v>293.33333333333559</v>
      </c>
      <c r="CY177" s="59">
        <f ca="1">AVERAGE(OFFSET($CX$3,0,0,'Données projet'!$E$13+1,1))-AVERAGE(OFFSET($H$3,0,0,'Données projet'!$E$13+1,1))</f>
        <v>137.59122085719031</v>
      </c>
      <c r="CZ177" s="59">
        <f t="shared" si="150"/>
        <v>130.1134470448718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29.26606141677938</v>
      </c>
      <c r="DG177" s="21">
        <f>EXP(-LN(2)/25)*DG176+(1-EXP(-LN(2)/25))/(LN(2)/25)*Calculateur!DB177*Calculateur!DD177*VLOOKUP('Données projet'!$B$13,Paramètres!$A$1:$I$89,3,0)*0.475*44/12</f>
        <v>3.686270415813178</v>
      </c>
      <c r="DH177" s="21">
        <f>EXP(-LN(2)/2)*DH176+(1-EXP(-LN(2)/2))/(LN(2)/2)*DB177*DE177*VLOOKUP('Données projet'!$B$13,Paramètres!$A$1:$I$89,3,0)*0.475*44/12</f>
        <v>1.761669733723819E-10</v>
      </c>
      <c r="DI177" s="22">
        <f t="shared" si="175"/>
        <v>32.952331832768721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-1.1527845344971866E-13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313.90901812281373</v>
      </c>
      <c r="DU177" s="59">
        <f t="shared" si="152"/>
        <v>210.54265725995265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85.357293492787292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85.357293492787292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-4.5224624045658861E-14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316.52407313312403</v>
      </c>
      <c r="EP177" s="59">
        <f t="shared" si="154"/>
        <v>340.55949748167382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22.561144445131916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22.561144445131916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-5.6843418860808015E-14</v>
      </c>
      <c r="FF177" s="17">
        <f>FE177*VLOOKUP('Données projet'!$B$16,Paramètres!$A$1:$I$89,3,0)*VLOOKUP('Données projet'!$B$16,Paramètres!$A$1:$I$89,5,0)</f>
        <v>-3.7243808037601412E-14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199.99826357281154</v>
      </c>
      <c r="FK177" s="59">
        <f t="shared" si="156"/>
        <v>214.67424457475136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9.7565702232279605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9.7565702232279605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284.60021367910457</v>
      </c>
      <c r="T178" s="59">
        <f t="shared" si="142"/>
        <v>301.41905904220812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22.794285353312961</v>
      </c>
      <c r="AA178" s="21">
        <f>EXP(-LN(2)/25)*AA177+(1-EXP(-LN(2)/25))/(LN(2)/25)*Calculateur!V178*Calculateur!X178*VLOOKUP('Données projet'!$B$9,Paramètres!$A$1:$I$89,3,0)*0.475*44/12</f>
        <v>2.2091964392796388</v>
      </c>
      <c r="AB178" s="21">
        <f>EXP(-LN(2)/2)*AB177+(1-EXP(-LN(2)/2))/(LN(2)/2)*V178*Y178*VLOOKUP('Données projet'!$B$9,Paramètres!$A$1:$I$89,3,0)*0.475*44/12</f>
        <v>1.3953073225793494E-15</v>
      </c>
      <c r="AC178" s="22">
        <f t="shared" si="163"/>
        <v>25.003481792592602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294.45857786714919</v>
      </c>
      <c r="AO178" s="59">
        <f t="shared" si="144"/>
        <v>221.9773436301067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31.450143150280763</v>
      </c>
      <c r="AV178" s="21">
        <f>EXP(-LN(2)/25)*AV177+(1-EXP(-LN(2)/25))/(LN(2)/25)*Calculateur!AQ178*Calculateur!AS178*VLOOKUP('Données projet'!$B$10,Paramètres!$A$1:$I$89,3,0)*0.475*44/12</f>
        <v>3.4477441638216533</v>
      </c>
      <c r="AW178" s="21">
        <f>EXP(-LN(2)/2)*AW177+(1-EXP(-LN(2)/2))/(LN(2)/2)*AQ178*AT178*VLOOKUP('Données projet'!$B$10,Paramètres!$A$1:$I$89,3,0)*0.475*44/12</f>
        <v>5.1153512601959832E-13</v>
      </c>
      <c r="AX178" s="21">
        <f t="shared" si="166"/>
        <v>34.897887314102931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6.3550942286383367E-14</v>
      </c>
      <c r="BF178" s="13">
        <f t="shared" si="167"/>
        <v>1.0064464192543978E-12</v>
      </c>
      <c r="BG178" s="20">
        <f t="shared" si="168"/>
        <v>1.8635787380168604E-12</v>
      </c>
      <c r="BH178" s="59">
        <f t="shared" si="116"/>
        <v>293.33333333333519</v>
      </c>
      <c r="BI178" s="59">
        <f ca="1">AVERAGE(OFFSET($BH$3,0,0,'Données projet'!$E$11+1,1))-AVERAGE(OFFSET($H$3,0,0,'Données projet'!$E$11+1,1))</f>
        <v>304.91676868833792</v>
      </c>
      <c r="BJ178" s="59">
        <f t="shared" si="146"/>
        <v>365.95065044620048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22.52445265291178</v>
      </c>
      <c r="BQ178" s="21">
        <f>EXP(-LN(2)/25)*BQ177+(1-EXP(-LN(2)/25))/(LN(2)/25)*Calculateur!BL178*Calculateur!BN178*VLOOKUP('Données projet'!$B$11,Paramètres!$A$1:$I$89,3,0)*0.475*44/12</f>
        <v>2.145641251552616</v>
      </c>
      <c r="BR178" s="21">
        <f>EXP(-LN(2)/2)*BR177+(1-EXP(-LN(2)/2))/(LN(2)/2)*BL178*BO178*VLOOKUP('Données projet'!$B$11,Paramètres!$A$1:$I$89,3,0)*0.475*44/12</f>
        <v>2.3579882946476144E-16</v>
      </c>
      <c r="BS178" s="22">
        <f t="shared" si="169"/>
        <v>24.670093904464395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-1.5961632016114892E-13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259.87681411271632</v>
      </c>
      <c r="CE178" s="59">
        <f t="shared" si="148"/>
        <v>191.8684235641158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53.834958090419676</v>
      </c>
      <c r="CL178" s="21">
        <f>EXP(-LN(2)/25)*CL177+(1-EXP(-LN(2)/25))/(LN(2)/25)*Calculateur!CG178*Calculateur!CI178*VLOOKUP('Données projet'!$B$12,Paramètres!$A$1:$I$89,3,0)*0.475*44/12</f>
        <v>6.8474279658593851</v>
      </c>
      <c r="CM178" s="21">
        <f>EXP(-LN(2)/2)*CM177+(1-EXP(-LN(2)/2))/(LN(2)/2)*CG178*CJ178*VLOOKUP('Données projet'!$B$12,Paramètres!$A$1:$I$89,3,0)*0.475*44/12</f>
        <v>2.416879978466156E-10</v>
      </c>
      <c r="CN178" s="22">
        <f t="shared" si="172"/>
        <v>60.682386056520748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1.7053025658242404E-13</v>
      </c>
      <c r="CU178" s="17">
        <f>CT178*VLOOKUP('Données projet'!$B$13,Paramètres!$A$1:$I$89,3,0)*VLOOKUP('Données projet'!$B$13,Paramètres!$A$1:$I$89,5,0)</f>
        <v>7.9808160080574461E-14</v>
      </c>
      <c r="CV178" s="13">
        <f t="shared" si="173"/>
        <v>1.2308384591775343E-12</v>
      </c>
      <c r="CW178" s="20">
        <f t="shared" si="174"/>
        <v>2.282709528541206E-12</v>
      </c>
      <c r="CX178" s="59">
        <f t="shared" si="122"/>
        <v>293.33333333333559</v>
      </c>
      <c r="CY178" s="59">
        <f ca="1">AVERAGE(OFFSET($CX$3,0,0,'Données projet'!$E$13+1,1))-AVERAGE(OFFSET($H$3,0,0,'Données projet'!$E$13+1,1))</f>
        <v>137.59122085719031</v>
      </c>
      <c r="CZ178" s="59">
        <f t="shared" si="150"/>
        <v>130.1134470448718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28.692171802931206</v>
      </c>
      <c r="DG178" s="21">
        <f>EXP(-LN(2)/25)*DG177+(1-EXP(-LN(2)/25))/(LN(2)/25)*Calculateur!DB178*Calculateur!DD178*VLOOKUP('Données projet'!$B$13,Paramètres!$A$1:$I$89,3,0)*0.475*44/12</f>
        <v>3.5854691574402304</v>
      </c>
      <c r="DH178" s="21">
        <f>EXP(-LN(2)/2)*DH177+(1-EXP(-LN(2)/2))/(LN(2)/2)*DB178*DE178*VLOOKUP('Données projet'!$B$13,Paramètres!$A$1:$I$89,3,0)*0.475*44/12</f>
        <v>1.2456886149272119E-10</v>
      </c>
      <c r="DI178" s="22">
        <f t="shared" si="175"/>
        <v>32.277640960496008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-1.1527845344971866E-13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313.90901812281373</v>
      </c>
      <c r="DU178" s="59">
        <f t="shared" si="152"/>
        <v>210.54265725995265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83.683489030201983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83.683489030201983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-4.5224624045658861E-14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316.52407313312403</v>
      </c>
      <c r="EP178" s="59">
        <f t="shared" si="154"/>
        <v>340.55949748167382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22.118734163502211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22.118734163502211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-5.6843418860808015E-14</v>
      </c>
      <c r="FF178" s="17">
        <f>FE178*VLOOKUP('Données projet'!$B$16,Paramètres!$A$1:$I$89,3,0)*VLOOKUP('Données projet'!$B$16,Paramètres!$A$1:$I$89,5,0)</f>
        <v>-3.7243808037601412E-14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199.99826357281154</v>
      </c>
      <c r="FK178" s="59">
        <f t="shared" si="156"/>
        <v>214.67424457475136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9.5652498320706911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9.5652498320706911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284.60021367910457</v>
      </c>
      <c r="T179" s="59">
        <f t="shared" si="142"/>
        <v>301.41905904220812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22.347303320675739</v>
      </c>
      <c r="AA179" s="21">
        <f>EXP(-LN(2)/25)*AA178+(1-EXP(-LN(2)/25))/(LN(2)/25)*Calculateur!V179*Calculateur!X179*VLOOKUP('Données projet'!$B$9,Paramètres!$A$1:$I$89,3,0)*0.475*44/12</f>
        <v>2.1487858464709455</v>
      </c>
      <c r="AB179" s="21">
        <f>EXP(-LN(2)/2)*AB178+(1-EXP(-LN(2)/2))/(LN(2)/2)*V179*Y179*VLOOKUP('Données projet'!$B$9,Paramètres!$A$1:$I$89,3,0)*0.475*44/12</f>
        <v>9.866312696351035E-16</v>
      </c>
      <c r="AC179" s="22">
        <f t="shared" si="163"/>
        <v>24.496089167146685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294.45857786714919</v>
      </c>
      <c r="AO179" s="59">
        <f t="shared" si="144"/>
        <v>221.9773436301067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30.833425025796945</v>
      </c>
      <c r="AV179" s="21">
        <f>EXP(-LN(2)/25)*AV178+(1-EXP(-LN(2)/25))/(LN(2)/25)*Calculateur!AQ179*Calculateur!AS179*VLOOKUP('Données projet'!$B$10,Paramètres!$A$1:$I$89,3,0)*0.475*44/12</f>
        <v>3.3534654183529646</v>
      </c>
      <c r="AW179" s="21">
        <f>EXP(-LN(2)/2)*AW178+(1-EXP(-LN(2)/2))/(LN(2)/2)*AQ179*AT179*VLOOKUP('Données projet'!$B$10,Paramètres!$A$1:$I$89,3,0)*0.475*44/12</f>
        <v>3.6170995642357313E-13</v>
      </c>
      <c r="AX179" s="21">
        <f t="shared" si="166"/>
        <v>34.186890444150272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6.3550942286383367E-14</v>
      </c>
      <c r="BF179" s="13">
        <f t="shared" si="167"/>
        <v>1.0064464192543978E-12</v>
      </c>
      <c r="BG179" s="20">
        <f t="shared" si="168"/>
        <v>1.8635787380168604E-12</v>
      </c>
      <c r="BH179" s="59">
        <f t="shared" si="116"/>
        <v>293.33333333333519</v>
      </c>
      <c r="BI179" s="59">
        <f ca="1">AVERAGE(OFFSET($BH$3,0,0,'Données projet'!$E$11+1,1))-AVERAGE(OFFSET($H$3,0,0,'Données projet'!$E$11+1,1))</f>
        <v>304.91676868833792</v>
      </c>
      <c r="BJ179" s="59">
        <f t="shared" si="146"/>
        <v>365.95065044620048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22.082761874947728</v>
      </c>
      <c r="BQ179" s="21">
        <f>EXP(-LN(2)/25)*BQ178+(1-EXP(-LN(2)/25))/(LN(2)/25)*Calculateur!BL179*Calculateur!BN179*VLOOKUP('Données projet'!$B$11,Paramètres!$A$1:$I$89,3,0)*0.475*44/12</f>
        <v>2.08696857869454</v>
      </c>
      <c r="BR179" s="21">
        <f>EXP(-LN(2)/2)*BR178+(1-EXP(-LN(2)/2))/(LN(2)/2)*BL179*BO179*VLOOKUP('Données projet'!$B$11,Paramètres!$A$1:$I$89,3,0)*0.475*44/12</f>
        <v>1.6673495131038311E-16</v>
      </c>
      <c r="BS179" s="22">
        <f t="shared" si="169"/>
        <v>24.169730453642266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-1.5961632016114892E-13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259.87681411271632</v>
      </c>
      <c r="CE179" s="59">
        <f t="shared" si="148"/>
        <v>191.8684235641158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52.779287398348686</v>
      </c>
      <c r="CL179" s="21">
        <f>EXP(-LN(2)/25)*CL178+(1-EXP(-LN(2)/25))/(LN(2)/25)*Calculateur!CG179*Calculateur!CI179*VLOOKUP('Données projet'!$B$12,Paramètres!$A$1:$I$89,3,0)*0.475*44/12</f>
        <v>6.6601846880423734</v>
      </c>
      <c r="CM179" s="21">
        <f>EXP(-LN(2)/2)*CM178+(1-EXP(-LN(2)/2))/(LN(2)/2)*CG179*CJ179*VLOOKUP('Données projet'!$B$12,Paramètres!$A$1:$I$89,3,0)*0.475*44/12</f>
        <v>1.7089922220874159E-10</v>
      </c>
      <c r="CN179" s="22">
        <f t="shared" si="172"/>
        <v>59.439472086561956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1.7053025658242404E-13</v>
      </c>
      <c r="CU179" s="17">
        <f>CT179*VLOOKUP('Données projet'!$B$13,Paramètres!$A$1:$I$89,3,0)*VLOOKUP('Données projet'!$B$13,Paramètres!$A$1:$I$89,5,0)</f>
        <v>7.9808160080574461E-14</v>
      </c>
      <c r="CV179" s="13">
        <f t="shared" si="173"/>
        <v>1.2308384591775343E-12</v>
      </c>
      <c r="CW179" s="20">
        <f t="shared" si="174"/>
        <v>2.282709528541206E-12</v>
      </c>
      <c r="CX179" s="59">
        <f t="shared" si="122"/>
        <v>293.33333333333559</v>
      </c>
      <c r="CY179" s="59">
        <f ca="1">AVERAGE(OFFSET($CX$3,0,0,'Données projet'!$E$13+1,1))-AVERAGE(OFFSET($H$3,0,0,'Données projet'!$E$13+1,1))</f>
        <v>137.59122085719031</v>
      </c>
      <c r="CZ179" s="59">
        <f t="shared" si="150"/>
        <v>130.1134470448718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28.129535814372495</v>
      </c>
      <c r="DG179" s="21">
        <f>EXP(-LN(2)/25)*DG178+(1-EXP(-LN(2)/25))/(LN(2)/25)*Calculateur!DB179*Calculateur!DD179*VLOOKUP('Données projet'!$B$13,Paramètres!$A$1:$I$89,3,0)*0.475*44/12</f>
        <v>3.4874243147783992</v>
      </c>
      <c r="DH179" s="21">
        <f>EXP(-LN(2)/2)*DH178+(1-EXP(-LN(2)/2))/(LN(2)/2)*DB179*DE179*VLOOKUP('Données projet'!$B$13,Paramètres!$A$1:$I$89,3,0)*0.475*44/12</f>
        <v>8.8083486686190951E-11</v>
      </c>
      <c r="DI179" s="22">
        <f t="shared" si="175"/>
        <v>31.616960129238976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-1.1527845344971866E-13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313.90901812281373</v>
      </c>
      <c r="DU179" s="59">
        <f t="shared" si="152"/>
        <v>210.54265725995265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82.042506852208064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82.042506852208064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-4.5224624045658861E-14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316.52407313312403</v>
      </c>
      <c r="EP179" s="59">
        <f t="shared" si="154"/>
        <v>340.55949748167382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21.684999277651638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21.684999277651638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-5.6843418860808015E-14</v>
      </c>
      <c r="FF179" s="17">
        <f>FE179*VLOOKUP('Données projet'!$B$16,Paramètres!$A$1:$I$89,3,0)*VLOOKUP('Données projet'!$B$16,Paramètres!$A$1:$I$89,5,0)</f>
        <v>-3.7243808037601412E-14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199.99826357281154</v>
      </c>
      <c r="FK179" s="59">
        <f t="shared" si="156"/>
        <v>214.67424457475136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9.3776811170901002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9.3776811170901002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284.60021367910457</v>
      </c>
      <c r="T180" s="59">
        <f t="shared" si="142"/>
        <v>301.41905904220812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21.909086333066412</v>
      </c>
      <c r="AA180" s="21">
        <f>EXP(-LN(2)/25)*AA179+(1-EXP(-LN(2)/25))/(LN(2)/25)*Calculateur!V180*Calculateur!X180*VLOOKUP('Données projet'!$B$9,Paramètres!$A$1:$I$89,3,0)*0.475*44/12</f>
        <v>2.0900271844994611</v>
      </c>
      <c r="AB180" s="21">
        <f>EXP(-LN(2)/2)*AB179+(1-EXP(-LN(2)/2))/(LN(2)/2)*V180*Y180*VLOOKUP('Données projet'!$B$9,Paramètres!$A$1:$I$89,3,0)*0.475*44/12</f>
        <v>6.9765366128967471E-16</v>
      </c>
      <c r="AC180" s="22">
        <f t="shared" si="163"/>
        <v>23.999113517565874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294.45857786714919</v>
      </c>
      <c r="AO180" s="59">
        <f t="shared" si="144"/>
        <v>221.9773436301067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30.228800367573342</v>
      </c>
      <c r="AV180" s="21">
        <f>EXP(-LN(2)/25)*AV179+(1-EXP(-LN(2)/25))/(LN(2)/25)*Calculateur!AQ180*Calculateur!AS180*VLOOKUP('Données projet'!$B$10,Paramètres!$A$1:$I$89,3,0)*0.475*44/12</f>
        <v>3.261764730137021</v>
      </c>
      <c r="AW180" s="21">
        <f>EXP(-LN(2)/2)*AW179+(1-EXP(-LN(2)/2))/(LN(2)/2)*AQ180*AT180*VLOOKUP('Données projet'!$B$10,Paramètres!$A$1:$I$89,3,0)*0.475*44/12</f>
        <v>2.5576756300979916E-13</v>
      </c>
      <c r="AX180" s="21">
        <f t="shared" si="166"/>
        <v>33.490565097710622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6.3550942286383367E-14</v>
      </c>
      <c r="BF180" s="13">
        <f t="shared" si="167"/>
        <v>1.0064464192543978E-12</v>
      </c>
      <c r="BG180" s="20">
        <f t="shared" si="168"/>
        <v>1.8635787380168604E-12</v>
      </c>
      <c r="BH180" s="59">
        <f t="shared" si="116"/>
        <v>293.33333333333519</v>
      </c>
      <c r="BI180" s="59">
        <f ca="1">AVERAGE(OFFSET($BH$3,0,0,'Données projet'!$E$11+1,1))-AVERAGE(OFFSET($H$3,0,0,'Données projet'!$E$11+1,1))</f>
        <v>304.91676868833792</v>
      </c>
      <c r="BJ180" s="59">
        <f t="shared" si="146"/>
        <v>365.95065044620048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21.649732383734779</v>
      </c>
      <c r="BQ180" s="21">
        <f>EXP(-LN(2)/25)*BQ179+(1-EXP(-LN(2)/25))/(LN(2)/25)*Calculateur!BL180*Calculateur!BN180*VLOOKUP('Données projet'!$B$11,Paramètres!$A$1:$I$89,3,0)*0.475*44/12</f>
        <v>2.0299003131612299</v>
      </c>
      <c r="BR180" s="21">
        <f>EXP(-LN(2)/2)*BR179+(1-EXP(-LN(2)/2))/(LN(2)/2)*BL180*BO180*VLOOKUP('Données projet'!$B$11,Paramètres!$A$1:$I$89,3,0)*0.475*44/12</f>
        <v>1.1789941473238072E-16</v>
      </c>
      <c r="BS180" s="22">
        <f t="shared" si="169"/>
        <v>23.679632696896007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-1.5961632016114892E-13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259.87681411271632</v>
      </c>
      <c r="CE180" s="59">
        <f t="shared" si="148"/>
        <v>191.8684235641158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51.744317764653665</v>
      </c>
      <c r="CL180" s="21">
        <f>EXP(-LN(2)/25)*CL179+(1-EXP(-LN(2)/25))/(LN(2)/25)*Calculateur!CG180*Calculateur!CI180*VLOOKUP('Données projet'!$B$12,Paramètres!$A$1:$I$89,3,0)*0.475*44/12</f>
        <v>6.478061587503964</v>
      </c>
      <c r="CM180" s="21">
        <f>EXP(-LN(2)/2)*CM179+(1-EXP(-LN(2)/2))/(LN(2)/2)*CG180*CJ180*VLOOKUP('Données projet'!$B$12,Paramètres!$A$1:$I$89,3,0)*0.475*44/12</f>
        <v>1.208439989233078E-10</v>
      </c>
      <c r="CN180" s="22">
        <f t="shared" si="172"/>
        <v>58.222379352278473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1.7053025658242404E-13</v>
      </c>
      <c r="CU180" s="17">
        <f>CT180*VLOOKUP('Données projet'!$B$13,Paramètres!$A$1:$I$89,3,0)*VLOOKUP('Données projet'!$B$13,Paramètres!$A$1:$I$89,5,0)</f>
        <v>7.9808160080574461E-14</v>
      </c>
      <c r="CV180" s="13">
        <f t="shared" si="173"/>
        <v>1.2308384591775343E-12</v>
      </c>
      <c r="CW180" s="20">
        <f t="shared" si="174"/>
        <v>2.282709528541206E-12</v>
      </c>
      <c r="CX180" s="59">
        <f t="shared" si="122"/>
        <v>293.33333333333559</v>
      </c>
      <c r="CY180" s="59">
        <f ca="1">AVERAGE(OFFSET($CX$3,0,0,'Données projet'!$E$13+1,1))-AVERAGE(OFFSET($H$3,0,0,'Données projet'!$E$13+1,1))</f>
        <v>137.59122085719031</v>
      </c>
      <c r="CZ180" s="59">
        <f t="shared" si="150"/>
        <v>130.1134470448718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27.577932774375352</v>
      </c>
      <c r="DG180" s="21">
        <f>EXP(-LN(2)/25)*DG179+(1-EXP(-LN(2)/25))/(LN(2)/25)*Calculateur!DB180*Calculateur!DD180*VLOOKUP('Données projet'!$B$13,Paramètres!$A$1:$I$89,3,0)*0.475*44/12</f>
        <v>3.3920605134951098</v>
      </c>
      <c r="DH180" s="21">
        <f>EXP(-LN(2)/2)*DH179+(1-EXP(-LN(2)/2))/(LN(2)/2)*DB180*DE180*VLOOKUP('Données projet'!$B$13,Paramètres!$A$1:$I$89,3,0)*0.475*44/12</f>
        <v>6.2284430746360597E-11</v>
      </c>
      <c r="DI180" s="22">
        <f t="shared" si="175"/>
        <v>30.969993287932748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-1.1527845344971866E-13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313.90901812281373</v>
      </c>
      <c r="DU180" s="59">
        <f t="shared" si="152"/>
        <v>210.54265725995265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80.433703333824312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80.433703333824312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-4.5224624045658861E-14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316.52407313312403</v>
      </c>
      <c r="EP180" s="59">
        <f t="shared" si="154"/>
        <v>340.55949748167382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21.259769668360438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21.259769668360438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-5.6843418860808015E-14</v>
      </c>
      <c r="FF180" s="17">
        <f>FE180*VLOOKUP('Données projet'!$B$16,Paramètres!$A$1:$I$89,3,0)*VLOOKUP('Données projet'!$B$16,Paramètres!$A$1:$I$89,5,0)</f>
        <v>-3.7243808037601412E-14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199.99826357281154</v>
      </c>
      <c r="FK180" s="59">
        <f t="shared" si="156"/>
        <v>214.67424457475136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9.1937905102046589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9.1937905102046589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284.60021367910457</v>
      </c>
      <c r="T181" s="59">
        <f t="shared" si="142"/>
        <v>301.41905904220812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21.479462513298134</v>
      </c>
      <c r="AA181" s="21">
        <f>EXP(-LN(2)/25)*AA180+(1-EXP(-LN(2)/25))/(LN(2)/25)*Calculateur!V181*Calculateur!X181*VLOOKUP('Données projet'!$B$9,Paramètres!$A$1:$I$89,3,0)*0.475*44/12</f>
        <v>2.0328752812295705</v>
      </c>
      <c r="AB181" s="21">
        <f>EXP(-LN(2)/2)*AB180+(1-EXP(-LN(2)/2))/(LN(2)/2)*V181*Y181*VLOOKUP('Données projet'!$B$9,Paramètres!$A$1:$I$89,3,0)*0.475*44/12</f>
        <v>4.9331563481755175E-16</v>
      </c>
      <c r="AC181" s="22">
        <f t="shared" si="163"/>
        <v>23.512337794527706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294.45857786714919</v>
      </c>
      <c r="AO181" s="59">
        <f t="shared" si="144"/>
        <v>221.9773436301067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29.636032030112876</v>
      </c>
      <c r="AV181" s="21">
        <f>EXP(-LN(2)/25)*AV180+(1-EXP(-LN(2)/25))/(LN(2)/25)*Calculateur!AQ181*Calculateur!AS181*VLOOKUP('Données projet'!$B$10,Paramètres!$A$1:$I$89,3,0)*0.475*44/12</f>
        <v>3.1725716020626717</v>
      </c>
      <c r="AW181" s="21">
        <f>EXP(-LN(2)/2)*AW180+(1-EXP(-LN(2)/2))/(LN(2)/2)*AQ181*AT181*VLOOKUP('Données projet'!$B$10,Paramètres!$A$1:$I$89,3,0)*0.475*44/12</f>
        <v>1.8085497821178657E-13</v>
      </c>
      <c r="AX181" s="21">
        <f t="shared" si="166"/>
        <v>32.808603632175725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6.3550942286383367E-14</v>
      </c>
      <c r="BF181" s="13">
        <f t="shared" si="167"/>
        <v>1.0064464192543978E-12</v>
      </c>
      <c r="BG181" s="20">
        <f t="shared" si="168"/>
        <v>1.8635787380168604E-12</v>
      </c>
      <c r="BH181" s="59">
        <f t="shared" si="116"/>
        <v>293.33333333333519</v>
      </c>
      <c r="BI181" s="59">
        <f ca="1">AVERAGE(OFFSET($BH$3,0,0,'Données projet'!$E$11+1,1))-AVERAGE(OFFSET($H$3,0,0,'Données projet'!$E$11+1,1))</f>
        <v>304.91676868833792</v>
      </c>
      <c r="BJ181" s="59">
        <f t="shared" si="146"/>
        <v>365.95065044620048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21.225194336722605</v>
      </c>
      <c r="BQ181" s="21">
        <f>EXP(-LN(2)/25)*BQ180+(1-EXP(-LN(2)/25))/(LN(2)/25)*Calculateur!BL181*Calculateur!BN181*VLOOKUP('Données projet'!$B$11,Paramètres!$A$1:$I$89,3,0)*0.475*44/12</f>
        <v>1.9743925823500179</v>
      </c>
      <c r="BR181" s="21">
        <f>EXP(-LN(2)/2)*BR180+(1-EXP(-LN(2)/2))/(LN(2)/2)*BL181*BO181*VLOOKUP('Données projet'!$B$11,Paramètres!$A$1:$I$89,3,0)*0.475*44/12</f>
        <v>8.3367475655191554E-17</v>
      </c>
      <c r="BS181" s="22">
        <f t="shared" si="169"/>
        <v>23.199586919072622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-1.5961632016114892E-13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259.87681411271632</v>
      </c>
      <c r="CE181" s="59">
        <f t="shared" si="148"/>
        <v>191.8684235641158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50.729643254206259</v>
      </c>
      <c r="CL181" s="21">
        <f>EXP(-LN(2)/25)*CL180+(1-EXP(-LN(2)/25))/(LN(2)/25)*Calculateur!CG181*Calculateur!CI181*VLOOKUP('Données projet'!$B$12,Paramètres!$A$1:$I$89,3,0)*0.475*44/12</f>
        <v>6.3009186527272147</v>
      </c>
      <c r="CM181" s="21">
        <f>EXP(-LN(2)/2)*CM180+(1-EXP(-LN(2)/2))/(LN(2)/2)*CG181*CJ181*VLOOKUP('Données projet'!$B$12,Paramètres!$A$1:$I$89,3,0)*0.475*44/12</f>
        <v>8.5449611104370795E-11</v>
      </c>
      <c r="CN181" s="22">
        <f t="shared" si="172"/>
        <v>57.030561907018921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1.7053025658242404E-13</v>
      </c>
      <c r="CU181" s="17">
        <f>CT181*VLOOKUP('Données projet'!$B$13,Paramètres!$A$1:$I$89,3,0)*VLOOKUP('Données projet'!$B$13,Paramètres!$A$1:$I$89,5,0)</f>
        <v>7.9808160080574461E-14</v>
      </c>
      <c r="CV181" s="13">
        <f t="shared" si="173"/>
        <v>1.2308384591775343E-12</v>
      </c>
      <c r="CW181" s="20">
        <f t="shared" si="174"/>
        <v>2.282709528541206E-12</v>
      </c>
      <c r="CX181" s="59">
        <f t="shared" si="122"/>
        <v>293.33333333333559</v>
      </c>
      <c r="CY181" s="59">
        <f ca="1">AVERAGE(OFFSET($CX$3,0,0,'Données projet'!$E$13+1,1))-AVERAGE(OFFSET($H$3,0,0,'Données projet'!$E$13+1,1))</f>
        <v>137.59122085719031</v>
      </c>
      <c r="CZ181" s="59">
        <f t="shared" si="150"/>
        <v>130.1134470448718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27.03714633354792</v>
      </c>
      <c r="DG181" s="21">
        <f>EXP(-LN(2)/25)*DG180+(1-EXP(-LN(2)/25))/(LN(2)/25)*Calculateur!DB181*Calculateur!DD181*VLOOKUP('Données projet'!$B$13,Paramètres!$A$1:$I$89,3,0)*0.475*44/12</f>
        <v>3.2993044403728762</v>
      </c>
      <c r="DH181" s="21">
        <f>EXP(-LN(2)/2)*DH180+(1-EXP(-LN(2)/2))/(LN(2)/2)*DB181*DE181*VLOOKUP('Données projet'!$B$13,Paramètres!$A$1:$I$89,3,0)*0.475*44/12</f>
        <v>4.4041743343095475E-11</v>
      </c>
      <c r="DI181" s="22">
        <f t="shared" si="175"/>
        <v>30.336450773964838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-1.1527845344971866E-13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313.90901812281373</v>
      </c>
      <c r="DU181" s="59">
        <f t="shared" si="152"/>
        <v>210.54265725995265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78.856447471162809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78.856447471162809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-4.5224624045658861E-14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316.52407313312403</v>
      </c>
      <c r="EP181" s="59">
        <f t="shared" si="154"/>
        <v>340.55949748167382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20.842878552342984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20.842878552342984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-5.6843418860808015E-14</v>
      </c>
      <c r="FF181" s="17">
        <f>FE181*VLOOKUP('Données projet'!$B$16,Paramètres!$A$1:$I$89,3,0)*VLOOKUP('Données projet'!$B$16,Paramètres!$A$1:$I$89,5,0)</f>
        <v>-3.7243808037601412E-14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199.99826357281154</v>
      </c>
      <c r="FK181" s="59">
        <f t="shared" si="156"/>
        <v>214.67424457475136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9.0135058859580468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9.0135058859580468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284.60021367910457</v>
      </c>
      <c r="T182" s="59">
        <f t="shared" si="142"/>
        <v>301.41905904220812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21.058263354590856</v>
      </c>
      <c r="AA182" s="21">
        <f>EXP(-LN(2)/25)*AA181+(1-EXP(-LN(2)/25))/(LN(2)/25)*Calculateur!V182*Calculateur!X182*VLOOKUP('Données projet'!$B$9,Paramètres!$A$1:$I$89,3,0)*0.475*44/12</f>
        <v>1.977286199760083</v>
      </c>
      <c r="AB182" s="21">
        <f>EXP(-LN(2)/2)*AB181+(1-EXP(-LN(2)/2))/(LN(2)/2)*V182*Y182*VLOOKUP('Données projet'!$B$9,Paramètres!$A$1:$I$89,3,0)*0.475*44/12</f>
        <v>3.4882683064483736E-16</v>
      </c>
      <c r="AC182" s="22">
        <f t="shared" si="163"/>
        <v>23.03554955435094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294.45857786714919</v>
      </c>
      <c r="AO182" s="59">
        <f t="shared" si="144"/>
        <v>221.9773436301067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29.054887518197024</v>
      </c>
      <c r="AV182" s="21">
        <f>EXP(-LN(2)/25)*AV181+(1-EXP(-LN(2)/25))/(LN(2)/25)*Calculateur!AQ182*Calculateur!AS182*VLOOKUP('Données projet'!$B$10,Paramètres!$A$1:$I$89,3,0)*0.475*44/12</f>
        <v>3.0858174647659786</v>
      </c>
      <c r="AW182" s="21">
        <f>EXP(-LN(2)/2)*AW181+(1-EXP(-LN(2)/2))/(LN(2)/2)*AQ182*AT182*VLOOKUP('Données projet'!$B$10,Paramètres!$A$1:$I$89,3,0)*0.475*44/12</f>
        <v>1.2788378150489958E-13</v>
      </c>
      <c r="AX182" s="21">
        <f t="shared" si="166"/>
        <v>32.140704982963129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6.3550942286383367E-14</v>
      </c>
      <c r="BF182" s="13">
        <f t="shared" si="167"/>
        <v>1.0064464192543978E-12</v>
      </c>
      <c r="BG182" s="20">
        <f t="shared" si="168"/>
        <v>1.8635787380168604E-12</v>
      </c>
      <c r="BH182" s="59">
        <f t="shared" si="116"/>
        <v>293.33333333333519</v>
      </c>
      <c r="BI182" s="59">
        <f ca="1">AVERAGE(OFFSET($BH$3,0,0,'Données projet'!$E$11+1,1))-AVERAGE(OFFSET($H$3,0,0,'Données projet'!$E$11+1,1))</f>
        <v>304.91676868833792</v>
      </c>
      <c r="BJ182" s="59">
        <f t="shared" si="146"/>
        <v>365.95065044620048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20.808981221869701</v>
      </c>
      <c r="BQ182" s="21">
        <f>EXP(-LN(2)/25)*BQ181+(1-EXP(-LN(2)/25))/(LN(2)/25)*Calculateur!BL182*Calculateur!BN182*VLOOKUP('Données projet'!$B$11,Paramètres!$A$1:$I$89,3,0)*0.475*44/12</f>
        <v>1.9204027133568633</v>
      </c>
      <c r="BR182" s="21">
        <f>EXP(-LN(2)/2)*BR181+(1-EXP(-LN(2)/2))/(LN(2)/2)*BL182*BO182*VLOOKUP('Données projet'!$B$11,Paramètres!$A$1:$I$89,3,0)*0.475*44/12</f>
        <v>5.8949707366190361E-17</v>
      </c>
      <c r="BS182" s="22">
        <f t="shared" si="169"/>
        <v>22.729383935226565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-1.5961632016114892E-13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259.87681411271632</v>
      </c>
      <c r="CE182" s="59">
        <f t="shared" si="148"/>
        <v>191.8684235641158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49.734865892018391</v>
      </c>
      <c r="CL182" s="21">
        <f>EXP(-LN(2)/25)*CL181+(1-EXP(-LN(2)/25))/(LN(2)/25)*Calculateur!CG182*Calculateur!CI182*VLOOKUP('Données projet'!$B$12,Paramètres!$A$1:$I$89,3,0)*0.475*44/12</f>
        <v>6.1286197008174783</v>
      </c>
      <c r="CM182" s="21">
        <f>EXP(-LN(2)/2)*CM181+(1-EXP(-LN(2)/2))/(LN(2)/2)*CG182*CJ182*VLOOKUP('Données projet'!$B$12,Paramètres!$A$1:$I$89,3,0)*0.475*44/12</f>
        <v>6.0421999461653901E-11</v>
      </c>
      <c r="CN182" s="22">
        <f t="shared" si="172"/>
        <v>55.863485592896296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1.7053025658242404E-13</v>
      </c>
      <c r="CU182" s="17">
        <f>CT182*VLOOKUP('Données projet'!$B$13,Paramètres!$A$1:$I$89,3,0)*VLOOKUP('Données projet'!$B$13,Paramètres!$A$1:$I$89,5,0)</f>
        <v>7.9808160080574461E-14</v>
      </c>
      <c r="CV182" s="13">
        <f t="shared" si="173"/>
        <v>1.2308384591775343E-12</v>
      </c>
      <c r="CW182" s="20">
        <f t="shared" si="174"/>
        <v>2.282709528541206E-12</v>
      </c>
      <c r="CX182" s="59">
        <f t="shared" si="122"/>
        <v>293.33333333333559</v>
      </c>
      <c r="CY182" s="59">
        <f ca="1">AVERAGE(OFFSET($CX$3,0,0,'Données projet'!$E$13+1,1))-AVERAGE(OFFSET($H$3,0,0,'Données projet'!$E$13+1,1))</f>
        <v>137.59122085719031</v>
      </c>
      <c r="CZ182" s="59">
        <f t="shared" si="150"/>
        <v>130.1134470448718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26.506964384977955</v>
      </c>
      <c r="DG182" s="21">
        <f>EXP(-LN(2)/25)*DG181+(1-EXP(-LN(2)/25))/(LN(2)/25)*Calculateur!DB182*Calculateur!DD182*VLOOKUP('Données projet'!$B$13,Paramètres!$A$1:$I$89,3,0)*0.475*44/12</f>
        <v>3.2090847869479999</v>
      </c>
      <c r="DH182" s="21">
        <f>EXP(-LN(2)/2)*DH181+(1-EXP(-LN(2)/2))/(LN(2)/2)*DB182*DE182*VLOOKUP('Données projet'!$B$13,Paramètres!$A$1:$I$89,3,0)*0.475*44/12</f>
        <v>3.1142215373180298E-11</v>
      </c>
      <c r="DI182" s="22">
        <f t="shared" si="175"/>
        <v>29.716049171957099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-1.1527845344971866E-13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313.90901812281373</v>
      </c>
      <c r="DU182" s="59">
        <f t="shared" si="152"/>
        <v>210.54265725995265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77.310120633937018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77.310120633937018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-4.5224624045658861E-14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316.52407313312403</v>
      </c>
      <c r="EP182" s="59">
        <f t="shared" si="154"/>
        <v>340.55949748167382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20.434162416832162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20.434162416832162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-5.6843418860808015E-14</v>
      </c>
      <c r="FF182" s="17">
        <f>FE182*VLOOKUP('Données projet'!$B$16,Paramètres!$A$1:$I$89,3,0)*VLOOKUP('Données projet'!$B$16,Paramètres!$A$1:$I$89,5,0)</f>
        <v>-3.7243808037601412E-14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199.99826357281154</v>
      </c>
      <c r="FK182" s="59">
        <f t="shared" si="156"/>
        <v>214.67424457475136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8.8367565332301474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8.8367565332301474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284.60021367910457</v>
      </c>
      <c r="T183" s="59">
        <f t="shared" si="142"/>
        <v>301.41905904220812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20.645323654479711</v>
      </c>
      <c r="AA183" s="21">
        <f>EXP(-LN(2)/25)*AA182+(1-EXP(-LN(2)/25))/(LN(2)/25)*Calculateur!V183*Calculateur!X183*VLOOKUP('Données projet'!$B$9,Paramètres!$A$1:$I$89,3,0)*0.475*44/12</f>
        <v>1.9232172046466816</v>
      </c>
      <c r="AB183" s="21">
        <f>EXP(-LN(2)/2)*AB182+(1-EXP(-LN(2)/2))/(LN(2)/2)*V183*Y183*VLOOKUP('Données projet'!$B$9,Paramètres!$A$1:$I$89,3,0)*0.475*44/12</f>
        <v>2.4665781740877588E-16</v>
      </c>
      <c r="AC183" s="22">
        <f t="shared" si="163"/>
        <v>22.568540859126394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294.45857786714919</v>
      </c>
      <c r="AO183" s="59">
        <f t="shared" si="144"/>
        <v>221.9773436301067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28.485138895696689</v>
      </c>
      <c r="AV183" s="21">
        <f>EXP(-LN(2)/25)*AV182+(1-EXP(-LN(2)/25))/(LN(2)/25)*Calculateur!AQ183*Calculateur!AS183*VLOOKUP('Données projet'!$B$10,Paramètres!$A$1:$I$89,3,0)*0.475*44/12</f>
        <v>3.001435623915865</v>
      </c>
      <c r="AW183" s="21">
        <f>EXP(-LN(2)/2)*AW182+(1-EXP(-LN(2)/2))/(LN(2)/2)*AQ183*AT183*VLOOKUP('Données projet'!$B$10,Paramètres!$A$1:$I$89,3,0)*0.475*44/12</f>
        <v>9.0427489105893283E-14</v>
      </c>
      <c r="AX183" s="21">
        <f t="shared" si="166"/>
        <v>31.486574519612642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6.3550942286383367E-14</v>
      </c>
      <c r="BF183" s="13">
        <f t="shared" si="167"/>
        <v>1.0064464192543978E-12</v>
      </c>
      <c r="BG183" s="20">
        <f t="shared" si="168"/>
        <v>1.8635787380168604E-12</v>
      </c>
      <c r="BH183" s="59">
        <f t="shared" si="116"/>
        <v>293.33333333333519</v>
      </c>
      <c r="BI183" s="59">
        <f ca="1">AVERAGE(OFFSET($BH$3,0,0,'Données projet'!$E$11+1,1))-AVERAGE(OFFSET($H$3,0,0,'Données projet'!$E$11+1,1))</f>
        <v>304.91676868833792</v>
      </c>
      <c r="BJ183" s="59">
        <f t="shared" si="146"/>
        <v>365.95065044620048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20.400929792334129</v>
      </c>
      <c r="BQ183" s="21">
        <f>EXP(-LN(2)/25)*BQ182+(1-EXP(-LN(2)/25))/(LN(2)/25)*Calculateur!BL183*Calculateur!BN183*VLOOKUP('Données projet'!$B$11,Paramètres!$A$1:$I$89,3,0)*0.475*44/12</f>
        <v>1.8678892001705303</v>
      </c>
      <c r="BR183" s="21">
        <f>EXP(-LN(2)/2)*BR182+(1-EXP(-LN(2)/2))/(LN(2)/2)*BL183*BO183*VLOOKUP('Données projet'!$B$11,Paramètres!$A$1:$I$89,3,0)*0.475*44/12</f>
        <v>4.1683737827595777E-17</v>
      </c>
      <c r="BS183" s="22">
        <f t="shared" si="169"/>
        <v>22.268818992504659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-1.5961632016114892E-13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259.87681411271632</v>
      </c>
      <c r="CE183" s="59">
        <f t="shared" si="148"/>
        <v>191.8684235641158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48.759595507148745</v>
      </c>
      <c r="CL183" s="21">
        <f>EXP(-LN(2)/25)*CL182+(1-EXP(-LN(2)/25))/(LN(2)/25)*Calculateur!CG183*Calculateur!CI183*VLOOKUP('Données projet'!$B$12,Paramètres!$A$1:$I$89,3,0)*0.475*44/12</f>
        <v>5.9610322728085219</v>
      </c>
      <c r="CM183" s="21">
        <f>EXP(-LN(2)/2)*CM182+(1-EXP(-LN(2)/2))/(LN(2)/2)*CG183*CJ183*VLOOKUP('Données projet'!$B$12,Paramètres!$A$1:$I$89,3,0)*0.475*44/12</f>
        <v>4.2724805552185397E-11</v>
      </c>
      <c r="CN183" s="22">
        <f t="shared" si="172"/>
        <v>54.720627779999994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1.7053025658242404E-13</v>
      </c>
      <c r="CU183" s="17">
        <f>CT183*VLOOKUP('Données projet'!$B$13,Paramètres!$A$1:$I$89,3,0)*VLOOKUP('Données projet'!$B$13,Paramètres!$A$1:$I$89,5,0)</f>
        <v>7.9808160080574461E-14</v>
      </c>
      <c r="CV183" s="13">
        <f t="shared" si="173"/>
        <v>1.2308384591775343E-12</v>
      </c>
      <c r="CW183" s="20">
        <f t="shared" si="174"/>
        <v>2.282709528541206E-12</v>
      </c>
      <c r="CX183" s="59">
        <f t="shared" si="122"/>
        <v>293.33333333333559</v>
      </c>
      <c r="CY183" s="59">
        <f ca="1">AVERAGE(OFFSET($CX$3,0,0,'Données projet'!$E$13+1,1))-AVERAGE(OFFSET($H$3,0,0,'Données projet'!$E$13+1,1))</f>
        <v>137.59122085719031</v>
      </c>
      <c r="CZ183" s="59">
        <f t="shared" si="150"/>
        <v>130.1134470448718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25.98717898104039</v>
      </c>
      <c r="DG183" s="21">
        <f>EXP(-LN(2)/25)*DG182+(1-EXP(-LN(2)/25))/(LN(2)/25)*Calculateur!DB183*Calculateur!DD183*VLOOKUP('Données projet'!$B$13,Paramètres!$A$1:$I$89,3,0)*0.475*44/12</f>
        <v>3.1213321946904724</v>
      </c>
      <c r="DH183" s="21">
        <f>EXP(-LN(2)/2)*DH182+(1-EXP(-LN(2)/2))/(LN(2)/2)*DB183*DE183*VLOOKUP('Données projet'!$B$13,Paramètres!$A$1:$I$89,3,0)*0.475*44/12</f>
        <v>2.2020871671547738E-11</v>
      </c>
      <c r="DI183" s="22">
        <f t="shared" si="175"/>
        <v>29.108511175752881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-1.1527845344971866E-13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313.90901812281373</v>
      </c>
      <c r="DU183" s="59">
        <f t="shared" si="152"/>
        <v>210.54265725995265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75.794116322822973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75.794116322822973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-4.5224624045658861E-14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316.52407313312403</v>
      </c>
      <c r="EP183" s="59">
        <f t="shared" si="154"/>
        <v>340.55949748167382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20.033460955446479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20.033460955446479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-5.6843418860808015E-14</v>
      </c>
      <c r="FF183" s="17">
        <f>FE183*VLOOKUP('Données projet'!$B$16,Paramètres!$A$1:$I$89,3,0)*VLOOKUP('Données projet'!$B$16,Paramètres!$A$1:$I$89,5,0)</f>
        <v>-3.7243808037601412E-14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199.99826357281154</v>
      </c>
      <c r="FK183" s="59">
        <f t="shared" si="156"/>
        <v>214.67424457475136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8.6634731275027814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8.6634731275027814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284.60021367910457</v>
      </c>
      <c r="T184" s="59">
        <f t="shared" si="142"/>
        <v>301.41905904220812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20.240481450019395</v>
      </c>
      <c r="AA184" s="21">
        <f>EXP(-LN(2)/25)*AA183+(1-EXP(-LN(2)/25))/(LN(2)/25)*Calculateur!V184*Calculateur!X184*VLOOKUP('Données projet'!$B$9,Paramètres!$A$1:$I$89,3,0)*0.475*44/12</f>
        <v>1.8706267290480207</v>
      </c>
      <c r="AB184" s="21">
        <f>EXP(-LN(2)/2)*AB183+(1-EXP(-LN(2)/2))/(LN(2)/2)*V184*Y184*VLOOKUP('Données projet'!$B$9,Paramètres!$A$1:$I$89,3,0)*0.475*44/12</f>
        <v>1.7441341532241868E-16</v>
      </c>
      <c r="AC184" s="22">
        <f t="shared" si="163"/>
        <v>22.111108179067415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294.45857786714919</v>
      </c>
      <c r="AO184" s="59">
        <f t="shared" si="144"/>
        <v>221.9773436301067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27.926562696171242</v>
      </c>
      <c r="AV184" s="21">
        <f>EXP(-LN(2)/25)*AV183+(1-EXP(-LN(2)/25))/(LN(2)/25)*Calculateur!AQ184*Calculateur!AS184*VLOOKUP('Données projet'!$B$10,Paramètres!$A$1:$I$89,3,0)*0.475*44/12</f>
        <v>2.919361208941246</v>
      </c>
      <c r="AW184" s="21">
        <f>EXP(-LN(2)/2)*AW183+(1-EXP(-LN(2)/2))/(LN(2)/2)*AQ184*AT184*VLOOKUP('Données projet'!$B$10,Paramètres!$A$1:$I$89,3,0)*0.475*44/12</f>
        <v>6.3941890752449791E-14</v>
      </c>
      <c r="AX184" s="21">
        <f t="shared" si="166"/>
        <v>30.845923905112553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6.3550942286383367E-14</v>
      </c>
      <c r="BF184" s="13">
        <f t="shared" si="167"/>
        <v>1.0064464192543978E-12</v>
      </c>
      <c r="BG184" s="20">
        <f t="shared" si="168"/>
        <v>1.8635787380168604E-12</v>
      </c>
      <c r="BH184" s="59">
        <f t="shared" si="116"/>
        <v>293.33333333333519</v>
      </c>
      <c r="BI184" s="59">
        <f ca="1">AVERAGE(OFFSET($BH$3,0,0,'Données projet'!$E$11+1,1))-AVERAGE(OFFSET($H$3,0,0,'Données projet'!$E$11+1,1))</f>
        <v>304.91676868833792</v>
      </c>
      <c r="BJ184" s="59">
        <f t="shared" si="146"/>
        <v>365.95065044620048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20.000880002444951</v>
      </c>
      <c r="BQ184" s="21">
        <f>EXP(-LN(2)/25)*BQ183+(1-EXP(-LN(2)/25))/(LN(2)/25)*Calculateur!BL184*Calculateur!BN184*VLOOKUP('Données projet'!$B$11,Paramètres!$A$1:$I$89,3,0)*0.475*44/12</f>
        <v>1.8168116717638432</v>
      </c>
      <c r="BR184" s="21">
        <f>EXP(-LN(2)/2)*BR183+(1-EXP(-LN(2)/2))/(LN(2)/2)*BL184*BO184*VLOOKUP('Données projet'!$B$11,Paramètres!$A$1:$I$89,3,0)*0.475*44/12</f>
        <v>2.9474853683095181E-17</v>
      </c>
      <c r="BS184" s="22">
        <f t="shared" si="169"/>
        <v>21.817691674208795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-1.5961632016114892E-13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259.87681411271632</v>
      </c>
      <c r="CE184" s="59">
        <f t="shared" si="148"/>
        <v>191.8684235641158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47.803449579670193</v>
      </c>
      <c r="CL184" s="21">
        <f>EXP(-LN(2)/25)*CL183+(1-EXP(-LN(2)/25))/(LN(2)/25)*Calculateur!CG184*Calculateur!CI184*VLOOKUP('Données projet'!$B$12,Paramètres!$A$1:$I$89,3,0)*0.475*44/12</f>
        <v>5.7980275318315098</v>
      </c>
      <c r="CM184" s="21">
        <f>EXP(-LN(2)/2)*CM183+(1-EXP(-LN(2)/2))/(LN(2)/2)*CG184*CJ184*VLOOKUP('Données projet'!$B$12,Paramètres!$A$1:$I$89,3,0)*0.475*44/12</f>
        <v>3.021099973082695E-11</v>
      </c>
      <c r="CN184" s="22">
        <f t="shared" si="172"/>
        <v>53.601477111531914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1.7053025658242404E-13</v>
      </c>
      <c r="CU184" s="17">
        <f>CT184*VLOOKUP('Données projet'!$B$13,Paramètres!$A$1:$I$89,3,0)*VLOOKUP('Données projet'!$B$13,Paramètres!$A$1:$I$89,5,0)</f>
        <v>7.9808160080574461E-14</v>
      </c>
      <c r="CV184" s="13">
        <f t="shared" si="173"/>
        <v>1.2308384591775343E-12</v>
      </c>
      <c r="CW184" s="20">
        <f t="shared" si="174"/>
        <v>2.282709528541206E-12</v>
      </c>
      <c r="CX184" s="59">
        <f t="shared" si="122"/>
        <v>293.33333333333559</v>
      </c>
      <c r="CY184" s="59">
        <f ca="1">AVERAGE(OFFSET($CX$3,0,0,'Données projet'!$E$13+1,1))-AVERAGE(OFFSET($H$3,0,0,'Données projet'!$E$13+1,1))</f>
        <v>137.59122085719031</v>
      </c>
      <c r="CZ184" s="59">
        <f t="shared" si="150"/>
        <v>130.1134470448718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25.47758625183625</v>
      </c>
      <c r="DG184" s="21">
        <f>EXP(-LN(2)/25)*DG183+(1-EXP(-LN(2)/25))/(LN(2)/25)*Calculateur!DB184*Calculateur!DD184*VLOOKUP('Données projet'!$B$13,Paramètres!$A$1:$I$89,3,0)*0.475*44/12</f>
        <v>3.035979201682935</v>
      </c>
      <c r="DH184" s="21">
        <f>EXP(-LN(2)/2)*DH183+(1-EXP(-LN(2)/2))/(LN(2)/2)*DB184*DE184*VLOOKUP('Données projet'!$B$13,Paramètres!$A$1:$I$89,3,0)*0.475*44/12</f>
        <v>1.5571107686590149E-11</v>
      </c>
      <c r="DI184" s="22">
        <f t="shared" si="175"/>
        <v>28.513565453534756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-1.1527845344971866E-13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313.90901812281373</v>
      </c>
      <c r="DU184" s="59">
        <f t="shared" si="152"/>
        <v>210.54265725995265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74.307839931578556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74.307839931578556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-4.5224624045658861E-14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316.52407313312403</v>
      </c>
      <c r="EP184" s="59">
        <f t="shared" si="154"/>
        <v>340.55949748167382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19.640617005314809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19.640617005314809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-5.6843418860808015E-14</v>
      </c>
      <c r="FF184" s="17">
        <f>FE184*VLOOKUP('Données projet'!$B$16,Paramètres!$A$1:$I$89,3,0)*VLOOKUP('Données projet'!$B$16,Paramètres!$A$1:$I$89,5,0)</f>
        <v>-3.7243808037601412E-14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199.99826357281154</v>
      </c>
      <c r="FK184" s="59">
        <f t="shared" si="156"/>
        <v>214.67424457475136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8.4935877036692879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8.4935877036692879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284.60021367910457</v>
      </c>
      <c r="T185" s="59">
        <f t="shared" si="142"/>
        <v>301.41905904220812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19.843577954259185</v>
      </c>
      <c r="AA185" s="21">
        <f>EXP(-LN(2)/25)*AA184+(1-EXP(-LN(2)/25))/(LN(2)/25)*Calculateur!V185*Calculateur!X185*VLOOKUP('Données projet'!$B$9,Paramètres!$A$1:$I$89,3,0)*0.475*44/12</f>
        <v>1.8194743427702182</v>
      </c>
      <c r="AB185" s="21">
        <f>EXP(-LN(2)/2)*AB184+(1-EXP(-LN(2)/2))/(LN(2)/2)*V185*Y185*VLOOKUP('Données projet'!$B$9,Paramètres!$A$1:$I$89,3,0)*0.475*44/12</f>
        <v>1.2332890870438794E-16</v>
      </c>
      <c r="AC185" s="22">
        <f t="shared" si="163"/>
        <v>21.663052297029402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294.45857786714919</v>
      </c>
      <c r="AO185" s="59">
        <f t="shared" si="144"/>
        <v>221.9773436301067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27.378939835220649</v>
      </c>
      <c r="AV185" s="21">
        <f>EXP(-LN(2)/25)*AV184+(1-EXP(-LN(2)/25))/(LN(2)/25)*Calculateur!AQ185*Calculateur!AS185*VLOOKUP('Données projet'!$B$10,Paramètres!$A$1:$I$89,3,0)*0.475*44/12</f>
        <v>2.8395311231602141</v>
      </c>
      <c r="AW185" s="21">
        <f>EXP(-LN(2)/2)*AW184+(1-EXP(-LN(2)/2))/(LN(2)/2)*AQ185*AT185*VLOOKUP('Données projet'!$B$10,Paramètres!$A$1:$I$89,3,0)*0.475*44/12</f>
        <v>4.5213744552946642E-14</v>
      </c>
      <c r="AX185" s="21">
        <f t="shared" si="166"/>
        <v>30.218470958380909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6.3550942286383367E-14</v>
      </c>
      <c r="BF185" s="13">
        <f t="shared" si="167"/>
        <v>1.0064464192543978E-12</v>
      </c>
      <c r="BG185" s="20">
        <f t="shared" si="168"/>
        <v>1.8635787380168604E-12</v>
      </c>
      <c r="BH185" s="59">
        <f t="shared" si="116"/>
        <v>293.33333333333519</v>
      </c>
      <c r="BI185" s="59">
        <f ca="1">AVERAGE(OFFSET($BH$3,0,0,'Données projet'!$E$11+1,1))-AVERAGE(OFFSET($H$3,0,0,'Données projet'!$E$11+1,1))</f>
        <v>304.91676868833792</v>
      </c>
      <c r="BJ185" s="59">
        <f t="shared" si="146"/>
        <v>365.95065044620048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19.608674944929223</v>
      </c>
      <c r="BQ185" s="21">
        <f>EXP(-LN(2)/25)*BQ184+(1-EXP(-LN(2)/25))/(LN(2)/25)*Calculateur!BL185*Calculateur!BN185*VLOOKUP('Données projet'!$B$11,Paramètres!$A$1:$I$89,3,0)*0.475*44/12</f>
        <v>1.7671308610574874</v>
      </c>
      <c r="BR185" s="21">
        <f>EXP(-LN(2)/2)*BR184+(1-EXP(-LN(2)/2))/(LN(2)/2)*BL185*BO185*VLOOKUP('Données projet'!$B$11,Paramètres!$A$1:$I$89,3,0)*0.475*44/12</f>
        <v>2.0841868913797888E-17</v>
      </c>
      <c r="BS185" s="22">
        <f t="shared" si="169"/>
        <v>21.375805805986712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-1.5961632016114892E-13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259.87681411271632</v>
      </c>
      <c r="CE185" s="59">
        <f t="shared" si="148"/>
        <v>191.8684235641158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46.866053090638069</v>
      </c>
      <c r="CL185" s="21">
        <f>EXP(-LN(2)/25)*CL184+(1-EXP(-LN(2)/25))/(LN(2)/25)*Calculateur!CG185*Calculateur!CI185*VLOOKUP('Données projet'!$B$12,Paramètres!$A$1:$I$89,3,0)*0.475*44/12</f>
        <v>5.6394801640685612</v>
      </c>
      <c r="CM185" s="21">
        <f>EXP(-LN(2)/2)*CM184+(1-EXP(-LN(2)/2))/(LN(2)/2)*CG185*CJ185*VLOOKUP('Données projet'!$B$12,Paramètres!$A$1:$I$89,3,0)*0.475*44/12</f>
        <v>2.1362402776092699E-11</v>
      </c>
      <c r="CN185" s="22">
        <f t="shared" si="172"/>
        <v>52.505533254727986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1.7053025658242404E-13</v>
      </c>
      <c r="CU185" s="17">
        <f>CT185*VLOOKUP('Données projet'!$B$13,Paramètres!$A$1:$I$89,3,0)*VLOOKUP('Données projet'!$B$13,Paramètres!$A$1:$I$89,5,0)</f>
        <v>7.9808160080574461E-14</v>
      </c>
      <c r="CV185" s="13">
        <f t="shared" si="173"/>
        <v>1.2308384591775343E-12</v>
      </c>
      <c r="CW185" s="20">
        <f t="shared" si="174"/>
        <v>2.282709528541206E-12</v>
      </c>
      <c r="CX185" s="59">
        <f t="shared" si="122"/>
        <v>293.33333333333559</v>
      </c>
      <c r="CY185" s="59">
        <f ca="1">AVERAGE(OFFSET($CX$3,0,0,'Données projet'!$E$13+1,1))-AVERAGE(OFFSET($H$3,0,0,'Données projet'!$E$13+1,1))</f>
        <v>137.59122085719031</v>
      </c>
      <c r="CZ185" s="59">
        <f t="shared" si="150"/>
        <v>130.1134470448718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24.977986325230926</v>
      </c>
      <c r="DG185" s="21">
        <f>EXP(-LN(2)/25)*DG184+(1-EXP(-LN(2)/25))/(LN(2)/25)*Calculateur!DB185*Calculateur!DD185*VLOOKUP('Données projet'!$B$13,Paramètres!$A$1:$I$89,3,0)*0.475*44/12</f>
        <v>2.9529601907577079</v>
      </c>
      <c r="DH185" s="21">
        <f>EXP(-LN(2)/2)*DH184+(1-EXP(-LN(2)/2))/(LN(2)/2)*DB185*DE185*VLOOKUP('Données projet'!$B$13,Paramètres!$A$1:$I$89,3,0)*0.475*44/12</f>
        <v>1.1010435835773869E-11</v>
      </c>
      <c r="DI185" s="22">
        <f t="shared" si="175"/>
        <v>27.930946515999644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-1.1527845344971866E-13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313.90901812281373</v>
      </c>
      <c r="DU185" s="59">
        <f t="shared" si="152"/>
        <v>210.54265725995265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72.850708513827357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72.850708513827357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-4.5224624045658861E-14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316.52407313312403</v>
      </c>
      <c r="EP185" s="59">
        <f t="shared" si="154"/>
        <v>340.55949748167382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19.255476485434073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19.255476485434073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-5.6843418860808015E-14</v>
      </c>
      <c r="FF185" s="17">
        <f>FE185*VLOOKUP('Données projet'!$B$16,Paramètres!$A$1:$I$89,3,0)*VLOOKUP('Données projet'!$B$16,Paramètres!$A$1:$I$89,5,0)</f>
        <v>-3.7243808037601412E-14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199.99826357281154</v>
      </c>
      <c r="FK185" s="59">
        <f t="shared" si="156"/>
        <v>214.67424457475136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8.3270336293772935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8.3270336293772935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284.60021367910457</v>
      </c>
      <c r="T186" s="59">
        <f t="shared" si="142"/>
        <v>301.41905904220812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19.454457493963606</v>
      </c>
      <c r="AA186" s="21">
        <f>EXP(-LN(2)/25)*AA185+(1-EXP(-LN(2)/25))/(LN(2)/25)*Calculateur!V186*Calculateur!X186*VLOOKUP('Données projet'!$B$9,Paramètres!$A$1:$I$89,3,0)*0.475*44/12</f>
        <v>1.7697207211851693</v>
      </c>
      <c r="AB186" s="21">
        <f>EXP(-LN(2)/2)*AB185+(1-EXP(-LN(2)/2))/(LN(2)/2)*V186*Y186*VLOOKUP('Données projet'!$B$9,Paramètres!$A$1:$I$89,3,0)*0.475*44/12</f>
        <v>8.7206707661209339E-17</v>
      </c>
      <c r="AC186" s="22">
        <f t="shared" si="163"/>
        <v>21.224178215148775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294.45857786714919</v>
      </c>
      <c r="AO186" s="59">
        <f t="shared" si="144"/>
        <v>221.9773436301067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26.842055524556333</v>
      </c>
      <c r="AV186" s="21">
        <f>EXP(-LN(2)/25)*AV185+(1-EXP(-LN(2)/25))/(LN(2)/25)*Calculateur!AQ186*Calculateur!AS186*VLOOKUP('Données projet'!$B$10,Paramètres!$A$1:$I$89,3,0)*0.475*44/12</f>
        <v>2.7618839952729459</v>
      </c>
      <c r="AW186" s="21">
        <f>EXP(-LN(2)/2)*AW185+(1-EXP(-LN(2)/2))/(LN(2)/2)*AQ186*AT186*VLOOKUP('Données projet'!$B$10,Paramètres!$A$1:$I$89,3,0)*0.475*44/12</f>
        <v>3.1970945376224895E-14</v>
      </c>
      <c r="AX186" s="21">
        <f t="shared" si="166"/>
        <v>29.603939519829311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6.3550942286383367E-14</v>
      </c>
      <c r="BF186" s="13">
        <f t="shared" si="167"/>
        <v>1.0064464192543978E-12</v>
      </c>
      <c r="BG186" s="20">
        <f t="shared" si="168"/>
        <v>1.8635787380168604E-12</v>
      </c>
      <c r="BH186" s="59">
        <f t="shared" si="116"/>
        <v>293.33333333333519</v>
      </c>
      <c r="BI186" s="59">
        <f ca="1">AVERAGE(OFFSET($BH$3,0,0,'Données projet'!$E$11+1,1))-AVERAGE(OFFSET($H$3,0,0,'Données projet'!$E$11+1,1))</f>
        <v>304.91676868833792</v>
      </c>
      <c r="BJ186" s="59">
        <f t="shared" si="146"/>
        <v>365.95065044620048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19.224160789369915</v>
      </c>
      <c r="BQ186" s="21">
        <f>EXP(-LN(2)/25)*BQ185+(1-EXP(-LN(2)/25))/(LN(2)/25)*Calculateur!BL186*Calculateur!BN186*VLOOKUP('Données projet'!$B$11,Paramètres!$A$1:$I$89,3,0)*0.475*44/12</f>
        <v>1.7188085747324973</v>
      </c>
      <c r="BR186" s="21">
        <f>EXP(-LN(2)/2)*BR185+(1-EXP(-LN(2)/2))/(LN(2)/2)*BL186*BO186*VLOOKUP('Données projet'!$B$11,Paramètres!$A$1:$I$89,3,0)*0.475*44/12</f>
        <v>1.473742684154759E-17</v>
      </c>
      <c r="BS186" s="22">
        <f t="shared" si="169"/>
        <v>20.94296936410241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-1.5961632016114892E-13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259.87681411271632</v>
      </c>
      <c r="CE186" s="59">
        <f t="shared" si="148"/>
        <v>191.8684235641158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45.94703837500046</v>
      </c>
      <c r="CL186" s="21">
        <f>EXP(-LN(2)/25)*CL185+(1-EXP(-LN(2)/25))/(LN(2)/25)*Calculateur!CG186*Calculateur!CI186*VLOOKUP('Données projet'!$B$12,Paramètres!$A$1:$I$89,3,0)*0.475*44/12</f>
        <v>5.4852682824147339</v>
      </c>
      <c r="CM186" s="21">
        <f>EXP(-LN(2)/2)*CM185+(1-EXP(-LN(2)/2))/(LN(2)/2)*CG186*CJ186*VLOOKUP('Données projet'!$B$12,Paramètres!$A$1:$I$89,3,0)*0.475*44/12</f>
        <v>1.5105499865413475E-11</v>
      </c>
      <c r="CN186" s="22">
        <f t="shared" si="172"/>
        <v>51.432306657430303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1.7053025658242404E-13</v>
      </c>
      <c r="CU186" s="17">
        <f>CT186*VLOOKUP('Données projet'!$B$13,Paramètres!$A$1:$I$89,3,0)*VLOOKUP('Données projet'!$B$13,Paramètres!$A$1:$I$89,5,0)</f>
        <v>7.9808160080574461E-14</v>
      </c>
      <c r="CV186" s="13">
        <f t="shared" si="173"/>
        <v>1.2308384591775343E-12</v>
      </c>
      <c r="CW186" s="20">
        <f t="shared" si="174"/>
        <v>2.282709528541206E-12</v>
      </c>
      <c r="CX186" s="59">
        <f t="shared" si="122"/>
        <v>293.33333333333559</v>
      </c>
      <c r="CY186" s="59">
        <f ca="1">AVERAGE(OFFSET($CX$3,0,0,'Données projet'!$E$13+1,1))-AVERAGE(OFFSET($H$3,0,0,'Données projet'!$E$13+1,1))</f>
        <v>137.59122085719031</v>
      </c>
      <c r="CZ186" s="59">
        <f t="shared" si="150"/>
        <v>130.1134470448718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24.488183248460469</v>
      </c>
      <c r="DG186" s="21">
        <f>EXP(-LN(2)/25)*DG185+(1-EXP(-LN(2)/25))/(LN(2)/25)*Calculateur!DB186*Calculateur!DD186*VLOOKUP('Données projet'!$B$13,Paramètres!$A$1:$I$89,3,0)*0.475*44/12</f>
        <v>2.872211339052011</v>
      </c>
      <c r="DH186" s="21">
        <f>EXP(-LN(2)/2)*DH185+(1-EXP(-LN(2)/2))/(LN(2)/2)*DB186*DE186*VLOOKUP('Données projet'!$B$13,Paramètres!$A$1:$I$89,3,0)*0.475*44/12</f>
        <v>7.7855538432950746E-12</v>
      </c>
      <c r="DI186" s="22">
        <f t="shared" si="175"/>
        <v>27.360394587520265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-1.1527845344971866E-13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313.90901812281373</v>
      </c>
      <c r="DU186" s="59">
        <f t="shared" si="152"/>
        <v>210.54265725995265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71.42215055441585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71.42215055441585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-4.5224624045658861E-14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316.52407313312403</v>
      </c>
      <c r="EP186" s="59">
        <f t="shared" si="154"/>
        <v>340.55949748167382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18.877888336235678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18.877888336235678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-5.6843418860808015E-14</v>
      </c>
      <c r="FF186" s="17">
        <f>FE186*VLOOKUP('Données projet'!$B$16,Paramètres!$A$1:$I$89,3,0)*VLOOKUP('Données projet'!$B$16,Paramètres!$A$1:$I$89,5,0)</f>
        <v>-3.7243808037601412E-14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199.99826357281154</v>
      </c>
      <c r="FK186" s="59">
        <f t="shared" si="156"/>
        <v>214.67424457475136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8.1637455788942095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8.1637455788942095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284.60021367910457</v>
      </c>
      <c r="T187" s="59">
        <f t="shared" si="142"/>
        <v>301.41905904220812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19.072967448554376</v>
      </c>
      <c r="AA187" s="21">
        <f>EXP(-LN(2)/25)*AA186+(1-EXP(-LN(2)/25))/(LN(2)/25)*Calculateur!V187*Calculateur!X187*VLOOKUP('Données projet'!$B$9,Paramètres!$A$1:$I$89,3,0)*0.475*44/12</f>
        <v>1.7213276149987928</v>
      </c>
      <c r="AB187" s="21">
        <f>EXP(-LN(2)/2)*AB186+(1-EXP(-LN(2)/2))/(LN(2)/2)*V187*Y187*VLOOKUP('Données projet'!$B$9,Paramètres!$A$1:$I$89,3,0)*0.475*44/12</f>
        <v>6.1664454352193969E-17</v>
      </c>
      <c r="AC187" s="22">
        <f t="shared" si="163"/>
        <v>20.794295063553168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294.45857786714919</v>
      </c>
      <c r="AO187" s="59">
        <f t="shared" si="144"/>
        <v>221.9773436301067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26.315699187757048</v>
      </c>
      <c r="AV187" s="21">
        <f>EXP(-LN(2)/25)*AV186+(1-EXP(-LN(2)/25))/(LN(2)/25)*Calculateur!AQ187*Calculateur!AS187*VLOOKUP('Données projet'!$B$10,Paramètres!$A$1:$I$89,3,0)*0.475*44/12</f>
        <v>2.6863601321810404</v>
      </c>
      <c r="AW187" s="21">
        <f>EXP(-LN(2)/2)*AW186+(1-EXP(-LN(2)/2))/(LN(2)/2)*AQ187*AT187*VLOOKUP('Données projet'!$B$10,Paramètres!$A$1:$I$89,3,0)*0.475*44/12</f>
        <v>2.2606872276473321E-14</v>
      </c>
      <c r="AX187" s="21">
        <f t="shared" si="166"/>
        <v>29.002059319938109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6.3550942286383367E-14</v>
      </c>
      <c r="BF187" s="13">
        <f t="shared" si="167"/>
        <v>1.0064464192543978E-12</v>
      </c>
      <c r="BG187" s="20">
        <f t="shared" si="168"/>
        <v>1.8635787380168604E-12</v>
      </c>
      <c r="BH187" s="59">
        <f t="shared" si="116"/>
        <v>293.33333333333519</v>
      </c>
      <c r="BI187" s="59">
        <f ca="1">AVERAGE(OFFSET($BH$3,0,0,'Données projet'!$E$11+1,1))-AVERAGE(OFFSET($H$3,0,0,'Données projet'!$E$11+1,1))</f>
        <v>304.91676868833792</v>
      </c>
      <c r="BJ187" s="59">
        <f t="shared" si="146"/>
        <v>365.95065044620048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18.847186721870646</v>
      </c>
      <c r="BQ187" s="21">
        <f>EXP(-LN(2)/25)*BQ186+(1-EXP(-LN(2)/25))/(LN(2)/25)*Calculateur!BL187*Calculateur!BN187*VLOOKUP('Données projet'!$B$11,Paramètres!$A$1:$I$89,3,0)*0.475*44/12</f>
        <v>1.6718076638682227</v>
      </c>
      <c r="BR187" s="21">
        <f>EXP(-LN(2)/2)*BR186+(1-EXP(-LN(2)/2))/(LN(2)/2)*BL187*BO187*VLOOKUP('Données projet'!$B$11,Paramètres!$A$1:$I$89,3,0)*0.475*44/12</f>
        <v>1.0420934456898944E-17</v>
      </c>
      <c r="BS187" s="22">
        <f t="shared" si="169"/>
        <v>20.518994385738868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-1.5961632016114892E-13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259.87681411271632</v>
      </c>
      <c r="CE187" s="59">
        <f t="shared" si="148"/>
        <v>191.8684235641158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45.046044977392881</v>
      </c>
      <c r="CL187" s="21">
        <f>EXP(-LN(2)/25)*CL186+(1-EXP(-LN(2)/25))/(LN(2)/25)*Calculateur!CG187*Calculateur!CI187*VLOOKUP('Données projet'!$B$12,Paramètres!$A$1:$I$89,3,0)*0.475*44/12</f>
        <v>5.3352733327743804</v>
      </c>
      <c r="CM187" s="21">
        <f>EXP(-LN(2)/2)*CM186+(1-EXP(-LN(2)/2))/(LN(2)/2)*CG187*CJ187*VLOOKUP('Données projet'!$B$12,Paramètres!$A$1:$I$89,3,0)*0.475*44/12</f>
        <v>1.0681201388046349E-11</v>
      </c>
      <c r="CN187" s="22">
        <f t="shared" si="172"/>
        <v>50.381318310177939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1.7053025658242404E-13</v>
      </c>
      <c r="CU187" s="17">
        <f>CT187*VLOOKUP('Données projet'!$B$13,Paramètres!$A$1:$I$89,3,0)*VLOOKUP('Données projet'!$B$13,Paramètres!$A$1:$I$89,5,0)</f>
        <v>7.9808160080574461E-14</v>
      </c>
      <c r="CV187" s="13">
        <f t="shared" si="173"/>
        <v>1.2308384591775343E-12</v>
      </c>
      <c r="CW187" s="20">
        <f t="shared" si="174"/>
        <v>2.282709528541206E-12</v>
      </c>
      <c r="CX187" s="59">
        <f t="shared" si="122"/>
        <v>293.33333333333559</v>
      </c>
      <c r="CY187" s="59">
        <f ca="1">AVERAGE(OFFSET($CX$3,0,0,'Données projet'!$E$13+1,1))-AVERAGE(OFFSET($H$3,0,0,'Données projet'!$E$13+1,1))</f>
        <v>137.59122085719031</v>
      </c>
      <c r="CZ187" s="59">
        <f t="shared" si="150"/>
        <v>130.1134470448718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24.007984911275102</v>
      </c>
      <c r="DG187" s="21">
        <f>EXP(-LN(2)/25)*DG186+(1-EXP(-LN(2)/25))/(LN(2)/25)*Calculateur!DB187*Calculateur!DD187*VLOOKUP('Données projet'!$B$13,Paramètres!$A$1:$I$89,3,0)*0.475*44/12</f>
        <v>2.7936705689426038</v>
      </c>
      <c r="DH187" s="21">
        <f>EXP(-LN(2)/2)*DH186+(1-EXP(-LN(2)/2))/(LN(2)/2)*DB187*DE187*VLOOKUP('Données projet'!$B$13,Paramètres!$A$1:$I$89,3,0)*0.475*44/12</f>
        <v>5.5052179178869344E-12</v>
      </c>
      <c r="DI187" s="22">
        <f t="shared" si="175"/>
        <v>26.801655480223211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-1.1527845344971866E-13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313.90901812281373</v>
      </c>
      <c r="DU187" s="59">
        <f t="shared" si="152"/>
        <v>210.54265725995265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70.021605745254078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70.021605745254078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-4.5224624045658861E-14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316.52407313312403</v>
      </c>
      <c r="EP187" s="59">
        <f t="shared" si="154"/>
        <v>340.55949748167382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18.507704460337031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18.507704460337031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-5.6843418860808015E-14</v>
      </c>
      <c r="FF187" s="17">
        <f>FE187*VLOOKUP('Données projet'!$B$16,Paramètres!$A$1:$I$89,3,0)*VLOOKUP('Données projet'!$B$16,Paramètres!$A$1:$I$89,5,0)</f>
        <v>-3.7243808037601412E-14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199.99826357281154</v>
      </c>
      <c r="FK187" s="59">
        <f t="shared" si="156"/>
        <v>214.67424457475136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8.0036595074852226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8.0036595074852226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284.60021367910457</v>
      </c>
      <c r="T188" s="59">
        <f t="shared" si="142"/>
        <v>301.41905904220812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18.69895819024967</v>
      </c>
      <c r="AA188" s="21">
        <f>EXP(-LN(2)/25)*AA187+(1-EXP(-LN(2)/25))/(LN(2)/25)*Calculateur!V188*Calculateur!X188*VLOOKUP('Données projet'!$B$9,Paramètres!$A$1:$I$89,3,0)*0.475*44/12</f>
        <v>1.6742578208459657</v>
      </c>
      <c r="AB188" s="21">
        <f>EXP(-LN(2)/2)*AB187+(1-EXP(-LN(2)/2))/(LN(2)/2)*V188*Y188*VLOOKUP('Données projet'!$B$9,Paramètres!$A$1:$I$89,3,0)*0.475*44/12</f>
        <v>4.3603353830604669E-17</v>
      </c>
      <c r="AC188" s="22">
        <f t="shared" si="163"/>
        <v>20.373216011095636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294.45857786714919</v>
      </c>
      <c r="AO188" s="59">
        <f t="shared" si="144"/>
        <v>221.9773436301067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25.799664377676734</v>
      </c>
      <c r="AV188" s="21">
        <f>EXP(-LN(2)/25)*AV187+(1-EXP(-LN(2)/25))/(LN(2)/25)*Calculateur!AQ188*Calculateur!AS188*VLOOKUP('Données projet'!$B$10,Paramètres!$A$1:$I$89,3,0)*0.475*44/12</f>
        <v>2.6129014730970104</v>
      </c>
      <c r="AW188" s="21">
        <f>EXP(-LN(2)/2)*AW187+(1-EXP(-LN(2)/2))/(LN(2)/2)*AQ188*AT188*VLOOKUP('Données projet'!$B$10,Paramètres!$A$1:$I$89,3,0)*0.475*44/12</f>
        <v>1.5985472688112448E-14</v>
      </c>
      <c r="AX188" s="21">
        <f t="shared" si="166"/>
        <v>28.41256585077376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6.3550942286383367E-14</v>
      </c>
      <c r="BF188" s="13">
        <f t="shared" si="167"/>
        <v>1.0064464192543978E-12</v>
      </c>
      <c r="BG188" s="20">
        <f t="shared" si="168"/>
        <v>1.8635787380168604E-12</v>
      </c>
      <c r="BH188" s="59">
        <f t="shared" si="116"/>
        <v>293.33333333333519</v>
      </c>
      <c r="BI188" s="59">
        <f ca="1">AVERAGE(OFFSET($BH$3,0,0,'Données projet'!$E$11+1,1))-AVERAGE(OFFSET($H$3,0,0,'Données projet'!$E$11+1,1))</f>
        <v>304.91676868833792</v>
      </c>
      <c r="BJ188" s="59">
        <f t="shared" si="146"/>
        <v>365.95065044620048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18.477604885903563</v>
      </c>
      <c r="BQ188" s="21">
        <f>EXP(-LN(2)/25)*BQ187+(1-EXP(-LN(2)/25))/(LN(2)/25)*Calculateur!BL188*Calculateur!BN188*VLOOKUP('Données projet'!$B$11,Paramètres!$A$1:$I$89,3,0)*0.475*44/12</f>
        <v>1.626091995383202</v>
      </c>
      <c r="BR188" s="21">
        <f>EXP(-LN(2)/2)*BR187+(1-EXP(-LN(2)/2))/(LN(2)/2)*BL188*BO188*VLOOKUP('Données projet'!$B$11,Paramètres!$A$1:$I$89,3,0)*0.475*44/12</f>
        <v>7.3687134207737951E-18</v>
      </c>
      <c r="BS188" s="22">
        <f t="shared" si="169"/>
        <v>20.103696881286766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-1.5961632016114892E-13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259.87681411271632</v>
      </c>
      <c r="CE188" s="59">
        <f t="shared" si="148"/>
        <v>191.8684235641158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44.162719510760674</v>
      </c>
      <c r="CL188" s="21">
        <f>EXP(-LN(2)/25)*CL187+(1-EXP(-LN(2)/25))/(LN(2)/25)*Calculateur!CG188*Calculateur!CI188*VLOOKUP('Données projet'!$B$12,Paramètres!$A$1:$I$89,3,0)*0.475*44/12</f>
        <v>5.189380002919834</v>
      </c>
      <c r="CM188" s="21">
        <f>EXP(-LN(2)/2)*CM187+(1-EXP(-LN(2)/2))/(LN(2)/2)*CG188*CJ188*VLOOKUP('Données projet'!$B$12,Paramètres!$A$1:$I$89,3,0)*0.475*44/12</f>
        <v>7.5527499327067376E-12</v>
      </c>
      <c r="CN188" s="22">
        <f t="shared" si="172"/>
        <v>49.35209951368806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1.7053025658242404E-13</v>
      </c>
      <c r="CU188" s="17">
        <f>CT188*VLOOKUP('Données projet'!$B$13,Paramètres!$A$1:$I$89,3,0)*VLOOKUP('Données projet'!$B$13,Paramètres!$A$1:$I$89,5,0)</f>
        <v>7.9808160080574461E-14</v>
      </c>
      <c r="CV188" s="13">
        <f t="shared" si="173"/>
        <v>1.2308384591775343E-12</v>
      </c>
      <c r="CW188" s="20">
        <f t="shared" si="174"/>
        <v>2.282709528541206E-12</v>
      </c>
      <c r="CX188" s="59">
        <f t="shared" si="122"/>
        <v>293.33333333333559</v>
      </c>
      <c r="CY188" s="59">
        <f ca="1">AVERAGE(OFFSET($CX$3,0,0,'Données projet'!$E$13+1,1))-AVERAGE(OFFSET($H$3,0,0,'Données projet'!$E$13+1,1))</f>
        <v>137.59122085719031</v>
      </c>
      <c r="CZ188" s="59">
        <f t="shared" si="150"/>
        <v>130.1134470448718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23.537202970589874</v>
      </c>
      <c r="DG188" s="21">
        <f>EXP(-LN(2)/25)*DG187+(1-EXP(-LN(2)/25))/(LN(2)/25)*Calculateur!DB188*Calculateur!DD188*VLOOKUP('Données projet'!$B$13,Paramètres!$A$1:$I$89,3,0)*0.475*44/12</f>
        <v>2.7172775003221181</v>
      </c>
      <c r="DH188" s="21">
        <f>EXP(-LN(2)/2)*DH187+(1-EXP(-LN(2)/2))/(LN(2)/2)*DB188*DE188*VLOOKUP('Données projet'!$B$13,Paramètres!$A$1:$I$89,3,0)*0.475*44/12</f>
        <v>3.8927769216475373E-12</v>
      </c>
      <c r="DI188" s="22">
        <f t="shared" si="175"/>
        <v>26.254480470915887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-1.1527845344971866E-13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313.90901812281373</v>
      </c>
      <c r="DU188" s="59">
        <f t="shared" si="152"/>
        <v>210.54265725995265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68.648524765551997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68.648524765551997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-4.5224624045658861E-14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316.52407313312403</v>
      </c>
      <c r="EP188" s="59">
        <f t="shared" si="154"/>
        <v>340.55949748167382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18.144779664454887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18.144779664454887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-5.6843418860808015E-14</v>
      </c>
      <c r="FF188" s="17">
        <f>FE188*VLOOKUP('Données projet'!$B$16,Paramètres!$A$1:$I$89,3,0)*VLOOKUP('Données projet'!$B$16,Paramètres!$A$1:$I$89,5,0)</f>
        <v>-3.7243808037601412E-14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199.99826357281154</v>
      </c>
      <c r="FK188" s="59">
        <f t="shared" si="156"/>
        <v>214.67424457475136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7.8467126262937041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7.8467126262937041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284.60021367910457</v>
      </c>
      <c r="T189" s="59">
        <f t="shared" si="142"/>
        <v>301.41905904220812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18.332283025377198</v>
      </c>
      <c r="AA189" s="21">
        <f>EXP(-LN(2)/25)*AA188+(1-EXP(-LN(2)/25))/(LN(2)/25)*Calculateur!V189*Calculateur!X189*VLOOKUP('Données projet'!$B$9,Paramètres!$A$1:$I$89,3,0)*0.475*44/12</f>
        <v>1.6284751526895407</v>
      </c>
      <c r="AB189" s="21">
        <f>EXP(-LN(2)/2)*AB188+(1-EXP(-LN(2)/2))/(LN(2)/2)*V189*Y189*VLOOKUP('Données projet'!$B$9,Paramètres!$A$1:$I$89,3,0)*0.475*44/12</f>
        <v>3.0832227176096984E-17</v>
      </c>
      <c r="AC189" s="22">
        <f t="shared" si="163"/>
        <v>19.960758178066737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294.45857786714919</v>
      </c>
      <c r="AO189" s="59">
        <f t="shared" si="144"/>
        <v>221.9773436301067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25.29374869547194</v>
      </c>
      <c r="AV189" s="21">
        <f>EXP(-LN(2)/25)*AV188+(1-EXP(-LN(2)/25))/(LN(2)/25)*Calculateur!AQ189*Calculateur!AS189*VLOOKUP('Données projet'!$B$10,Paramètres!$A$1:$I$89,3,0)*0.475*44/12</f>
        <v>2.5414515449086559</v>
      </c>
      <c r="AW189" s="21">
        <f>EXP(-LN(2)/2)*AW188+(1-EXP(-LN(2)/2))/(LN(2)/2)*AQ189*AT189*VLOOKUP('Données projet'!$B$10,Paramètres!$A$1:$I$89,3,0)*0.475*44/12</f>
        <v>1.130343613823666E-14</v>
      </c>
      <c r="AX189" s="21">
        <f t="shared" si="166"/>
        <v>27.835200240380608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6.3550942286383367E-14</v>
      </c>
      <c r="BF189" s="13">
        <f t="shared" si="167"/>
        <v>1.0064464192543978E-12</v>
      </c>
      <c r="BG189" s="20">
        <f t="shared" si="168"/>
        <v>1.8635787380168604E-12</v>
      </c>
      <c r="BH189" s="59">
        <f t="shared" si="116"/>
        <v>293.33333333333519</v>
      </c>
      <c r="BI189" s="59">
        <f ca="1">AVERAGE(OFFSET($BH$3,0,0,'Données projet'!$E$11+1,1))-AVERAGE(OFFSET($H$3,0,0,'Données projet'!$E$11+1,1))</f>
        <v>304.91676868833792</v>
      </c>
      <c r="BJ189" s="59">
        <f t="shared" si="146"/>
        <v>365.95065044620048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18.115270324317134</v>
      </c>
      <c r="BQ189" s="21">
        <f>EXP(-LN(2)/25)*BQ188+(1-EXP(-LN(2)/25))/(LN(2)/25)*Calculateur!BL189*Calculateur!BN189*VLOOKUP('Données projet'!$B$11,Paramètres!$A$1:$I$89,3,0)*0.475*44/12</f>
        <v>1.5816264242569869</v>
      </c>
      <c r="BR189" s="21">
        <f>EXP(-LN(2)/2)*BR188+(1-EXP(-LN(2)/2))/(LN(2)/2)*BL189*BO189*VLOOKUP('Données projet'!$B$11,Paramètres!$A$1:$I$89,3,0)*0.475*44/12</f>
        <v>5.2104672284494721E-18</v>
      </c>
      <c r="BS189" s="22">
        <f t="shared" si="169"/>
        <v>19.696896748574119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-1.5961632016114892E-13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259.87681411271632</v>
      </c>
      <c r="CE189" s="59">
        <f t="shared" si="148"/>
        <v>191.8684235641158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43.296715517753789</v>
      </c>
      <c r="CL189" s="21">
        <f>EXP(-LN(2)/25)*CL188+(1-EXP(-LN(2)/25))/(LN(2)/25)*Calculateur!CG189*Calculateur!CI189*VLOOKUP('Données projet'!$B$12,Paramètres!$A$1:$I$89,3,0)*0.475*44/12</f>
        <v>5.0474761338423573</v>
      </c>
      <c r="CM189" s="21">
        <f>EXP(-LN(2)/2)*CM188+(1-EXP(-LN(2)/2))/(LN(2)/2)*CG189*CJ189*VLOOKUP('Données projet'!$B$12,Paramètres!$A$1:$I$89,3,0)*0.475*44/12</f>
        <v>5.3406006940231747E-12</v>
      </c>
      <c r="CN189" s="22">
        <f t="shared" si="172"/>
        <v>48.344191651601491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1.7053025658242404E-13</v>
      </c>
      <c r="CU189" s="17">
        <f>CT189*VLOOKUP('Données projet'!$B$13,Paramètres!$A$1:$I$89,3,0)*VLOOKUP('Données projet'!$B$13,Paramètres!$A$1:$I$89,5,0)</f>
        <v>7.9808160080574461E-14</v>
      </c>
      <c r="CV189" s="13">
        <f t="shared" si="173"/>
        <v>1.2308384591775343E-12</v>
      </c>
      <c r="CW189" s="20">
        <f t="shared" si="174"/>
        <v>2.282709528541206E-12</v>
      </c>
      <c r="CX189" s="59">
        <f t="shared" si="122"/>
        <v>293.33333333333559</v>
      </c>
      <c r="CY189" s="59">
        <f ca="1">AVERAGE(OFFSET($CX$3,0,0,'Données projet'!$E$13+1,1))-AVERAGE(OFFSET($H$3,0,0,'Données projet'!$E$13+1,1))</f>
        <v>137.59122085719031</v>
      </c>
      <c r="CZ189" s="59">
        <f t="shared" si="150"/>
        <v>130.1134470448718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23.075652776612856</v>
      </c>
      <c r="DG189" s="21">
        <f>EXP(-LN(2)/25)*DG188+(1-EXP(-LN(2)/25))/(LN(2)/25)*Calculateur!DB189*Calculateur!DD189*VLOOKUP('Données projet'!$B$13,Paramètres!$A$1:$I$89,3,0)*0.475*44/12</f>
        <v>2.6429734041803963</v>
      </c>
      <c r="DH189" s="21">
        <f>EXP(-LN(2)/2)*DH188+(1-EXP(-LN(2)/2))/(LN(2)/2)*DB189*DE189*VLOOKUP('Données projet'!$B$13,Paramètres!$A$1:$I$89,3,0)*0.475*44/12</f>
        <v>2.7526089589434672E-12</v>
      </c>
      <c r="DI189" s="22">
        <f t="shared" si="175"/>
        <v>25.718626180796004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-1.1527845344971866E-13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313.90901812281373</v>
      </c>
      <c r="DU189" s="59">
        <f t="shared" si="152"/>
        <v>210.54265725995265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67.302369066365159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67.302369066365159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-4.5224624045658861E-14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316.52407313312403</v>
      </c>
      <c r="EP189" s="59">
        <f t="shared" si="154"/>
        <v>340.55949748167382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17.788971602457725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17.788971602457725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-5.6843418860808015E-14</v>
      </c>
      <c r="FF189" s="17">
        <f>FE189*VLOOKUP('Données projet'!$B$16,Paramètres!$A$1:$I$89,3,0)*VLOOKUP('Données projet'!$B$16,Paramètres!$A$1:$I$89,5,0)</f>
        <v>-3.7243808037601412E-14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199.99826357281154</v>
      </c>
      <c r="FK189" s="59">
        <f t="shared" si="156"/>
        <v>214.67424457475136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7.6928433777142065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7.6928433777142065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284.60021367910457</v>
      </c>
      <c r="T190" s="59">
        <f t="shared" si="142"/>
        <v>301.41905904220812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17.972798136838104</v>
      </c>
      <c r="AA190" s="21">
        <f>EXP(-LN(2)/25)*AA189+(1-EXP(-LN(2)/25))/(LN(2)/25)*Calculateur!V190*Calculateur!X190*VLOOKUP('Données projet'!$B$9,Paramètres!$A$1:$I$89,3,0)*0.475*44/12</f>
        <v>1.5839444140014589</v>
      </c>
      <c r="AB190" s="21">
        <f>EXP(-LN(2)/2)*AB189+(1-EXP(-LN(2)/2))/(LN(2)/2)*V190*Y190*VLOOKUP('Données projet'!$B$9,Paramètres!$A$1:$I$89,3,0)*0.475*44/12</f>
        <v>2.1801676915302335E-17</v>
      </c>
      <c r="AC190" s="22">
        <f t="shared" si="163"/>
        <v>19.556742550839562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294.45857786714919</v>
      </c>
      <c r="AO190" s="59">
        <f t="shared" si="144"/>
        <v>221.9773436301067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24.797753711217084</v>
      </c>
      <c r="AV190" s="21">
        <f>EXP(-LN(2)/25)*AV189+(1-EXP(-LN(2)/25))/(LN(2)/25)*Calculateur!AQ190*Calculateur!AS190*VLOOKUP('Données projet'!$B$10,Paramètres!$A$1:$I$89,3,0)*0.475*44/12</f>
        <v>2.4719554187640007</v>
      </c>
      <c r="AW190" s="21">
        <f>EXP(-LN(2)/2)*AW189+(1-EXP(-LN(2)/2))/(LN(2)/2)*AQ190*AT190*VLOOKUP('Données projet'!$B$10,Paramètres!$A$1:$I$89,3,0)*0.475*44/12</f>
        <v>7.9927363440562238E-15</v>
      </c>
      <c r="AX190" s="21">
        <f t="shared" si="166"/>
        <v>27.269709129981091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6.3550942286383367E-14</v>
      </c>
      <c r="BF190" s="13">
        <f t="shared" si="167"/>
        <v>1.0064464192543978E-12</v>
      </c>
      <c r="BG190" s="20">
        <f t="shared" si="168"/>
        <v>1.8635787380168604E-12</v>
      </c>
      <c r="BH190" s="59">
        <f t="shared" si="116"/>
        <v>293.33333333333519</v>
      </c>
      <c r="BI190" s="59">
        <f ca="1">AVERAGE(OFFSET($BH$3,0,0,'Données projet'!$E$11+1,1))-AVERAGE(OFFSET($H$3,0,0,'Données projet'!$E$11+1,1))</f>
        <v>304.91676868833792</v>
      </c>
      <c r="BJ190" s="59">
        <f t="shared" si="146"/>
        <v>365.95065044620048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17.760040922481153</v>
      </c>
      <c r="BQ190" s="21">
        <f>EXP(-LN(2)/25)*BQ189+(1-EXP(-LN(2)/25))/(LN(2)/25)*Calculateur!BL190*Calculateur!BN190*VLOOKUP('Données projet'!$B$11,Paramètres!$A$1:$I$89,3,0)*0.475*44/12</f>
        <v>1.5383767665115609</v>
      </c>
      <c r="BR190" s="21">
        <f>EXP(-LN(2)/2)*BR189+(1-EXP(-LN(2)/2))/(LN(2)/2)*BL190*BO190*VLOOKUP('Données projet'!$B$11,Paramètres!$A$1:$I$89,3,0)*0.475*44/12</f>
        <v>3.6843567103868976E-18</v>
      </c>
      <c r="BS190" s="22">
        <f t="shared" si="169"/>
        <v>19.298417688992714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-1.5961632016114892E-13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259.87681411271632</v>
      </c>
      <c r="CE190" s="59">
        <f t="shared" si="148"/>
        <v>191.8684235641158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42.447693334839492</v>
      </c>
      <c r="CL190" s="21">
        <f>EXP(-LN(2)/25)*CL189+(1-EXP(-LN(2)/25))/(LN(2)/25)*Calculateur!CG190*Calculateur!CI190*VLOOKUP('Données projet'!$B$12,Paramètres!$A$1:$I$89,3,0)*0.475*44/12</f>
        <v>4.909452633527204</v>
      </c>
      <c r="CM190" s="21">
        <f>EXP(-LN(2)/2)*CM189+(1-EXP(-LN(2)/2))/(LN(2)/2)*CG190*CJ190*VLOOKUP('Données projet'!$B$12,Paramètres!$A$1:$I$89,3,0)*0.475*44/12</f>
        <v>3.7763749663533688E-12</v>
      </c>
      <c r="CN190" s="22">
        <f t="shared" si="172"/>
        <v>47.357145968370467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1.7053025658242404E-13</v>
      </c>
      <c r="CU190" s="17">
        <f>CT190*VLOOKUP('Données projet'!$B$13,Paramètres!$A$1:$I$89,3,0)*VLOOKUP('Données projet'!$B$13,Paramètres!$A$1:$I$89,5,0)</f>
        <v>7.9808160080574461E-14</v>
      </c>
      <c r="CV190" s="13">
        <f t="shared" si="173"/>
        <v>1.2308384591775343E-12</v>
      </c>
      <c r="CW190" s="20">
        <f t="shared" si="174"/>
        <v>2.282709528541206E-12</v>
      </c>
      <c r="CX190" s="59">
        <f t="shared" si="122"/>
        <v>293.33333333333559</v>
      </c>
      <c r="CY190" s="59">
        <f ca="1">AVERAGE(OFFSET($CX$3,0,0,'Données projet'!$E$13+1,1))-AVERAGE(OFFSET($H$3,0,0,'Données projet'!$E$13+1,1))</f>
        <v>137.59122085719031</v>
      </c>
      <c r="CZ190" s="59">
        <f t="shared" si="150"/>
        <v>130.1134470448718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22.623153300421905</v>
      </c>
      <c r="DG190" s="21">
        <f>EXP(-LN(2)/25)*DG189+(1-EXP(-LN(2)/25))/(LN(2)/25)*Calculateur!DB190*Calculateur!DD190*VLOOKUP('Données projet'!$B$13,Paramètres!$A$1:$I$89,3,0)*0.475*44/12</f>
        <v>2.5707011574551526</v>
      </c>
      <c r="DH190" s="21">
        <f>EXP(-LN(2)/2)*DH189+(1-EXP(-LN(2)/2))/(LN(2)/2)*DB190*DE190*VLOOKUP('Données projet'!$B$13,Paramètres!$A$1:$I$89,3,0)*0.475*44/12</f>
        <v>1.9463884608237686E-12</v>
      </c>
      <c r="DI190" s="22">
        <f t="shared" si="175"/>
        <v>25.193854457879006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-1.1527845344971866E-13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313.90901812281373</v>
      </c>
      <c r="DU190" s="59">
        <f t="shared" si="152"/>
        <v>210.54265725995265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65.982610659365477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65.982610659365477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-4.5224624045658861E-14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316.52407313312403</v>
      </c>
      <c r="EP190" s="59">
        <f t="shared" si="154"/>
        <v>340.55949748167382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17.440140719534838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17.440140719534838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-5.6843418860808015E-14</v>
      </c>
      <c r="FF190" s="17">
        <f>FE190*VLOOKUP('Données projet'!$B$16,Paramètres!$A$1:$I$89,3,0)*VLOOKUP('Données projet'!$B$16,Paramètres!$A$1:$I$89,5,0)</f>
        <v>-3.7243808037601412E-14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199.99826357281154</v>
      </c>
      <c r="FK190" s="59">
        <f t="shared" si="156"/>
        <v>214.67424457475136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7.5419914112483779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7.5419914112483779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284.60021367910457</v>
      </c>
      <c r="T191" s="59">
        <f t="shared" si="142"/>
        <v>301.41905904220812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17.620362527699132</v>
      </c>
      <c r="AA191" s="21">
        <f>EXP(-LN(2)/25)*AA190+(1-EXP(-LN(2)/25))/(LN(2)/25)*Calculateur!V191*Calculateur!X191*VLOOKUP('Données projet'!$B$9,Paramètres!$A$1:$I$89,3,0)*0.475*44/12</f>
        <v>1.5406313707045725</v>
      </c>
      <c r="AB191" s="21">
        <f>EXP(-LN(2)/2)*AB190+(1-EXP(-LN(2)/2))/(LN(2)/2)*V191*Y191*VLOOKUP('Données projet'!$B$9,Paramètres!$A$1:$I$89,3,0)*0.475*44/12</f>
        <v>1.5416113588048492E-17</v>
      </c>
      <c r="AC191" s="22">
        <f t="shared" si="163"/>
        <v>19.160993898403706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294.45857786714919</v>
      </c>
      <c r="AO191" s="59">
        <f t="shared" si="144"/>
        <v>221.9773436301067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24.311484886076396</v>
      </c>
      <c r="AV191" s="21">
        <f>EXP(-LN(2)/25)*AV190+(1-EXP(-LN(2)/25))/(LN(2)/25)*Calculateur!AQ191*Calculateur!AS191*VLOOKUP('Données projet'!$B$10,Paramètres!$A$1:$I$89,3,0)*0.475*44/12</f>
        <v>2.4043596678434134</v>
      </c>
      <c r="AW191" s="21">
        <f>EXP(-LN(2)/2)*AW190+(1-EXP(-LN(2)/2))/(LN(2)/2)*AQ191*AT191*VLOOKUP('Données projet'!$B$10,Paramètres!$A$1:$I$89,3,0)*0.475*44/12</f>
        <v>5.6517180691183302E-15</v>
      </c>
      <c r="AX191" s="21">
        <f t="shared" si="166"/>
        <v>26.715844553919815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6.3550942286383367E-14</v>
      </c>
      <c r="BF191" s="13">
        <f t="shared" si="167"/>
        <v>1.0064464192543978E-12</v>
      </c>
      <c r="BG191" s="20">
        <f t="shared" si="168"/>
        <v>1.8635787380168604E-12</v>
      </c>
      <c r="BH191" s="59">
        <f t="shared" si="116"/>
        <v>293.33333333333519</v>
      </c>
      <c r="BI191" s="59">
        <f ca="1">AVERAGE(OFFSET($BH$3,0,0,'Données projet'!$E$11+1,1))-AVERAGE(OFFSET($H$3,0,0,'Données projet'!$E$11+1,1))</f>
        <v>304.91676868833792</v>
      </c>
      <c r="BJ191" s="59">
        <f t="shared" si="146"/>
        <v>365.95065044620048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17.411777352546633</v>
      </c>
      <c r="BQ191" s="21">
        <f>EXP(-LN(2)/25)*BQ190+(1-EXP(-LN(2)/25))/(LN(2)/25)*Calculateur!BL191*Calculateur!BN191*VLOOKUP('Données projet'!$B$11,Paramètres!$A$1:$I$89,3,0)*0.475*44/12</f>
        <v>1.4963097729315842</v>
      </c>
      <c r="BR191" s="21">
        <f>EXP(-LN(2)/2)*BR190+(1-EXP(-LN(2)/2))/(LN(2)/2)*BL191*BO191*VLOOKUP('Données projet'!$B$11,Paramètres!$A$1:$I$89,3,0)*0.475*44/12</f>
        <v>2.605233614224736E-18</v>
      </c>
      <c r="BS191" s="22">
        <f t="shared" si="169"/>
        <v>18.908087125478218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-1.5961632016114892E-13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259.87681411271632</v>
      </c>
      <c r="CE191" s="59">
        <f t="shared" si="148"/>
        <v>191.8684235641158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41.615319959079748</v>
      </c>
      <c r="CL191" s="21">
        <f>EXP(-LN(2)/25)*CL190+(1-EXP(-LN(2)/25))/(LN(2)/25)*Calculateur!CG191*Calculateur!CI191*VLOOKUP('Données projet'!$B$12,Paramètres!$A$1:$I$89,3,0)*0.475*44/12</f>
        <v>4.7752033930865094</v>
      </c>
      <c r="CM191" s="21">
        <f>EXP(-LN(2)/2)*CM190+(1-EXP(-LN(2)/2))/(LN(2)/2)*CG191*CJ191*VLOOKUP('Données projet'!$B$12,Paramètres!$A$1:$I$89,3,0)*0.475*44/12</f>
        <v>2.6703003470115873E-12</v>
      </c>
      <c r="CN191" s="22">
        <f t="shared" si="172"/>
        <v>46.390523352168927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1.7053025658242404E-13</v>
      </c>
      <c r="CU191" s="17">
        <f>CT191*VLOOKUP('Données projet'!$B$13,Paramètres!$A$1:$I$89,3,0)*VLOOKUP('Données projet'!$B$13,Paramètres!$A$1:$I$89,5,0)</f>
        <v>7.9808160080574461E-14</v>
      </c>
      <c r="CV191" s="13">
        <f t="shared" si="173"/>
        <v>1.2308384591775343E-12</v>
      </c>
      <c r="CW191" s="20">
        <f t="shared" si="174"/>
        <v>2.282709528541206E-12</v>
      </c>
      <c r="CX191" s="59">
        <f t="shared" si="122"/>
        <v>293.33333333333559</v>
      </c>
      <c r="CY191" s="59">
        <f ca="1">AVERAGE(OFFSET($CX$3,0,0,'Données projet'!$E$13+1,1))-AVERAGE(OFFSET($H$3,0,0,'Données projet'!$E$13+1,1))</f>
        <v>137.59122085719031</v>
      </c>
      <c r="CZ191" s="59">
        <f t="shared" si="150"/>
        <v>130.1134470448718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22.179527062961629</v>
      </c>
      <c r="DG191" s="21">
        <f>EXP(-LN(2)/25)*DG190+(1-EXP(-LN(2)/25))/(LN(2)/25)*Calculateur!DB191*Calculateur!DD191*VLOOKUP('Données projet'!$B$13,Paramètres!$A$1:$I$89,3,0)*0.475*44/12</f>
        <v>2.5004051991172429</v>
      </c>
      <c r="DH191" s="21">
        <f>EXP(-LN(2)/2)*DH190+(1-EXP(-LN(2)/2))/(LN(2)/2)*DB191*DE191*VLOOKUP('Données projet'!$B$13,Paramètres!$A$1:$I$89,3,0)*0.475*44/12</f>
        <v>1.3763044794717336E-12</v>
      </c>
      <c r="DI191" s="22">
        <f t="shared" si="175"/>
        <v>24.679932262080246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-1.1527845344971866E-13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313.90901812281373</v>
      </c>
      <c r="DU191" s="59">
        <f t="shared" si="152"/>
        <v>210.54265725995265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64.688731909753912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64.688731909753912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-4.5224624045658861E-14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316.52407313312403</v>
      </c>
      <c r="EP191" s="59">
        <f t="shared" si="154"/>
        <v>340.55949748167382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17.098150197460239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17.098150197460239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-5.6843418860808015E-14</v>
      </c>
      <c r="FF191" s="17">
        <f>FE191*VLOOKUP('Données projet'!$B$16,Paramètres!$A$1:$I$89,3,0)*VLOOKUP('Données projet'!$B$16,Paramètres!$A$1:$I$89,5,0)</f>
        <v>-3.7243808037601412E-14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199.99826357281154</v>
      </c>
      <c r="FK191" s="59">
        <f t="shared" si="156"/>
        <v>214.67424457475136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7.3940975598343304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7.3940975598343304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284.60021367910457</v>
      </c>
      <c r="T192" s="59">
        <f t="shared" si="142"/>
        <v>301.41905904220812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17.274837965890882</v>
      </c>
      <c r="AA192" s="21">
        <f>EXP(-LN(2)/25)*AA191+(1-EXP(-LN(2)/25))/(LN(2)/25)*Calculateur!V192*Calculateur!X192*VLOOKUP('Données projet'!$B$9,Paramètres!$A$1:$I$89,3,0)*0.475*44/12</f>
        <v>1.4985027248543732</v>
      </c>
      <c r="AB192" s="21">
        <f>EXP(-LN(2)/2)*AB191+(1-EXP(-LN(2)/2))/(LN(2)/2)*V192*Y192*VLOOKUP('Données projet'!$B$9,Paramètres!$A$1:$I$89,3,0)*0.475*44/12</f>
        <v>1.0900838457651167E-17</v>
      </c>
      <c r="AC192" s="22">
        <f t="shared" si="163"/>
        <v>18.773340690745254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294.45857786714919</v>
      </c>
      <c r="AO192" s="59">
        <f t="shared" si="144"/>
        <v>221.9773436301067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23.834751496002021</v>
      </c>
      <c r="AV192" s="21">
        <f>EXP(-LN(2)/25)*AV191+(1-EXP(-LN(2)/25))/(LN(2)/25)*Calculateur!AQ192*Calculateur!AS192*VLOOKUP('Données projet'!$B$10,Paramètres!$A$1:$I$89,3,0)*0.475*44/12</f>
        <v>2.3386123262864555</v>
      </c>
      <c r="AW192" s="21">
        <f>EXP(-LN(2)/2)*AW191+(1-EXP(-LN(2)/2))/(LN(2)/2)*AQ192*AT192*VLOOKUP('Données projet'!$B$10,Paramètres!$A$1:$I$89,3,0)*0.475*44/12</f>
        <v>3.9963681720281119E-15</v>
      </c>
      <c r="AX192" s="21">
        <f t="shared" si="166"/>
        <v>26.173363822288479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6.3550942286383367E-14</v>
      </c>
      <c r="BF192" s="13">
        <f t="shared" si="167"/>
        <v>1.0064464192543978E-12</v>
      </c>
      <c r="BG192" s="20">
        <f t="shared" si="168"/>
        <v>1.8635787380168604E-12</v>
      </c>
      <c r="BH192" s="59">
        <f t="shared" si="116"/>
        <v>293.33333333333519</v>
      </c>
      <c r="BI192" s="59">
        <f ca="1">AVERAGE(OFFSET($BH$3,0,0,'Données projet'!$E$11+1,1))-AVERAGE(OFFSET($H$3,0,0,'Données projet'!$E$11+1,1))</f>
        <v>304.91676868833792</v>
      </c>
      <c r="BJ192" s="59">
        <f t="shared" si="146"/>
        <v>365.95065044620048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17.070343018798727</v>
      </c>
      <c r="BQ192" s="21">
        <f>EXP(-LN(2)/25)*BQ191+(1-EXP(-LN(2)/25))/(LN(2)/25)*Calculateur!BL192*Calculateur!BN192*VLOOKUP('Données projet'!$B$11,Paramètres!$A$1:$I$89,3,0)*0.475*44/12</f>
        <v>1.455393103503259</v>
      </c>
      <c r="BR192" s="21">
        <f>EXP(-LN(2)/2)*BR191+(1-EXP(-LN(2)/2))/(LN(2)/2)*BL192*BO192*VLOOKUP('Données projet'!$B$11,Paramètres!$A$1:$I$89,3,0)*0.475*44/12</f>
        <v>1.8421783551934488E-18</v>
      </c>
      <c r="BS192" s="22">
        <f t="shared" si="169"/>
        <v>18.525736122301986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-1.5961632016114892E-13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259.87681411271632</v>
      </c>
      <c r="CE192" s="59">
        <f t="shared" si="148"/>
        <v>191.8684235641158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40.799268917521026</v>
      </c>
      <c r="CL192" s="21">
        <f>EXP(-LN(2)/25)*CL191+(1-EXP(-LN(2)/25))/(LN(2)/25)*Calculateur!CG192*Calculateur!CI192*VLOOKUP('Données projet'!$B$12,Paramètres!$A$1:$I$89,3,0)*0.475*44/12</f>
        <v>4.6446252051855259</v>
      </c>
      <c r="CM192" s="21">
        <f>EXP(-LN(2)/2)*CM191+(1-EXP(-LN(2)/2))/(LN(2)/2)*CG192*CJ192*VLOOKUP('Données projet'!$B$12,Paramètres!$A$1:$I$89,3,0)*0.475*44/12</f>
        <v>1.8881874831766844E-12</v>
      </c>
      <c r="CN192" s="22">
        <f t="shared" si="172"/>
        <v>45.443894122708443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1.7053025658242404E-13</v>
      </c>
      <c r="CU192" s="17">
        <f>CT192*VLOOKUP('Données projet'!$B$13,Paramètres!$A$1:$I$89,3,0)*VLOOKUP('Données projet'!$B$13,Paramètres!$A$1:$I$89,5,0)</f>
        <v>7.9808160080574461E-14</v>
      </c>
      <c r="CV192" s="13">
        <f t="shared" si="173"/>
        <v>1.2308384591775343E-12</v>
      </c>
      <c r="CW192" s="20">
        <f t="shared" si="174"/>
        <v>2.282709528541206E-12</v>
      </c>
      <c r="CX192" s="59">
        <f t="shared" si="122"/>
        <v>293.33333333333559</v>
      </c>
      <c r="CY192" s="59">
        <f ca="1">AVERAGE(OFFSET($CX$3,0,0,'Données projet'!$E$13+1,1))-AVERAGE(OFFSET($H$3,0,0,'Données projet'!$E$13+1,1))</f>
        <v>137.59122085719031</v>
      </c>
      <c r="CZ192" s="59">
        <f t="shared" si="150"/>
        <v>130.1134470448718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21.744600065432664</v>
      </c>
      <c r="DG192" s="21">
        <f>EXP(-LN(2)/25)*DG191+(1-EXP(-LN(2)/25))/(LN(2)/25)*Calculateur!DB192*Calculateur!DD192*VLOOKUP('Données projet'!$B$13,Paramètres!$A$1:$I$89,3,0)*0.475*44/12</f>
        <v>2.4320314874567872</v>
      </c>
      <c r="DH192" s="21">
        <f>EXP(-LN(2)/2)*DH191+(1-EXP(-LN(2)/2))/(LN(2)/2)*DB192*DE192*VLOOKUP('Données projet'!$B$13,Paramètres!$A$1:$I$89,3,0)*0.475*44/12</f>
        <v>9.7319423041188432E-13</v>
      </c>
      <c r="DI192" s="22">
        <f t="shared" si="175"/>
        <v>24.176631552890424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-1.1527845344971866E-13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313.90901812281373</v>
      </c>
      <c r="DU192" s="59">
        <f t="shared" si="152"/>
        <v>210.54265725995265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63.420225333234121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63.420225333234121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-4.5224624045658861E-14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316.52407313312403</v>
      </c>
      <c r="EP192" s="59">
        <f t="shared" si="154"/>
        <v>340.55949748167382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16.762865900929903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16.762865900929903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-5.6843418860808015E-14</v>
      </c>
      <c r="FF192" s="17">
        <f>FE192*VLOOKUP('Données projet'!$B$16,Paramètres!$A$1:$I$89,3,0)*VLOOKUP('Données projet'!$B$16,Paramètres!$A$1:$I$89,5,0)</f>
        <v>-3.7243808037601412E-14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199.99826357281154</v>
      </c>
      <c r="FK192" s="59">
        <f t="shared" si="156"/>
        <v>214.67424457475136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7.2491038166401696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7.2491038166401696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284.60021367910457</v>
      </c>
      <c r="T193" s="59">
        <f t="shared" si="142"/>
        <v>301.41905904220812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16.936088929990518</v>
      </c>
      <c r="AA193" s="21">
        <f>EXP(-LN(2)/25)*AA192+(1-EXP(-LN(2)/25))/(LN(2)/25)*Calculateur!V193*Calculateur!X193*VLOOKUP('Données projet'!$B$9,Paramètres!$A$1:$I$89,3,0)*0.475*44/12</f>
        <v>1.4575260890403969</v>
      </c>
      <c r="AB193" s="21">
        <f>EXP(-LN(2)/2)*AB192+(1-EXP(-LN(2)/2))/(LN(2)/2)*V193*Y193*VLOOKUP('Données projet'!$B$9,Paramètres!$A$1:$I$89,3,0)*0.475*44/12</f>
        <v>7.7080567940242461E-18</v>
      </c>
      <c r="AC193" s="22">
        <f t="shared" si="163"/>
        <v>18.393615019030914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294.45857786714919</v>
      </c>
      <c r="AO193" s="59">
        <f t="shared" si="144"/>
        <v>221.9773436301067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23.367366556928349</v>
      </c>
      <c r="AV193" s="21">
        <f>EXP(-LN(2)/25)*AV192+(1-EXP(-LN(2)/25))/(LN(2)/25)*Calculateur!AQ193*Calculateur!AS193*VLOOKUP('Données projet'!$B$10,Paramètres!$A$1:$I$89,3,0)*0.475*44/12</f>
        <v>2.2746628492418752</v>
      </c>
      <c r="AW193" s="21">
        <f>EXP(-LN(2)/2)*AW192+(1-EXP(-LN(2)/2))/(LN(2)/2)*AQ193*AT193*VLOOKUP('Données projet'!$B$10,Paramètres!$A$1:$I$89,3,0)*0.475*44/12</f>
        <v>2.8258590345591651E-15</v>
      </c>
      <c r="AX193" s="21">
        <f t="shared" si="166"/>
        <v>25.642029406170227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6.3550942286383367E-14</v>
      </c>
      <c r="BF193" s="13">
        <f t="shared" si="167"/>
        <v>1.0064464192543978E-12</v>
      </c>
      <c r="BG193" s="20">
        <f t="shared" si="168"/>
        <v>1.8635787380168604E-12</v>
      </c>
      <c r="BH193" s="59">
        <f t="shared" si="116"/>
        <v>293.33333333333519</v>
      </c>
      <c r="BI193" s="59">
        <f ca="1">AVERAGE(OFFSET($BH$3,0,0,'Données projet'!$E$11+1,1))-AVERAGE(OFFSET($H$3,0,0,'Données projet'!$E$11+1,1))</f>
        <v>304.91676868833792</v>
      </c>
      <c r="BJ193" s="59">
        <f t="shared" si="146"/>
        <v>365.95065044620048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16.735604004081239</v>
      </c>
      <c r="BQ193" s="21">
        <f>EXP(-LN(2)/25)*BQ192+(1-EXP(-LN(2)/25))/(LN(2)/25)*Calculateur!BL193*Calculateur!BN193*VLOOKUP('Données projet'!$B$11,Paramètres!$A$1:$I$89,3,0)*0.475*44/12</f>
        <v>1.4155953025521655</v>
      </c>
      <c r="BR193" s="21">
        <f>EXP(-LN(2)/2)*BR192+(1-EXP(-LN(2)/2))/(LN(2)/2)*BL193*BO193*VLOOKUP('Données projet'!$B$11,Paramètres!$A$1:$I$89,3,0)*0.475*44/12</f>
        <v>1.302616807112368E-18</v>
      </c>
      <c r="BS193" s="22">
        <f t="shared" si="169"/>
        <v>18.151199306633405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-1.5961632016114892E-13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259.87681411271632</v>
      </c>
      <c r="CE193" s="59">
        <f t="shared" si="148"/>
        <v>191.8684235641158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39.99922013914528</v>
      </c>
      <c r="CL193" s="21">
        <f>EXP(-LN(2)/25)*CL192+(1-EXP(-LN(2)/25))/(LN(2)/25)*Calculateur!CG193*Calculateur!CI193*VLOOKUP('Données projet'!$B$12,Paramètres!$A$1:$I$89,3,0)*0.475*44/12</f>
        <v>4.5176176846995038</v>
      </c>
      <c r="CM193" s="21">
        <f>EXP(-LN(2)/2)*CM192+(1-EXP(-LN(2)/2))/(LN(2)/2)*CG193*CJ193*VLOOKUP('Données projet'!$B$12,Paramètres!$A$1:$I$89,3,0)*0.475*44/12</f>
        <v>1.3351501735057937E-12</v>
      </c>
      <c r="CN193" s="22">
        <f t="shared" si="172"/>
        <v>44.516837823846117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1.7053025658242404E-13</v>
      </c>
      <c r="CU193" s="17">
        <f>CT193*VLOOKUP('Données projet'!$B$13,Paramètres!$A$1:$I$89,3,0)*VLOOKUP('Données projet'!$B$13,Paramètres!$A$1:$I$89,5,0)</f>
        <v>7.9808160080574461E-14</v>
      </c>
      <c r="CV193" s="13">
        <f t="shared" si="173"/>
        <v>1.2308384591775343E-12</v>
      </c>
      <c r="CW193" s="20">
        <f t="shared" si="174"/>
        <v>2.282709528541206E-12</v>
      </c>
      <c r="CX193" s="59">
        <f t="shared" si="122"/>
        <v>293.33333333333559</v>
      </c>
      <c r="CY193" s="59">
        <f ca="1">AVERAGE(OFFSET($CX$3,0,0,'Données projet'!$E$13+1,1))-AVERAGE(OFFSET($H$3,0,0,'Données projet'!$E$13+1,1))</f>
        <v>137.59122085719031</v>
      </c>
      <c r="CZ193" s="59">
        <f t="shared" si="150"/>
        <v>130.1134470448718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21.318201721045966</v>
      </c>
      <c r="DG193" s="21">
        <f>EXP(-LN(2)/25)*DG192+(1-EXP(-LN(2)/25))/(LN(2)/25)*Calculateur!DB193*Calculateur!DD193*VLOOKUP('Données projet'!$B$13,Paramètres!$A$1:$I$89,3,0)*0.475*44/12</f>
        <v>2.3655274585373038</v>
      </c>
      <c r="DH193" s="21">
        <f>EXP(-LN(2)/2)*DH192+(1-EXP(-LN(2)/2))/(LN(2)/2)*DB193*DE193*VLOOKUP('Données projet'!$B$13,Paramètres!$A$1:$I$89,3,0)*0.475*44/12</f>
        <v>6.881522397358668E-13</v>
      </c>
      <c r="DI193" s="22">
        <f t="shared" si="175"/>
        <v>23.68372917958396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-1.1527845344971866E-13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313.90901812281373</v>
      </c>
      <c r="DU193" s="59">
        <f t="shared" si="152"/>
        <v>210.54265725995265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62.17659339696727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62.17659339696727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-4.5224624045658861E-14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316.52407313312403</v>
      </c>
      <c r="EP193" s="59">
        <f t="shared" si="154"/>
        <v>340.55949748167382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16.434156324951296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16.434156324951296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-5.6843418860808015E-14</v>
      </c>
      <c r="FF193" s="17">
        <f>FE193*VLOOKUP('Données projet'!$B$16,Paramètres!$A$1:$I$89,3,0)*VLOOKUP('Données projet'!$B$16,Paramètres!$A$1:$I$89,5,0)</f>
        <v>-3.7243808037601412E-14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199.99826357281154</v>
      </c>
      <c r="FK193" s="59">
        <f t="shared" si="156"/>
        <v>214.67424457475136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7.1069533123125952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7.1069533123125952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284.60021367910457</v>
      </c>
      <c r="T194" s="59">
        <f t="shared" si="142"/>
        <v>301.41905904220812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16.603982556067649</v>
      </c>
      <c r="AA194" s="21">
        <f>EXP(-LN(2)/25)*AA193+(1-EXP(-LN(2)/25))/(LN(2)/25)*Calculateur!V194*Calculateur!X194*VLOOKUP('Données projet'!$B$9,Paramètres!$A$1:$I$89,3,0)*0.475*44/12</f>
        <v>1.4176699614876214</v>
      </c>
      <c r="AB194" s="21">
        <f>EXP(-LN(2)/2)*AB193+(1-EXP(-LN(2)/2))/(LN(2)/2)*V194*Y194*VLOOKUP('Données projet'!$B$9,Paramètres!$A$1:$I$89,3,0)*0.475*44/12</f>
        <v>5.4504192288255837E-18</v>
      </c>
      <c r="AC194" s="22">
        <f t="shared" si="163"/>
        <v>18.021652517555271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294.45857786714919</v>
      </c>
      <c r="AO194" s="59">
        <f t="shared" si="144"/>
        <v>221.9773436301067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22.909146751433248</v>
      </c>
      <c r="AV194" s="21">
        <f>EXP(-LN(2)/25)*AV193+(1-EXP(-LN(2)/25))/(LN(2)/25)*Calculateur!AQ194*Calculateur!AS194*VLOOKUP('Données projet'!$B$10,Paramètres!$A$1:$I$89,3,0)*0.475*44/12</f>
        <v>2.2124620740100358</v>
      </c>
      <c r="AW194" s="21">
        <f>EXP(-LN(2)/2)*AW193+(1-EXP(-LN(2)/2))/(LN(2)/2)*AQ194*AT194*VLOOKUP('Données projet'!$B$10,Paramètres!$A$1:$I$89,3,0)*0.475*44/12</f>
        <v>1.998184086014056E-15</v>
      </c>
      <c r="AX194" s="21">
        <f t="shared" si="166"/>
        <v>25.121608825443285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6.3550942286383367E-14</v>
      </c>
      <c r="BF194" s="13">
        <f t="shared" si="167"/>
        <v>1.0064464192543978E-12</v>
      </c>
      <c r="BG194" s="20">
        <f t="shared" si="168"/>
        <v>1.8635787380168604E-12</v>
      </c>
      <c r="BH194" s="59">
        <f t="shared" si="116"/>
        <v>293.33333333333519</v>
      </c>
      <c r="BI194" s="59">
        <f ca="1">AVERAGE(OFFSET($BH$3,0,0,'Données projet'!$E$11+1,1))-AVERAGE(OFFSET($H$3,0,0,'Données projet'!$E$11+1,1))</f>
        <v>304.91676868833792</v>
      </c>
      <c r="BJ194" s="59">
        <f t="shared" si="146"/>
        <v>365.95065044620048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16.407429017271721</v>
      </c>
      <c r="BQ194" s="21">
        <f>EXP(-LN(2)/25)*BQ193+(1-EXP(-LN(2)/25))/(LN(2)/25)*Calculateur!BL194*Calculateur!BN194*VLOOKUP('Données projet'!$B$11,Paramètres!$A$1:$I$89,3,0)*0.475*44/12</f>
        <v>1.3768857745609548</v>
      </c>
      <c r="BR194" s="21">
        <f>EXP(-LN(2)/2)*BR193+(1-EXP(-LN(2)/2))/(LN(2)/2)*BL194*BO194*VLOOKUP('Données projet'!$B$11,Paramètres!$A$1:$I$89,3,0)*0.475*44/12</f>
        <v>9.2108917759672439E-19</v>
      </c>
      <c r="BS194" s="22">
        <f t="shared" si="169"/>
        <v>17.784314791832674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-1.5961632016114892E-13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259.87681411271632</v>
      </c>
      <c r="CE194" s="59">
        <f t="shared" si="148"/>
        <v>191.8684235641158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39.214859829331914</v>
      </c>
      <c r="CL194" s="21">
        <f>EXP(-LN(2)/25)*CL193+(1-EXP(-LN(2)/25))/(LN(2)/25)*Calculateur!CG194*Calculateur!CI194*VLOOKUP('Données projet'!$B$12,Paramètres!$A$1:$I$89,3,0)*0.475*44/12</f>
        <v>4.394083191540207</v>
      </c>
      <c r="CM194" s="21">
        <f>EXP(-LN(2)/2)*CM193+(1-EXP(-LN(2)/2))/(LN(2)/2)*CG194*CJ194*VLOOKUP('Données projet'!$B$12,Paramètres!$A$1:$I$89,3,0)*0.475*44/12</f>
        <v>9.440937415883422E-13</v>
      </c>
      <c r="CN194" s="22">
        <f t="shared" si="172"/>
        <v>43.608943020873063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1.7053025658242404E-13</v>
      </c>
      <c r="CU194" s="17">
        <f>CT194*VLOOKUP('Données projet'!$B$13,Paramètres!$A$1:$I$89,3,0)*VLOOKUP('Données projet'!$B$13,Paramètres!$A$1:$I$89,5,0)</f>
        <v>7.9808160080574461E-14</v>
      </c>
      <c r="CV194" s="13">
        <f t="shared" si="173"/>
        <v>1.2308384591775343E-12</v>
      </c>
      <c r="CW194" s="20">
        <f t="shared" si="174"/>
        <v>2.282709528541206E-12</v>
      </c>
      <c r="CX194" s="59">
        <f t="shared" si="122"/>
        <v>293.33333333333559</v>
      </c>
      <c r="CY194" s="59">
        <f ca="1">AVERAGE(OFFSET($CX$3,0,0,'Données projet'!$E$13+1,1))-AVERAGE(OFFSET($H$3,0,0,'Données projet'!$E$13+1,1))</f>
        <v>137.59122085719031</v>
      </c>
      <c r="CZ194" s="59">
        <f t="shared" si="150"/>
        <v>130.1134470448718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20.900164788115383</v>
      </c>
      <c r="DG194" s="21">
        <f>EXP(-LN(2)/25)*DG193+(1-EXP(-LN(2)/25))/(LN(2)/25)*Calculateur!DB194*Calculateur!DD194*VLOOKUP('Données projet'!$B$13,Paramètres!$A$1:$I$89,3,0)*0.475*44/12</f>
        <v>2.3008419857859188</v>
      </c>
      <c r="DH194" s="21">
        <f>EXP(-LN(2)/2)*DH193+(1-EXP(-LN(2)/2))/(LN(2)/2)*DB194*DE194*VLOOKUP('Données projet'!$B$13,Paramètres!$A$1:$I$89,3,0)*0.475*44/12</f>
        <v>4.8659711520594216E-13</v>
      </c>
      <c r="DI194" s="22">
        <f t="shared" si="175"/>
        <v>23.201006773901788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-1.1527845344971866E-13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313.90901812281373</v>
      </c>
      <c r="DU194" s="59">
        <f t="shared" si="152"/>
        <v>210.54265725995265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60.957348324430029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60.957348324430029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-4.5224624045658861E-14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316.52407313312403</v>
      </c>
      <c r="EP194" s="59">
        <f t="shared" si="154"/>
        <v>340.55949748167382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16.111892543264588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16.111892543264588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-5.6843418860808015E-14</v>
      </c>
      <c r="FF194" s="17">
        <f>FE194*VLOOKUP('Données projet'!$B$16,Paramètres!$A$1:$I$89,3,0)*VLOOKUP('Données projet'!$B$16,Paramètres!$A$1:$I$89,5,0)</f>
        <v>-3.7243808037601412E-14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199.99826357281154</v>
      </c>
      <c r="FK194" s="59">
        <f t="shared" si="156"/>
        <v>214.67424457475136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6.9675902926716384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6.9675902926716384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284.60021367910457</v>
      </c>
      <c r="T195" s="59">
        <f t="shared" si="142"/>
        <v>301.41905904220812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16.278388585572522</v>
      </c>
      <c r="AA195" s="21">
        <f>EXP(-LN(2)/25)*AA194+(1-EXP(-LN(2)/25))/(LN(2)/25)*Calculateur!V195*Calculateur!X195*VLOOKUP('Données projet'!$B$9,Paramètres!$A$1:$I$89,3,0)*0.475*44/12</f>
        <v>1.3789037018387191</v>
      </c>
      <c r="AB195" s="21">
        <f>EXP(-LN(2)/2)*AB194+(1-EXP(-LN(2)/2))/(LN(2)/2)*V195*Y195*VLOOKUP('Données projet'!$B$9,Paramètres!$A$1:$I$89,3,0)*0.475*44/12</f>
        <v>3.8540283970121231E-18</v>
      </c>
      <c r="AC195" s="22">
        <f t="shared" si="163"/>
        <v>17.657292287411241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294.45857786714919</v>
      </c>
      <c r="AO195" s="59">
        <f t="shared" si="144"/>
        <v>221.9773436301067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22.459912356837421</v>
      </c>
      <c r="AV195" s="21">
        <f>EXP(-LN(2)/25)*AV194+(1-EXP(-LN(2)/25))/(LN(2)/25)*Calculateur!AQ195*Calculateur!AS195*VLOOKUP('Données projet'!$B$10,Paramètres!$A$1:$I$89,3,0)*0.475*44/12</f>
        <v>2.1519621822479076</v>
      </c>
      <c r="AW195" s="21">
        <f>EXP(-LN(2)/2)*AW194+(1-EXP(-LN(2)/2))/(LN(2)/2)*AQ195*AT195*VLOOKUP('Données projet'!$B$10,Paramètres!$A$1:$I$89,3,0)*0.475*44/12</f>
        <v>1.4129295172795826E-15</v>
      </c>
      <c r="AX195" s="21">
        <f t="shared" si="166"/>
        <v>24.611874539085328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6.3550942286383367E-14</v>
      </c>
      <c r="BF195" s="13">
        <f t="shared" si="167"/>
        <v>1.0064464192543978E-12</v>
      </c>
      <c r="BG195" s="20">
        <f t="shared" si="168"/>
        <v>1.8635787380168604E-12</v>
      </c>
      <c r="BH195" s="59">
        <f t="shared" si="116"/>
        <v>293.33333333333519</v>
      </c>
      <c r="BI195" s="59">
        <f ca="1">AVERAGE(OFFSET($BH$3,0,0,'Données projet'!$E$11+1,1))-AVERAGE(OFFSET($H$3,0,0,'Données projet'!$E$11+1,1))</f>
        <v>304.91676868833792</v>
      </c>
      <c r="BJ195" s="59">
        <f t="shared" si="146"/>
        <v>365.95065044620048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16.085689341786559</v>
      </c>
      <c r="BQ195" s="21">
        <f>EXP(-LN(2)/25)*BQ194+(1-EXP(-LN(2)/25))/(LN(2)/25)*Calculateur!BL195*Calculateur!BN195*VLOOKUP('Données projet'!$B$11,Paramètres!$A$1:$I$89,3,0)*0.475*44/12</f>
        <v>1.3392347606483095</v>
      </c>
      <c r="BR195" s="21">
        <f>EXP(-LN(2)/2)*BR194+(1-EXP(-LN(2)/2))/(LN(2)/2)*BL195*BO195*VLOOKUP('Données projet'!$B$11,Paramètres!$A$1:$I$89,3,0)*0.475*44/12</f>
        <v>6.5130840355618401E-19</v>
      </c>
      <c r="BS195" s="22">
        <f t="shared" si="169"/>
        <v>17.424924102434868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-1.5961632016114892E-13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259.87681411271632</v>
      </c>
      <c r="CE195" s="59">
        <f t="shared" si="148"/>
        <v>191.8684235641158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38.445880346781436</v>
      </c>
      <c r="CL195" s="21">
        <f>EXP(-LN(2)/25)*CL194+(1-EXP(-LN(2)/25))/(LN(2)/25)*Calculateur!CG195*Calculateur!CI195*VLOOKUP('Données projet'!$B$12,Paramètres!$A$1:$I$89,3,0)*0.475*44/12</f>
        <v>4.2739267555927478</v>
      </c>
      <c r="CM195" s="21">
        <f>EXP(-LN(2)/2)*CM194+(1-EXP(-LN(2)/2))/(LN(2)/2)*CG195*CJ195*VLOOKUP('Données projet'!$B$12,Paramètres!$A$1:$I$89,3,0)*0.475*44/12</f>
        <v>6.6757508675289683E-13</v>
      </c>
      <c r="CN195" s="22">
        <f t="shared" si="172"/>
        <v>42.719807102374851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1.7053025658242404E-13</v>
      </c>
      <c r="CU195" s="17">
        <f>CT195*VLOOKUP('Données projet'!$B$13,Paramètres!$A$1:$I$89,3,0)*VLOOKUP('Données projet'!$B$13,Paramètres!$A$1:$I$89,5,0)</f>
        <v>7.9808160080574461E-14</v>
      </c>
      <c r="CV195" s="13">
        <f t="shared" si="173"/>
        <v>1.2308384591775343E-12</v>
      </c>
      <c r="CW195" s="20">
        <f t="shared" si="174"/>
        <v>2.282709528541206E-12</v>
      </c>
      <c r="CX195" s="59">
        <f t="shared" si="122"/>
        <v>293.33333333333559</v>
      </c>
      <c r="CY195" s="59">
        <f ca="1">AVERAGE(OFFSET($CX$3,0,0,'Données projet'!$E$13+1,1))-AVERAGE(OFFSET($H$3,0,0,'Données projet'!$E$13+1,1))</f>
        <v>137.59122085719031</v>
      </c>
      <c r="CZ195" s="59">
        <f t="shared" si="150"/>
        <v>130.1134470448718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20.490325304462218</v>
      </c>
      <c r="DG195" s="21">
        <f>EXP(-LN(2)/25)*DG194+(1-EXP(-LN(2)/25))/(LN(2)/25)*Calculateur!DB195*Calculateur!DD195*VLOOKUP('Données projet'!$B$13,Paramètres!$A$1:$I$89,3,0)*0.475*44/12</f>
        <v>2.2379253406885815</v>
      </c>
      <c r="DH195" s="21">
        <f>EXP(-LN(2)/2)*DH194+(1-EXP(-LN(2)/2))/(LN(2)/2)*DB195*DE195*VLOOKUP('Données projet'!$B$13,Paramètres!$A$1:$I$89,3,0)*0.475*44/12</f>
        <v>3.440761198679334E-13</v>
      </c>
      <c r="DI195" s="22">
        <f t="shared" si="175"/>
        <v>22.728250645151142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-1.1527845344971866E-13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313.90901812281373</v>
      </c>
      <c r="DU195" s="59">
        <f t="shared" si="152"/>
        <v>210.54265725995265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59.762011904099182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59.762011904099182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-4.5224624045658861E-14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316.52407313312403</v>
      </c>
      <c r="EP195" s="59">
        <f t="shared" si="154"/>
        <v>340.55949748167382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15.795948157775257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15.795948157775257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-5.6843418860808015E-14</v>
      </c>
      <c r="FF195" s="17">
        <f>FE195*VLOOKUP('Données projet'!$B$16,Paramètres!$A$1:$I$89,3,0)*VLOOKUP('Données projet'!$B$16,Paramètres!$A$1:$I$89,5,0)</f>
        <v>-3.7243808037601412E-14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199.99826357281154</v>
      </c>
      <c r="FK195" s="59">
        <f t="shared" si="156"/>
        <v>214.67424457475136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6.8309600968427926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6.8309600968427926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284.60021367910457</v>
      </c>
      <c r="T196" s="59">
        <f t="shared" si="142"/>
        <v>301.41905904220812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15.959179314246091</v>
      </c>
      <c r="AA196" s="21">
        <f>EXP(-LN(2)/25)*AA195+(1-EXP(-LN(2)/25))/(LN(2)/25)*Calculateur!V196*Calculateur!X196*VLOOKUP('Données projet'!$B$9,Paramètres!$A$1:$I$89,3,0)*0.475*44/12</f>
        <v>1.3411975075985452</v>
      </c>
      <c r="AB196" s="21">
        <f>EXP(-LN(2)/2)*AB195+(1-EXP(-LN(2)/2))/(LN(2)/2)*V196*Y196*VLOOKUP('Données projet'!$B$9,Paramètres!$A$1:$I$89,3,0)*0.475*44/12</f>
        <v>2.7252096144127918E-18</v>
      </c>
      <c r="AC196" s="22">
        <f t="shared" si="163"/>
        <v>17.300376821844637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294.45857786714919</v>
      </c>
      <c r="AO196" s="59">
        <f t="shared" si="144"/>
        <v>221.9773436301067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22.019487174713692</v>
      </c>
      <c r="AV196" s="21">
        <f>EXP(-LN(2)/25)*AV195+(1-EXP(-LN(2)/25))/(LN(2)/25)*Calculateur!AQ196*Calculateur!AS196*VLOOKUP('Données projet'!$B$10,Paramètres!$A$1:$I$89,3,0)*0.475*44/12</f>
        <v>2.093116663207566</v>
      </c>
      <c r="AW196" s="21">
        <f>EXP(-LN(2)/2)*AW195+(1-EXP(-LN(2)/2))/(LN(2)/2)*AQ196*AT196*VLOOKUP('Données projet'!$B$10,Paramètres!$A$1:$I$89,3,0)*0.475*44/12</f>
        <v>9.9909204300702798E-16</v>
      </c>
      <c r="AX196" s="21">
        <f t="shared" si="166"/>
        <v>24.112603837921259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6.3550942286383367E-14</v>
      </c>
      <c r="BF196" s="13">
        <f t="shared" si="167"/>
        <v>1.0064464192543978E-12</v>
      </c>
      <c r="BG196" s="20">
        <f t="shared" si="168"/>
        <v>1.8635787380168604E-12</v>
      </c>
      <c r="BH196" s="59">
        <f t="shared" ref="BH196:BH203" si="194">BG196+(AY196+AZ196)*44/12</f>
        <v>293.33333333333519</v>
      </c>
      <c r="BI196" s="59">
        <f ca="1">AVERAGE(OFFSET($BH$3,0,0,'Données projet'!$E$11+1,1))-AVERAGE(OFFSET($H$3,0,0,'Données projet'!$E$11+1,1))</f>
        <v>304.91676868833792</v>
      </c>
      <c r="BJ196" s="59">
        <f t="shared" si="146"/>
        <v>365.95065044620048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15.770258785095837</v>
      </c>
      <c r="BQ196" s="21">
        <f>EXP(-LN(2)/25)*BQ195+(1-EXP(-LN(2)/25))/(LN(2)/25)*Calculateur!BL196*Calculateur!BN196*VLOOKUP('Données projet'!$B$11,Paramètres!$A$1:$I$89,3,0)*0.475*44/12</f>
        <v>1.3026133156910862</v>
      </c>
      <c r="BR196" s="21">
        <f>EXP(-LN(2)/2)*BR195+(1-EXP(-LN(2)/2))/(LN(2)/2)*BL196*BO196*VLOOKUP('Données projet'!$B$11,Paramètres!$A$1:$I$89,3,0)*0.475*44/12</f>
        <v>4.605445887983622E-19</v>
      </c>
      <c r="BS196" s="22">
        <f t="shared" si="169"/>
        <v>17.072872100786924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-1.5961632016114892E-13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259.87681411271632</v>
      </c>
      <c r="CE196" s="59">
        <f t="shared" si="148"/>
        <v>191.8684235641158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37.691980082852602</v>
      </c>
      <c r="CL196" s="21">
        <f>EXP(-LN(2)/25)*CL195+(1-EXP(-LN(2)/25))/(LN(2)/25)*Calculateur!CG196*Calculateur!CI196*VLOOKUP('Données projet'!$B$12,Paramètres!$A$1:$I$89,3,0)*0.475*44/12</f>
        <v>4.1570560037050246</v>
      </c>
      <c r="CM196" s="21">
        <f>EXP(-LN(2)/2)*CM195+(1-EXP(-LN(2)/2))/(LN(2)/2)*CG196*CJ196*VLOOKUP('Données projet'!$B$12,Paramètres!$A$1:$I$89,3,0)*0.475*44/12</f>
        <v>4.720468707941711E-13</v>
      </c>
      <c r="CN196" s="22">
        <f t="shared" si="172"/>
        <v>41.849036086558094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1.7053025658242404E-13</v>
      </c>
      <c r="CU196" s="17">
        <f>CT196*VLOOKUP('Données projet'!$B$13,Paramètres!$A$1:$I$89,3,0)*VLOOKUP('Données projet'!$B$13,Paramètres!$A$1:$I$89,5,0)</f>
        <v>7.9808160080574461E-14</v>
      </c>
      <c r="CV196" s="13">
        <f t="shared" si="173"/>
        <v>1.2308384591775343E-12</v>
      </c>
      <c r="CW196" s="20">
        <f t="shared" si="174"/>
        <v>2.282709528541206E-12</v>
      </c>
      <c r="CX196" s="59">
        <f t="shared" ref="CX196:CX203" si="196">CW196+(CO196+CP196)*44/12</f>
        <v>293.33333333333559</v>
      </c>
      <c r="CY196" s="59">
        <f ca="1">AVERAGE(OFFSET($CX$3,0,0,'Données projet'!$E$13+1,1))-AVERAGE(OFFSET($H$3,0,0,'Données projet'!$E$13+1,1))</f>
        <v>137.59122085719031</v>
      </c>
      <c r="CZ196" s="59">
        <f t="shared" si="150"/>
        <v>130.1134470448718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20.088522523106089</v>
      </c>
      <c r="DG196" s="21">
        <f>EXP(-LN(2)/25)*DG195+(1-EXP(-LN(2)/25))/(LN(2)/25)*Calculateur!DB196*Calculateur!DD196*VLOOKUP('Données projet'!$B$13,Paramètres!$A$1:$I$89,3,0)*0.475*44/12</f>
        <v>2.1767291545600735</v>
      </c>
      <c r="DH196" s="21">
        <f>EXP(-LN(2)/2)*DH195+(1-EXP(-LN(2)/2))/(LN(2)/2)*DB196*DE196*VLOOKUP('Données projet'!$B$13,Paramètres!$A$1:$I$89,3,0)*0.475*44/12</f>
        <v>2.4329855760297108E-13</v>
      </c>
      <c r="DI196" s="22">
        <f t="shared" si="175"/>
        <v>22.265251677666406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-1.1527845344971866E-13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313.90901812281373</v>
      </c>
      <c r="DU196" s="59">
        <f t="shared" si="152"/>
        <v>210.54265725995265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58.590115301887799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58.590115301887799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-4.5224624045658861E-14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316.52407313312403</v>
      </c>
      <c r="EP196" s="59">
        <f t="shared" si="154"/>
        <v>340.55949748167382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15.486199248978325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15.486199248978325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-5.6843418860808015E-14</v>
      </c>
      <c r="FF196" s="17">
        <f>FE196*VLOOKUP('Données projet'!$B$16,Paramètres!$A$1:$I$89,3,0)*VLOOKUP('Données projet'!$B$16,Paramètres!$A$1:$I$89,5,0)</f>
        <v>-3.7243808037601412E-14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199.99826357281154</v>
      </c>
      <c r="FK196" s="59">
        <f t="shared" si="156"/>
        <v>214.67424457475136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6.6970091358179591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6.6970091358179591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284.60021367910457</v>
      </c>
      <c r="T197" s="59">
        <f t="shared" ref="T197:T203" si="204">$T$3</f>
        <v>301.41905904220812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15.646229542031941</v>
      </c>
      <c r="AA197" s="21">
        <f>EXP(-LN(2)/25)*AA196+(1-EXP(-LN(2)/25))/(LN(2)/25)*Calculateur!V197*Calculateur!X197*VLOOKUP('Données projet'!$B$9,Paramètres!$A$1:$I$89,3,0)*0.475*44/12</f>
        <v>1.3045223912227513</v>
      </c>
      <c r="AB197" s="21">
        <f>EXP(-LN(2)/2)*AB196+(1-EXP(-LN(2)/2))/(LN(2)/2)*V197*Y197*VLOOKUP('Données projet'!$B$9,Paramètres!$A$1:$I$89,3,0)*0.475*44/12</f>
        <v>1.9270141985060615E-18</v>
      </c>
      <c r="AC197" s="22">
        <f t="shared" si="163"/>
        <v>16.950751933254693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294.45857786714919</v>
      </c>
      <c r="AO197" s="59">
        <f t="shared" ref="AO197:AO203" si="205">$AO$3</f>
        <v>221.9773436301067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21.587698461778576</v>
      </c>
      <c r="AV197" s="21">
        <f>EXP(-LN(2)/25)*AV196+(1-EXP(-LN(2)/25))/(LN(2)/25)*Calculateur!AQ197*Calculateur!AS197*VLOOKUP('Données projet'!$B$10,Paramètres!$A$1:$I$89,3,0)*0.475*44/12</f>
        <v>2.0358802779799334</v>
      </c>
      <c r="AW197" s="21">
        <f>EXP(-LN(2)/2)*AW196+(1-EXP(-LN(2)/2))/(LN(2)/2)*AQ197*AT197*VLOOKUP('Données projet'!$B$10,Paramètres!$A$1:$I$89,3,0)*0.475*44/12</f>
        <v>7.0646475863979128E-16</v>
      </c>
      <c r="AX197" s="21">
        <f t="shared" si="166"/>
        <v>23.623578739758511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6.3550942286383367E-14</v>
      </c>
      <c r="BF197" s="13">
        <f t="shared" si="167"/>
        <v>1.0064464192543978E-12</v>
      </c>
      <c r="BG197" s="20">
        <f t="shared" si="168"/>
        <v>1.8635787380168604E-12</v>
      </c>
      <c r="BH197" s="59">
        <f t="shared" si="194"/>
        <v>293.33333333333519</v>
      </c>
      <c r="BI197" s="59">
        <f ca="1">AVERAGE(OFFSET($BH$3,0,0,'Données projet'!$E$11+1,1))-AVERAGE(OFFSET($H$3,0,0,'Données projet'!$E$11+1,1))</f>
        <v>304.91676868833792</v>
      </c>
      <c r="BJ197" s="59">
        <f t="shared" ref="BJ197:BJ203" si="206">$BJ$3</f>
        <v>365.95065044620048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15.461013629228178</v>
      </c>
      <c r="BQ197" s="21">
        <f>EXP(-LN(2)/25)*BQ196+(1-EXP(-LN(2)/25))/(LN(2)/25)*Calculateur!BL197*Calculateur!BN197*VLOOKUP('Données projet'!$B$11,Paramètres!$A$1:$I$89,3,0)*0.475*44/12</f>
        <v>1.2669932860720563</v>
      </c>
      <c r="BR197" s="21">
        <f>EXP(-LN(2)/2)*BR196+(1-EXP(-LN(2)/2))/(LN(2)/2)*BL197*BO197*VLOOKUP('Données projet'!$B$11,Paramètres!$A$1:$I$89,3,0)*0.475*44/12</f>
        <v>3.2565420177809201E-19</v>
      </c>
      <c r="BS197" s="22">
        <f t="shared" si="169"/>
        <v>16.728006915300234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-1.5961632016114892E-13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259.87681411271632</v>
      </c>
      <c r="CE197" s="59">
        <f t="shared" ref="CE197:CE203" si="207">$CE$3</f>
        <v>191.8684235641158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36.952863343265655</v>
      </c>
      <c r="CL197" s="21">
        <f>EXP(-LN(2)/25)*CL196+(1-EXP(-LN(2)/25))/(LN(2)/25)*Calculateur!CG197*Calculateur!CI197*VLOOKUP('Données projet'!$B$12,Paramètres!$A$1:$I$89,3,0)*0.475*44/12</f>
        <v>4.0433810886736365</v>
      </c>
      <c r="CM197" s="21">
        <f>EXP(-LN(2)/2)*CM196+(1-EXP(-LN(2)/2))/(LN(2)/2)*CG197*CJ197*VLOOKUP('Données projet'!$B$12,Paramètres!$A$1:$I$89,3,0)*0.475*44/12</f>
        <v>3.3378754337644842E-13</v>
      </c>
      <c r="CN197" s="22">
        <f t="shared" si="172"/>
        <v>40.996244431939623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1.7053025658242404E-13</v>
      </c>
      <c r="CU197" s="17">
        <f>CT197*VLOOKUP('Données projet'!$B$13,Paramètres!$A$1:$I$89,3,0)*VLOOKUP('Données projet'!$B$13,Paramètres!$A$1:$I$89,5,0)</f>
        <v>7.9808160080574461E-14</v>
      </c>
      <c r="CV197" s="13">
        <f t="shared" si="173"/>
        <v>1.2308384591775343E-12</v>
      </c>
      <c r="CW197" s="20">
        <f t="shared" si="174"/>
        <v>2.282709528541206E-12</v>
      </c>
      <c r="CX197" s="59">
        <f t="shared" si="196"/>
        <v>293.33333333333559</v>
      </c>
      <c r="CY197" s="59">
        <f ca="1">AVERAGE(OFFSET($CX$3,0,0,'Données projet'!$E$13+1,1))-AVERAGE(OFFSET($H$3,0,0,'Données projet'!$E$13+1,1))</f>
        <v>137.59122085719031</v>
      </c>
      <c r="CZ197" s="59">
        <f t="shared" ref="CZ197:CZ203" si="208">$CZ$3</f>
        <v>130.1134470448718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19.694598849216856</v>
      </c>
      <c r="DG197" s="21">
        <f>EXP(-LN(2)/25)*DG196+(1-EXP(-LN(2)/25))/(LN(2)/25)*Calculateur!DB197*Calculateur!DD197*VLOOKUP('Données projet'!$B$13,Paramètres!$A$1:$I$89,3,0)*0.475*44/12</f>
        <v>2.1172063813594169</v>
      </c>
      <c r="DH197" s="21">
        <f>EXP(-LN(2)/2)*DH196+(1-EXP(-LN(2)/2))/(LN(2)/2)*DB197*DE197*VLOOKUP('Données projet'!$B$13,Paramètres!$A$1:$I$89,3,0)*0.475*44/12</f>
        <v>1.720380599339667E-13</v>
      </c>
      <c r="DI197" s="22">
        <f t="shared" si="175"/>
        <v>21.811805230576443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-1.1527845344971866E-13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313.90901812281373</v>
      </c>
      <c r="DU197" s="59">
        <f t="shared" ref="DU197:DU203" si="209">$DU$3</f>
        <v>210.54265725995265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57.441198877259431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57.441198877259431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-4.5224624045658861E-14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316.52407313312403</v>
      </c>
      <c r="EP197" s="59">
        <f t="shared" ref="EP197:EP203" si="210">$EP$3</f>
        <v>340.55949748167382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15.182524327354722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15.182524327354722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-5.6843418860808015E-14</v>
      </c>
      <c r="FF197" s="17">
        <f>FE197*VLOOKUP('Données projet'!$B$16,Paramètres!$A$1:$I$89,3,0)*VLOOKUP('Données projet'!$B$16,Paramètres!$A$1:$I$89,5,0)</f>
        <v>-3.7243808037601412E-14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199.99826357281154</v>
      </c>
      <c r="FK197" s="59">
        <f t="shared" ref="FK197:FK203" si="211">$FK$3</f>
        <v>214.67424457475136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6.5656848714368037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6.5656848714368037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284.60021367910457</v>
      </c>
      <c r="T198" s="59">
        <f t="shared" si="204"/>
        <v>301.41905904220812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15.339416523970398</v>
      </c>
      <c r="AA198" s="21">
        <f>EXP(-LN(2)/25)*AA197+(1-EXP(-LN(2)/25))/(LN(2)/25)*Calculateur!V198*Calculateur!X198*VLOOKUP('Données projet'!$B$9,Paramètres!$A$1:$I$89,3,0)*0.475*44/12</f>
        <v>1.2688501578329141</v>
      </c>
      <c r="AB198" s="21">
        <f>EXP(-LN(2)/2)*AB197+(1-EXP(-LN(2)/2))/(LN(2)/2)*V198*Y198*VLOOKUP('Données projet'!$B$9,Paramètres!$A$1:$I$89,3,0)*0.475*44/12</f>
        <v>1.3626048072063959E-18</v>
      </c>
      <c r="AC198" s="22">
        <f t="shared" si="163"/>
        <v>16.608266681803311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294.45857786714919</v>
      </c>
      <c r="AO198" s="59">
        <f t="shared" si="205"/>
        <v>221.9773436301067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21.164376862139008</v>
      </c>
      <c r="AV198" s="21">
        <f>EXP(-LN(2)/25)*AV197+(1-EXP(-LN(2)/25))/(LN(2)/25)*Calculateur!AQ198*Calculateur!AS198*VLOOKUP('Données projet'!$B$10,Paramètres!$A$1:$I$89,3,0)*0.475*44/12</f>
        <v>1.9802090247162814</v>
      </c>
      <c r="AW198" s="21">
        <f>EXP(-LN(2)/2)*AW197+(1-EXP(-LN(2)/2))/(LN(2)/2)*AQ198*AT198*VLOOKUP('Données projet'!$B$10,Paramètres!$A$1:$I$89,3,0)*0.475*44/12</f>
        <v>4.9954602150351399E-16</v>
      </c>
      <c r="AX198" s="21">
        <f t="shared" si="166"/>
        <v>23.144585886855289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6.3550942286383367E-14</v>
      </c>
      <c r="BF198" s="13">
        <f t="shared" si="167"/>
        <v>1.0064464192543978E-12</v>
      </c>
      <c r="BG198" s="20">
        <f t="shared" si="168"/>
        <v>1.8635787380168604E-12</v>
      </c>
      <c r="BH198" s="59">
        <f t="shared" si="194"/>
        <v>293.33333333333519</v>
      </c>
      <c r="BI198" s="59">
        <f ca="1">AVERAGE(OFFSET($BH$3,0,0,'Données projet'!$E$11+1,1))-AVERAGE(OFFSET($H$3,0,0,'Données projet'!$E$11+1,1))</f>
        <v>304.91676868833792</v>
      </c>
      <c r="BJ198" s="59">
        <f t="shared" si="206"/>
        <v>365.95065044620048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15.157832582246163</v>
      </c>
      <c r="BQ198" s="21">
        <f>EXP(-LN(2)/25)*BQ197+(1-EXP(-LN(2)/25))/(LN(2)/25)*Calculateur!BL198*Calculateur!BN198*VLOOKUP('Données projet'!$B$11,Paramètres!$A$1:$I$89,3,0)*0.475*44/12</f>
        <v>1.2323472880361348</v>
      </c>
      <c r="BR198" s="21">
        <f>EXP(-LN(2)/2)*BR197+(1-EXP(-LN(2)/2))/(LN(2)/2)*BL198*BO198*VLOOKUP('Données projet'!$B$11,Paramètres!$A$1:$I$89,3,0)*0.475*44/12</f>
        <v>2.302722943991811E-19</v>
      </c>
      <c r="BS198" s="22">
        <f t="shared" si="169"/>
        <v>16.390179870282299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-1.5961632016114892E-13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259.87681411271632</v>
      </c>
      <c r="CE198" s="59">
        <f t="shared" si="207"/>
        <v>191.8684235641158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36.228240232125309</v>
      </c>
      <c r="CL198" s="21">
        <f>EXP(-LN(2)/25)*CL197+(1-EXP(-LN(2)/25))/(LN(2)/25)*Calculateur!CG198*Calculateur!CI198*VLOOKUP('Données projet'!$B$12,Paramètres!$A$1:$I$89,3,0)*0.475*44/12</f>
        <v>3.9328146201716856</v>
      </c>
      <c r="CM198" s="21">
        <f>EXP(-LN(2)/2)*CM197+(1-EXP(-LN(2)/2))/(LN(2)/2)*CG198*CJ198*VLOOKUP('Données projet'!$B$12,Paramètres!$A$1:$I$89,3,0)*0.475*44/12</f>
        <v>2.3602343539708555E-13</v>
      </c>
      <c r="CN198" s="22">
        <f t="shared" si="172"/>
        <v>40.161054852297227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1.7053025658242404E-13</v>
      </c>
      <c r="CU198" s="17">
        <f>CT198*VLOOKUP('Données projet'!$B$13,Paramètres!$A$1:$I$89,3,0)*VLOOKUP('Données projet'!$B$13,Paramètres!$A$1:$I$89,5,0)</f>
        <v>7.9808160080574461E-14</v>
      </c>
      <c r="CV198" s="13">
        <f t="shared" si="173"/>
        <v>1.2308384591775343E-12</v>
      </c>
      <c r="CW198" s="20">
        <f t="shared" si="174"/>
        <v>2.282709528541206E-12</v>
      </c>
      <c r="CX198" s="59">
        <f t="shared" si="196"/>
        <v>293.33333333333559</v>
      </c>
      <c r="CY198" s="59">
        <f ca="1">AVERAGE(OFFSET($CX$3,0,0,'Données projet'!$E$13+1,1))-AVERAGE(OFFSET($H$3,0,0,'Données projet'!$E$13+1,1))</f>
        <v>137.59122085719031</v>
      </c>
      <c r="CZ198" s="59">
        <f t="shared" si="208"/>
        <v>130.1134470448718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19.308399778302874</v>
      </c>
      <c r="DG198" s="21">
        <f>EXP(-LN(2)/25)*DG197+(1-EXP(-LN(2)/25))/(LN(2)/25)*Calculateur!DB198*Calculateur!DD198*VLOOKUP('Données projet'!$B$13,Paramètres!$A$1:$I$89,3,0)*0.475*44/12</f>
        <v>2.0593112615220988</v>
      </c>
      <c r="DH198" s="21">
        <f>EXP(-LN(2)/2)*DH197+(1-EXP(-LN(2)/2))/(LN(2)/2)*DB198*DE198*VLOOKUP('Données projet'!$B$13,Paramètres!$A$1:$I$89,3,0)*0.475*44/12</f>
        <v>1.2164927880148554E-13</v>
      </c>
      <c r="DI198" s="22">
        <f t="shared" si="175"/>
        <v>21.367711039825092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-1.1527845344971866E-13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313.90901812281373</v>
      </c>
      <c r="DU198" s="59">
        <f t="shared" si="209"/>
        <v>210.54265725995265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56.314812002948202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56.314812002948202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-4.5224624045658861E-14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316.52407313312403</v>
      </c>
      <c r="EP198" s="59">
        <f t="shared" si="210"/>
        <v>340.55949748167382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14.884804285720744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14.884804285720744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-5.6843418860808015E-14</v>
      </c>
      <c r="FF198" s="17">
        <f>FE198*VLOOKUP('Données projet'!$B$16,Paramètres!$A$1:$I$89,3,0)*VLOOKUP('Données projet'!$B$16,Paramètres!$A$1:$I$89,5,0)</f>
        <v>-3.7243808037601412E-14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199.99826357281154</v>
      </c>
      <c r="FK198" s="59">
        <f t="shared" si="211"/>
        <v>214.67424457475136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6.4369357957802711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6.4369357957802711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284.60021367910457</v>
      </c>
      <c r="T199" s="59">
        <f t="shared" si="204"/>
        <v>301.41905904220812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15.038619922055577</v>
      </c>
      <c r="AA199" s="21">
        <f>EXP(-LN(2)/25)*AA198+(1-EXP(-LN(2)/25))/(LN(2)/25)*Calculateur!V199*Calculateur!X199*VLOOKUP('Données projet'!$B$9,Paramètres!$A$1:$I$89,3,0)*0.475*44/12</f>
        <v>1.2341533835410432</v>
      </c>
      <c r="AB199" s="21">
        <f>EXP(-LN(2)/2)*AB198+(1-EXP(-LN(2)/2))/(LN(2)/2)*V199*Y199*VLOOKUP('Données projet'!$B$9,Paramètres!$A$1:$I$89,3,0)*0.475*44/12</f>
        <v>9.6350709925303076E-19</v>
      </c>
      <c r="AC199" s="22">
        <f t="shared" si="163"/>
        <v>16.272773305596619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294.45857786714919</v>
      </c>
      <c r="AO199" s="59">
        <f t="shared" si="205"/>
        <v>221.9773436301067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20.749356340867692</v>
      </c>
      <c r="AV199" s="21">
        <f>EXP(-LN(2)/25)*AV198+(1-EXP(-LN(2)/25))/(LN(2)/25)*Calculateur!AQ199*Calculateur!AS199*VLOOKUP('Données projet'!$B$10,Paramètres!$A$1:$I$89,3,0)*0.475*44/12</f>
        <v>1.926060104800748</v>
      </c>
      <c r="AW199" s="21">
        <f>EXP(-LN(2)/2)*AW198+(1-EXP(-LN(2)/2))/(LN(2)/2)*AQ199*AT199*VLOOKUP('Données projet'!$B$10,Paramètres!$A$1:$I$89,3,0)*0.475*44/12</f>
        <v>3.5323237931989564E-16</v>
      </c>
      <c r="AX199" s="21">
        <f t="shared" si="166"/>
        <v>22.675416445668439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6.3550942286383367E-14</v>
      </c>
      <c r="BF199" s="13">
        <f t="shared" si="167"/>
        <v>1.0064464192543978E-12</v>
      </c>
      <c r="BG199" s="20">
        <f t="shared" si="168"/>
        <v>1.8635787380168604E-12</v>
      </c>
      <c r="BH199" s="59">
        <f t="shared" si="194"/>
        <v>293.33333333333519</v>
      </c>
      <c r="BI199" s="59">
        <f ca="1">AVERAGE(OFFSET($BH$3,0,0,'Données projet'!$E$11+1,1))-AVERAGE(OFFSET($H$3,0,0,'Données projet'!$E$11+1,1))</f>
        <v>304.91676868833792</v>
      </c>
      <c r="BJ199" s="59">
        <f t="shared" si="206"/>
        <v>365.95065044620048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14.860596730673286</v>
      </c>
      <c r="BQ199" s="21">
        <f>EXP(-LN(2)/25)*BQ198+(1-EXP(-LN(2)/25))/(LN(2)/25)*Calculateur!BL199*Calculateur!BN199*VLOOKUP('Données projet'!$B$11,Paramètres!$A$1:$I$89,3,0)*0.475*44/12</f>
        <v>1.1986486866384594</v>
      </c>
      <c r="BR199" s="21">
        <f>EXP(-LN(2)/2)*BR198+(1-EXP(-LN(2)/2))/(LN(2)/2)*BL199*BO199*VLOOKUP('Données projet'!$B$11,Paramètres!$A$1:$I$89,3,0)*0.475*44/12</f>
        <v>1.62827100889046E-19</v>
      </c>
      <c r="BS199" s="22">
        <f t="shared" si="169"/>
        <v>16.059245417311747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-1.5961632016114892E-13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259.87681411271632</v>
      </c>
      <c r="CE199" s="59">
        <f t="shared" si="207"/>
        <v>191.8684235641158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35.517826538217975</v>
      </c>
      <c r="CL199" s="21">
        <f>EXP(-LN(2)/25)*CL198+(1-EXP(-LN(2)/25))/(LN(2)/25)*Calculateur!CG199*Calculateur!CI199*VLOOKUP('Données projet'!$B$12,Paramètres!$A$1:$I$89,3,0)*0.475*44/12</f>
        <v>3.8252715975653584</v>
      </c>
      <c r="CM199" s="21">
        <f>EXP(-LN(2)/2)*CM198+(1-EXP(-LN(2)/2))/(LN(2)/2)*CG199*CJ199*VLOOKUP('Données projet'!$B$12,Paramètres!$A$1:$I$89,3,0)*0.475*44/12</f>
        <v>1.6689377168822421E-13</v>
      </c>
      <c r="CN199" s="22">
        <f t="shared" si="172"/>
        <v>39.343098135783499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1.7053025658242404E-13</v>
      </c>
      <c r="CU199" s="17">
        <f>CT199*VLOOKUP('Données projet'!$B$13,Paramètres!$A$1:$I$89,3,0)*VLOOKUP('Données projet'!$B$13,Paramètres!$A$1:$I$89,5,0)</f>
        <v>7.9808160080574461E-14</v>
      </c>
      <c r="CV199" s="13">
        <f t="shared" si="173"/>
        <v>1.2308384591775343E-12</v>
      </c>
      <c r="CW199" s="20">
        <f t="shared" si="174"/>
        <v>2.282709528541206E-12</v>
      </c>
      <c r="CX199" s="59">
        <f t="shared" si="196"/>
        <v>293.33333333333559</v>
      </c>
      <c r="CY199" s="59">
        <f ca="1">AVERAGE(OFFSET($CX$3,0,0,'Données projet'!$E$13+1,1))-AVERAGE(OFFSET($H$3,0,0,'Données projet'!$E$13+1,1))</f>
        <v>137.59122085719031</v>
      </c>
      <c r="CZ199" s="59">
        <f t="shared" si="208"/>
        <v>130.1134470448718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18.929773835611343</v>
      </c>
      <c r="DG199" s="21">
        <f>EXP(-LN(2)/25)*DG198+(1-EXP(-LN(2)/25))/(LN(2)/25)*Calculateur!DB199*Calculateur!DD199*VLOOKUP('Données projet'!$B$13,Paramètres!$A$1:$I$89,3,0)*0.475*44/12</f>
        <v>2.0029992867813045</v>
      </c>
      <c r="DH199" s="21">
        <f>EXP(-LN(2)/2)*DH198+(1-EXP(-LN(2)/2))/(LN(2)/2)*DB199*DE199*VLOOKUP('Données projet'!$B$13,Paramètres!$A$1:$I$89,3,0)*0.475*44/12</f>
        <v>8.601902996698335E-14</v>
      </c>
      <c r="DI199" s="22">
        <f t="shared" si="175"/>
        <v>20.932773122392732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-1.1527845344971866E-13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313.90901812281373</v>
      </c>
      <c r="DU199" s="59">
        <f t="shared" si="209"/>
        <v>210.54265725995265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55.210512888214062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55.210512888214062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-4.5224624045658861E-14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316.52407313312403</v>
      </c>
      <c r="EP199" s="59">
        <f t="shared" si="210"/>
        <v>340.55949748167382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14.592922352511914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14.592922352511914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-5.6843418860808015E-14</v>
      </c>
      <c r="FF199" s="17">
        <f>FE199*VLOOKUP('Données projet'!$B$16,Paramètres!$A$1:$I$89,3,0)*VLOOKUP('Données projet'!$B$16,Paramètres!$A$1:$I$89,5,0)</f>
        <v>-3.7243808037601412E-14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199.99826357281154</v>
      </c>
      <c r="FK199" s="59">
        <f t="shared" si="211"/>
        <v>214.67424457475136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6.3107114109681808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6.3107114109681808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284.60021367910457</v>
      </c>
      <c r="T200" s="59">
        <f t="shared" si="204"/>
        <v>301.41905904220812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14.743721758036497</v>
      </c>
      <c r="AA200" s="21">
        <f>EXP(-LN(2)/25)*AA199+(1-EXP(-LN(2)/25))/(LN(2)/25)*Calculateur!V200*Calculateur!X200*VLOOKUP('Données projet'!$B$9,Paramètres!$A$1:$I$89,3,0)*0.475*44/12</f>
        <v>1.2004053943668076</v>
      </c>
      <c r="AB200" s="21">
        <f>EXP(-LN(2)/2)*AB199+(1-EXP(-LN(2)/2))/(LN(2)/2)*V200*Y200*VLOOKUP('Données projet'!$B$9,Paramètres!$A$1:$I$89,3,0)*0.475*44/12</f>
        <v>6.8130240360319796E-19</v>
      </c>
      <c r="AC200" s="22">
        <f t="shared" si="163"/>
        <v>15.944127152403304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294.45857786714919</v>
      </c>
      <c r="AO200" s="59">
        <f t="shared" si="205"/>
        <v>221.9773436301067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20.342474118880983</v>
      </c>
      <c r="AV200" s="21">
        <f>EXP(-LN(2)/25)*AV199+(1-EXP(-LN(2)/25))/(LN(2)/25)*Calculateur!AQ200*Calculateur!AS200*VLOOKUP('Données projet'!$B$10,Paramètres!$A$1:$I$89,3,0)*0.475*44/12</f>
        <v>1.8733918899478728</v>
      </c>
      <c r="AW200" s="21">
        <f>EXP(-LN(2)/2)*AW199+(1-EXP(-LN(2)/2))/(LN(2)/2)*AQ200*AT200*VLOOKUP('Données projet'!$B$10,Paramètres!$A$1:$I$89,3,0)*0.475*44/12</f>
        <v>2.4977301075175699E-16</v>
      </c>
      <c r="AX200" s="21">
        <f t="shared" si="166"/>
        <v>22.215866008828854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6.3550942286383367E-14</v>
      </c>
      <c r="BF200" s="13">
        <f t="shared" si="167"/>
        <v>1.0064464192543978E-12</v>
      </c>
      <c r="BG200" s="20">
        <f t="shared" si="168"/>
        <v>1.8635787380168604E-12</v>
      </c>
      <c r="BH200" s="59">
        <f t="shared" si="194"/>
        <v>293.33333333333519</v>
      </c>
      <c r="BI200" s="59">
        <f ca="1">AVERAGE(OFFSET($BH$3,0,0,'Données projet'!$E$11+1,1))-AVERAGE(OFFSET($H$3,0,0,'Données projet'!$E$11+1,1))</f>
        <v>304.91676868833792</v>
      </c>
      <c r="BJ200" s="59">
        <f t="shared" si="206"/>
        <v>365.95065044620048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14.569189492853786</v>
      </c>
      <c r="BQ200" s="21">
        <f>EXP(-LN(2)/25)*BQ199+(1-EXP(-LN(2)/25))/(LN(2)/25)*Calculateur!BL200*Calculateur!BN200*VLOOKUP('Données projet'!$B$11,Paramètres!$A$1:$I$89,3,0)*0.475*44/12</f>
        <v>1.1658715752681359</v>
      </c>
      <c r="BR200" s="21">
        <f>EXP(-LN(2)/2)*BR199+(1-EXP(-LN(2)/2))/(LN(2)/2)*BL200*BO200*VLOOKUP('Données projet'!$B$11,Paramètres!$A$1:$I$89,3,0)*0.475*44/12</f>
        <v>1.1513614719959055E-19</v>
      </c>
      <c r="BS200" s="22">
        <f t="shared" si="169"/>
        <v>15.735061068121922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-1.5961632016114892E-13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259.87681411271632</v>
      </c>
      <c r="CE200" s="59">
        <f t="shared" si="207"/>
        <v>191.8684235641158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34.821343623538596</v>
      </c>
      <c r="CL200" s="21">
        <f>EXP(-LN(2)/25)*CL199+(1-EXP(-LN(2)/25))/(LN(2)/25)*Calculateur!CG200*Calculateur!CI200*VLOOKUP('Données projet'!$B$12,Paramètres!$A$1:$I$89,3,0)*0.475*44/12</f>
        <v>3.7206693445676433</v>
      </c>
      <c r="CM200" s="21">
        <f>EXP(-LN(2)/2)*CM199+(1-EXP(-LN(2)/2))/(LN(2)/2)*CG200*CJ200*VLOOKUP('Données projet'!$B$12,Paramètres!$A$1:$I$89,3,0)*0.475*44/12</f>
        <v>1.1801171769854278E-13</v>
      </c>
      <c r="CN200" s="22">
        <f t="shared" si="172"/>
        <v>38.542012968106363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1.7053025658242404E-13</v>
      </c>
      <c r="CU200" s="17">
        <f>CT200*VLOOKUP('Données projet'!$B$13,Paramètres!$A$1:$I$89,3,0)*VLOOKUP('Données projet'!$B$13,Paramètres!$A$1:$I$89,5,0)</f>
        <v>7.9808160080574461E-14</v>
      </c>
      <c r="CV200" s="13">
        <f t="shared" si="173"/>
        <v>1.2308384591775343E-12</v>
      </c>
      <c r="CW200" s="20">
        <f t="shared" si="174"/>
        <v>2.282709528541206E-12</v>
      </c>
      <c r="CX200" s="59">
        <f t="shared" si="196"/>
        <v>293.33333333333559</v>
      </c>
      <c r="CY200" s="59">
        <f ca="1">AVERAGE(OFFSET($CX$3,0,0,'Données projet'!$E$13+1,1))-AVERAGE(OFFSET($H$3,0,0,'Données projet'!$E$13+1,1))</f>
        <v>137.59122085719031</v>
      </c>
      <c r="CZ200" s="59">
        <f t="shared" si="208"/>
        <v>130.1134470448718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18.558572516716968</v>
      </c>
      <c r="DG200" s="21">
        <f>EXP(-LN(2)/25)*DG199+(1-EXP(-LN(2)/25))/(LN(2)/25)*Calculateur!DB200*Calculateur!DD200*VLOOKUP('Données projet'!$B$13,Paramètres!$A$1:$I$89,3,0)*0.475*44/12</f>
        <v>1.948227165951115</v>
      </c>
      <c r="DH200" s="21">
        <f>EXP(-LN(2)/2)*DH199+(1-EXP(-LN(2)/2))/(LN(2)/2)*DB200*DE200*VLOOKUP('Données projet'!$B$13,Paramètres!$A$1:$I$89,3,0)*0.475*44/12</f>
        <v>6.082463940074277E-14</v>
      </c>
      <c r="DI200" s="22">
        <f t="shared" si="175"/>
        <v>20.506799682668142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-1.1527845344971866E-13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313.90901812281373</v>
      </c>
      <c r="DU200" s="59">
        <f t="shared" si="209"/>
        <v>210.54265725995265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54.127868405563909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54.127868405563909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-4.5224624045658861E-14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316.52407313312403</v>
      </c>
      <c r="EP200" s="59">
        <f t="shared" si="210"/>
        <v>340.55949748167382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14.306764045982909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14.306764045982909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-5.6843418860808015E-14</v>
      </c>
      <c r="FF200" s="17">
        <f>FE200*VLOOKUP('Données projet'!$B$16,Paramètres!$A$1:$I$89,3,0)*VLOOKUP('Données projet'!$B$16,Paramètres!$A$1:$I$89,5,0)</f>
        <v>-3.7243808037601412E-14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199.99826357281154</v>
      </c>
      <c r="FK200" s="59">
        <f t="shared" si="211"/>
        <v>214.67424457475136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6.1869622093529832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6.1869622093529832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284.60021367910457</v>
      </c>
      <c r="T201" s="59">
        <f t="shared" si="204"/>
        <v>301.41905904220812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14.454606367143709</v>
      </c>
      <c r="AA201" s="21">
        <f>EXP(-LN(2)/25)*AA200+(1-EXP(-LN(2)/25))/(LN(2)/25)*Calculateur!V201*Calculateur!X201*VLOOKUP('Données projet'!$B$9,Paramètres!$A$1:$I$89,3,0)*0.475*44/12</f>
        <v>1.1675802457312712</v>
      </c>
      <c r="AB201" s="21">
        <f>EXP(-LN(2)/2)*AB200+(1-EXP(-LN(2)/2))/(LN(2)/2)*V201*Y201*VLOOKUP('Données projet'!$B$9,Paramètres!$A$1:$I$89,3,0)*0.475*44/12</f>
        <v>4.8175354962651538E-19</v>
      </c>
      <c r="AC201" s="22">
        <f t="shared" si="163"/>
        <v>15.62218661287498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294.45857786714919</v>
      </c>
      <c r="AO201" s="59">
        <f t="shared" si="205"/>
        <v>221.9773436301067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19.943570609093783</v>
      </c>
      <c r="AV201" s="21">
        <f>EXP(-LN(2)/25)*AV200+(1-EXP(-LN(2)/25))/(LN(2)/25)*Calculateur!AQ201*Calculateur!AS201*VLOOKUP('Données projet'!$B$10,Paramètres!$A$1:$I$89,3,0)*0.475*44/12</f>
        <v>1.8221638901998505</v>
      </c>
      <c r="AW201" s="21">
        <f>EXP(-LN(2)/2)*AW200+(1-EXP(-LN(2)/2))/(LN(2)/2)*AQ201*AT201*VLOOKUP('Données projet'!$B$10,Paramètres!$A$1:$I$89,3,0)*0.475*44/12</f>
        <v>1.7661618965994782E-16</v>
      </c>
      <c r="AX201" s="21">
        <f t="shared" si="166"/>
        <v>21.765734499293632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6.3550942286383367E-14</v>
      </c>
      <c r="BF201" s="13">
        <f t="shared" si="167"/>
        <v>1.0064464192543978E-12</v>
      </c>
      <c r="BG201" s="20">
        <f t="shared" si="168"/>
        <v>1.8635787380168604E-12</v>
      </c>
      <c r="BH201" s="59">
        <f t="shared" si="194"/>
        <v>293.33333333333519</v>
      </c>
      <c r="BI201" s="59">
        <f ca="1">AVERAGE(OFFSET($BH$3,0,0,'Données projet'!$E$11+1,1))-AVERAGE(OFFSET($H$3,0,0,'Données projet'!$E$11+1,1))</f>
        <v>304.91676868833792</v>
      </c>
      <c r="BJ201" s="59">
        <f t="shared" si="206"/>
        <v>365.95065044620048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14.283496573227062</v>
      </c>
      <c r="BQ201" s="21">
        <f>EXP(-LN(2)/25)*BQ200+(1-EXP(-LN(2)/25))/(LN(2)/25)*Calculateur!BL201*Calculateur!BN201*VLOOKUP('Données projet'!$B$11,Paramètres!$A$1:$I$89,3,0)*0.475*44/12</f>
        <v>1.1339907557319071</v>
      </c>
      <c r="BR201" s="21">
        <f>EXP(-LN(2)/2)*BR200+(1-EXP(-LN(2)/2))/(LN(2)/2)*BL201*BO201*VLOOKUP('Données projet'!$B$11,Paramètres!$A$1:$I$89,3,0)*0.475*44/12</f>
        <v>8.1413550444523001E-20</v>
      </c>
      <c r="BS201" s="22">
        <f t="shared" si="169"/>
        <v>15.41748732895897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-1.5961632016114892E-13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259.87681411271632</v>
      </c>
      <c r="CE201" s="59">
        <f t="shared" si="207"/>
        <v>191.8684235641158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34.138518314003441</v>
      </c>
      <c r="CL201" s="21">
        <f>EXP(-LN(2)/25)*CL200+(1-EXP(-LN(2)/25))/(LN(2)/25)*Calculateur!CG201*Calculateur!CI201*VLOOKUP('Données projet'!$B$12,Paramètres!$A$1:$I$89,3,0)*0.475*44/12</f>
        <v>3.6189274456789442</v>
      </c>
      <c r="CM201" s="21">
        <f>EXP(-LN(2)/2)*CM200+(1-EXP(-LN(2)/2))/(LN(2)/2)*CG201*CJ201*VLOOKUP('Données projet'!$B$12,Paramètres!$A$1:$I$89,3,0)*0.475*44/12</f>
        <v>8.3446885844112104E-14</v>
      </c>
      <c r="CN201" s="22">
        <f t="shared" si="172"/>
        <v>37.757445759682469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1.7053025658242404E-13</v>
      </c>
      <c r="CU201" s="17">
        <f>CT201*VLOOKUP('Données projet'!$B$13,Paramètres!$A$1:$I$89,3,0)*VLOOKUP('Données projet'!$B$13,Paramètres!$A$1:$I$89,5,0)</f>
        <v>7.9808160080574461E-14</v>
      </c>
      <c r="CV201" s="13">
        <f t="shared" si="173"/>
        <v>1.2308384591775343E-12</v>
      </c>
      <c r="CW201" s="20">
        <f t="shared" si="174"/>
        <v>2.282709528541206E-12</v>
      </c>
      <c r="CX201" s="59">
        <f t="shared" si="196"/>
        <v>293.33333333333559</v>
      </c>
      <c r="CY201" s="59">
        <f ca="1">AVERAGE(OFFSET($CX$3,0,0,'Données projet'!$E$13+1,1))-AVERAGE(OFFSET($H$3,0,0,'Données projet'!$E$13+1,1))</f>
        <v>137.59122085719031</v>
      </c>
      <c r="CZ201" s="59">
        <f t="shared" si="208"/>
        <v>130.1134470448718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18.194650229275663</v>
      </c>
      <c r="DG201" s="21">
        <f>EXP(-LN(2)/25)*DG200+(1-EXP(-LN(2)/25))/(LN(2)/25)*Calculateur!DB201*Calculateur!DD201*VLOOKUP('Données projet'!$B$13,Paramètres!$A$1:$I$89,3,0)*0.475*44/12</f>
        <v>1.8949527916453679</v>
      </c>
      <c r="DH201" s="21">
        <f>EXP(-LN(2)/2)*DH200+(1-EXP(-LN(2)/2))/(LN(2)/2)*DB201*DE201*VLOOKUP('Données projet'!$B$13,Paramètres!$A$1:$I$89,3,0)*0.475*44/12</f>
        <v>4.3009514983491675E-14</v>
      </c>
      <c r="DI201" s="22">
        <f t="shared" si="175"/>
        <v>20.089603020921075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-1.1527845344971866E-13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313.90901812281373</v>
      </c>
      <c r="DU201" s="59">
        <f t="shared" si="209"/>
        <v>210.54265725995265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53.066453920870593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53.066453920870593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-4.5224624045658861E-14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316.52407313312403</v>
      </c>
      <c r="EP201" s="59">
        <f t="shared" si="210"/>
        <v>340.55949748167382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14.026217129305605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14.026217129305605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-5.6843418860808015E-14</v>
      </c>
      <c r="FF201" s="17">
        <f>FE201*VLOOKUP('Données projet'!$B$16,Paramètres!$A$1:$I$89,3,0)*VLOOKUP('Données projet'!$B$16,Paramètres!$A$1:$I$89,5,0)</f>
        <v>-3.7243808037601412E-14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199.99826357281154</v>
      </c>
      <c r="FK201" s="59">
        <f t="shared" si="211"/>
        <v>214.67424457475136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6.0656396541018998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6.0656396541018998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284.60021367910457</v>
      </c>
      <c r="T202" s="59">
        <f t="shared" si="204"/>
        <v>301.41905904220812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14.171160352723353</v>
      </c>
      <c r="AA202" s="21">
        <f>EXP(-LN(2)/25)*AA201+(1-EXP(-LN(2)/25))/(LN(2)/25)*Calculateur!V202*Calculateur!X202*VLOOKUP('Données projet'!$B$9,Paramètres!$A$1:$I$89,3,0)*0.475*44/12</f>
        <v>1.135652702511373</v>
      </c>
      <c r="AB202" s="21">
        <f>EXP(-LN(2)/2)*AB201+(1-EXP(-LN(2)/2))/(LN(2)/2)*V202*Y202*VLOOKUP('Données projet'!$B$9,Paramètres!$A$1:$I$89,3,0)*0.475*44/12</f>
        <v>3.4065120180159898E-19</v>
      </c>
      <c r="AC202" s="22">
        <f t="shared" si="163"/>
        <v>15.306813055234727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294.45857786714919</v>
      </c>
      <c r="AO202" s="59">
        <f t="shared" si="205"/>
        <v>221.9773436301067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19.552489353826392</v>
      </c>
      <c r="AV202" s="21">
        <f>EXP(-LN(2)/25)*AV201+(1-EXP(-LN(2)/25))/(LN(2)/25)*Calculateur!AQ202*Calculateur!AS202*VLOOKUP('Données projet'!$B$10,Paramètres!$A$1:$I$89,3,0)*0.475*44/12</f>
        <v>1.7723367227989011</v>
      </c>
      <c r="AW202" s="21">
        <f>EXP(-LN(2)/2)*AW201+(1-EXP(-LN(2)/2))/(LN(2)/2)*AQ202*AT202*VLOOKUP('Données projet'!$B$10,Paramètres!$A$1:$I$89,3,0)*0.475*44/12</f>
        <v>1.248865053758785E-16</v>
      </c>
      <c r="AX202" s="21">
        <f t="shared" si="166"/>
        <v>21.324826076625293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6.3550942286383367E-14</v>
      </c>
      <c r="BF202" s="13">
        <f t="shared" si="167"/>
        <v>1.0064464192543978E-12</v>
      </c>
      <c r="BG202" s="20">
        <f t="shared" si="168"/>
        <v>1.8635787380168604E-12</v>
      </c>
      <c r="BH202" s="59">
        <f t="shared" si="194"/>
        <v>293.33333333333519</v>
      </c>
      <c r="BI202" s="59">
        <f ca="1">AVERAGE(OFFSET($BH$3,0,0,'Données projet'!$E$11+1,1))-AVERAGE(OFFSET($H$3,0,0,'Données projet'!$E$11+1,1))</f>
        <v>304.91676868833792</v>
      </c>
      <c r="BJ202" s="59">
        <f t="shared" si="206"/>
        <v>365.95065044620048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14.003405917498743</v>
      </c>
      <c r="BQ202" s="21">
        <f>EXP(-LN(2)/25)*BQ201+(1-EXP(-LN(2)/25))/(LN(2)/25)*Calculateur!BL202*Calculateur!BN202*VLOOKUP('Données projet'!$B$11,Paramètres!$A$1:$I$89,3,0)*0.475*44/12</f>
        <v>1.102981718882436</v>
      </c>
      <c r="BR202" s="21">
        <f>EXP(-LN(2)/2)*BR201+(1-EXP(-LN(2)/2))/(LN(2)/2)*BL202*BO202*VLOOKUP('Données projet'!$B$11,Paramètres!$A$1:$I$89,3,0)*0.475*44/12</f>
        <v>5.7568073599795275E-20</v>
      </c>
      <c r="BS202" s="22">
        <f t="shared" si="169"/>
        <v>15.106387636381179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-1.5961632016114892E-13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259.87681411271632</v>
      </c>
      <c r="CE202" s="59">
        <f t="shared" si="207"/>
        <v>191.8684235641158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33.469082792305962</v>
      </c>
      <c r="CL202" s="21">
        <f>EXP(-LN(2)/25)*CL201+(1-EXP(-LN(2)/25))/(LN(2)/25)*Calculateur!CG202*Calculateur!CI202*VLOOKUP('Données projet'!$B$12,Paramètres!$A$1:$I$89,3,0)*0.475*44/12</f>
        <v>3.5199676843657302</v>
      </c>
      <c r="CM202" s="21">
        <f>EXP(-LN(2)/2)*CM201+(1-EXP(-LN(2)/2))/(LN(2)/2)*CG202*CJ202*VLOOKUP('Données projet'!$B$12,Paramètres!$A$1:$I$89,3,0)*0.475*44/12</f>
        <v>5.9005858849271388E-14</v>
      </c>
      <c r="CN202" s="22">
        <f t="shared" si="172"/>
        <v>36.98905047667175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1.7053025658242404E-13</v>
      </c>
      <c r="CU202" s="17">
        <f>CT202*VLOOKUP('Données projet'!$B$13,Paramètres!$A$1:$I$89,3,0)*VLOOKUP('Données projet'!$B$13,Paramètres!$A$1:$I$89,5,0)</f>
        <v>7.9808160080574461E-14</v>
      </c>
      <c r="CV202" s="13">
        <f t="shared" si="173"/>
        <v>1.2308384591775343E-12</v>
      </c>
      <c r="CW202" s="20">
        <f t="shared" si="174"/>
        <v>2.282709528541206E-12</v>
      </c>
      <c r="CX202" s="59">
        <f t="shared" si="196"/>
        <v>293.33333333333559</v>
      </c>
      <c r="CY202" s="59">
        <f ca="1">AVERAGE(OFFSET($CX$3,0,0,'Données projet'!$E$13+1,1))-AVERAGE(OFFSET($H$3,0,0,'Données projet'!$E$13+1,1))</f>
        <v>137.59122085719031</v>
      </c>
      <c r="CZ202" s="59">
        <f t="shared" si="208"/>
        <v>130.1134470448718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17.837864235920406</v>
      </c>
      <c r="DG202" s="21">
        <f>EXP(-LN(2)/25)*DG201+(1-EXP(-LN(2)/25))/(LN(2)/25)*Calculateur!DB202*Calculateur!DD202*VLOOKUP('Données projet'!$B$13,Paramètres!$A$1:$I$89,3,0)*0.475*44/12</f>
        <v>1.843135207906589</v>
      </c>
      <c r="DH202" s="21">
        <f>EXP(-LN(2)/2)*DH201+(1-EXP(-LN(2)/2))/(LN(2)/2)*DB202*DE202*VLOOKUP('Données projet'!$B$13,Paramètres!$A$1:$I$89,3,0)*0.475*44/12</f>
        <v>3.0412319700371385E-14</v>
      </c>
      <c r="DI202" s="22">
        <f t="shared" si="175"/>
        <v>19.680999443827027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-1.1527845344971866E-13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313.90901812281373</v>
      </c>
      <c r="DU202" s="59">
        <f t="shared" si="209"/>
        <v>210.54265725995265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52.025853126823201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52.025853126823201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-4.5224624045658861E-14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316.52407313312403</v>
      </c>
      <c r="EP202" s="59">
        <f t="shared" si="210"/>
        <v>340.55949748167382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13.751171566547621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13.751171566547621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-5.6843418860808015E-14</v>
      </c>
      <c r="FF202" s="17">
        <f>FE202*VLOOKUP('Données projet'!$B$16,Paramètres!$A$1:$I$89,3,0)*VLOOKUP('Données projet'!$B$16,Paramètres!$A$1:$I$89,5,0)</f>
        <v>-3.7243808037601412E-14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199.99826357281154</v>
      </c>
      <c r="FK202" s="59">
        <f t="shared" si="211"/>
        <v>214.67424457475136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5.9466961601598376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5.9466961601598376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284.60021367910457</v>
      </c>
      <c r="T203" s="59">
        <f t="shared" si="204"/>
        <v>301.41905904220812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13.893272541760783</v>
      </c>
      <c r="AA203" s="21">
        <f>EXP(-LN(2)/25)*AA202+(1-EXP(-LN(2)/25))/(LN(2)/25)*Calculateur!V203*Calculateur!X203*VLOOKUP('Données projet'!$B$9,Paramètres!$A$1:$I$89,3,0)*0.475*44/12</f>
        <v>1.1045982196398194</v>
      </c>
      <c r="AB203" s="21">
        <f>EXP(-LN(2)/2)*AB202+(1-EXP(-LN(2)/2))/(LN(2)/2)*V203*Y203*VLOOKUP('Données projet'!$B$9,Paramètres!$A$1:$I$89,3,0)*0.475*44/12</f>
        <v>2.4087677481325769E-19</v>
      </c>
      <c r="AC203" s="22">
        <f t="shared" si="163"/>
        <v>14.997870761400602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294.45857786714919</v>
      </c>
      <c r="AO203" s="59">
        <f t="shared" si="205"/>
        <v>221.9773436301067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19.169076963438783</v>
      </c>
      <c r="AV203" s="21">
        <f>EXP(-LN(2)/25)*AV202+(1-EXP(-LN(2)/25))/(LN(2)/25)*Calculateur!AQ203*Calculateur!AS203*VLOOKUP('Données projet'!$B$10,Paramètres!$A$1:$I$89,3,0)*0.475*44/12</f>
        <v>1.7238720819108275</v>
      </c>
      <c r="AW203" s="21">
        <f>EXP(-LN(2)/2)*AW202+(1-EXP(-LN(2)/2))/(LN(2)/2)*AQ203*AT203*VLOOKUP('Données projet'!$B$10,Paramètres!$A$1:$I$89,3,0)*0.475*44/12</f>
        <v>8.830809482997391E-17</v>
      </c>
      <c r="AX203" s="21">
        <f t="shared" si="166"/>
        <v>20.89294904534961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6.3550942286383367E-14</v>
      </c>
      <c r="BF203" s="13">
        <f t="shared" si="167"/>
        <v>1.0064464192543978E-12</v>
      </c>
      <c r="BG203" s="20">
        <f t="shared" si="168"/>
        <v>1.8635787380168604E-12</v>
      </c>
      <c r="BH203" s="59">
        <f t="shared" si="194"/>
        <v>293.33333333333519</v>
      </c>
      <c r="BI203" s="59">
        <f ca="1">AVERAGE(OFFSET($BH$3,0,0,'Données projet'!$E$11+1,1))-AVERAGE(OFFSET($H$3,0,0,'Données projet'!$E$11+1,1))</f>
        <v>304.91676868833792</v>
      </c>
      <c r="BJ203" s="59">
        <f t="shared" si="206"/>
        <v>365.95065044620048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13.728807668690825</v>
      </c>
      <c r="BQ203" s="21">
        <f>EXP(-LN(2)/25)*BQ202+(1-EXP(-LN(2)/25))/(LN(2)/25)*Calculateur!BL203*Calculateur!BN203*VLOOKUP('Données projet'!$B$11,Paramètres!$A$1:$I$89,3,0)*0.475*44/12</f>
        <v>1.0728206257763082</v>
      </c>
      <c r="BR203" s="21">
        <f>EXP(-LN(2)/2)*BR202+(1-EXP(-LN(2)/2))/(LN(2)/2)*BL203*BO203*VLOOKUP('Données projet'!$B$11,Paramètres!$A$1:$I$89,3,0)*0.475*44/12</f>
        <v>4.0706775222261501E-20</v>
      </c>
      <c r="BS203" s="22">
        <f t="shared" si="169"/>
        <v>14.801628294467132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-1.5961632016114892E-13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259.87681411271632</v>
      </c>
      <c r="CE203" s="59">
        <f t="shared" si="207"/>
        <v>191.8684235641158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32.812774492873615</v>
      </c>
      <c r="CL203" s="21">
        <f>EXP(-LN(2)/25)*CL202+(1-EXP(-LN(2)/25))/(LN(2)/25)*Calculateur!CG203*Calculateur!CI203*VLOOKUP('Données projet'!$B$12,Paramètres!$A$1:$I$89,3,0)*0.475*44/12</f>
        <v>3.4237139829296939</v>
      </c>
      <c r="CM203" s="21">
        <f>EXP(-LN(2)/2)*CM202+(1-EXP(-LN(2)/2))/(LN(2)/2)*CG203*CJ203*VLOOKUP('Données projet'!$B$12,Paramètres!$A$1:$I$89,3,0)*0.475*44/12</f>
        <v>4.1723442922056052E-14</v>
      </c>
      <c r="CN203" s="22">
        <f t="shared" si="172"/>
        <v>36.236488475803348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1.7053025658242404E-13</v>
      </c>
      <c r="CU203" s="17">
        <f>CT203*VLOOKUP('Données projet'!$B$13,Paramètres!$A$1:$I$89,3,0)*VLOOKUP('Données projet'!$B$13,Paramètres!$A$1:$I$89,5,0)</f>
        <v>7.9808160080574461E-14</v>
      </c>
      <c r="CV203" s="13">
        <f t="shared" si="173"/>
        <v>1.2308384591775343E-12</v>
      </c>
      <c r="CW203" s="20">
        <f t="shared" si="174"/>
        <v>2.282709528541206E-12</v>
      </c>
      <c r="CX203" s="59">
        <f t="shared" si="196"/>
        <v>293.33333333333559</v>
      </c>
      <c r="CY203" s="59">
        <f ca="1">AVERAGE(OFFSET($CX$3,0,0,'Données projet'!$E$13+1,1))-AVERAGE(OFFSET($H$3,0,0,'Données projet'!$E$13+1,1))</f>
        <v>137.59122085719031</v>
      </c>
      <c r="CZ203" s="59">
        <f t="shared" si="208"/>
        <v>130.1134470448718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17.488074598276878</v>
      </c>
      <c r="DG203" s="21">
        <f>EXP(-LN(2)/25)*DG202+(1-EXP(-LN(2)/25))/(LN(2)/25)*Calculateur!DB203*Calculateur!DD203*VLOOKUP('Données projet'!$B$13,Paramètres!$A$1:$I$89,3,0)*0.475*44/12</f>
        <v>1.7927345787201152</v>
      </c>
      <c r="DH203" s="21">
        <f>EXP(-LN(2)/2)*DH202+(1-EXP(-LN(2)/2))/(LN(2)/2)*DB203*DE203*VLOOKUP('Données projet'!$B$13,Paramètres!$A$1:$I$89,3,0)*0.475*44/12</f>
        <v>2.1504757491745838E-14</v>
      </c>
      <c r="DI203" s="22">
        <f t="shared" si="175"/>
        <v>19.280809176997014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-1.1527845344971866E-13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313.90901812281373</v>
      </c>
      <c r="DU203" s="59">
        <f t="shared" si="209"/>
        <v>210.54265725995265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51.005657879643266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51.005657879643266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-4.5224624045658861E-14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316.52407313312403</v>
      </c>
      <c r="EP203" s="59">
        <f t="shared" si="210"/>
        <v>340.55949748167382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13.481519479514091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13.481519479514091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-5.6843418860808015E-14</v>
      </c>
      <c r="FF203" s="17">
        <f>FE203*VLOOKUP('Données projet'!$B$16,Paramètres!$A$1:$I$89,3,0)*VLOOKUP('Données projet'!$B$16,Paramètres!$A$1:$I$89,5,0)</f>
        <v>-3.7243808037601412E-14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199.99826357281154</v>
      </c>
      <c r="FK203" s="59">
        <f t="shared" si="211"/>
        <v>214.67424457475136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5.830085075585612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5.830085075585612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1.3239616704988877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>
        <f>EXP(LN('Données projet'!B88)/'Données projet'!A88)</f>
        <v>1.2475727214128975</v>
      </c>
      <c r="BV205" s="82">
        <f>EXP(LN('Données projet'!B114)/'Données projet'!A114)</f>
        <v>1.2880503926580862</v>
      </c>
      <c r="CQ205" s="82">
        <f>EXP(LN('Données projet'!B140)/'Données projet'!A140)</f>
        <v>1.2677537154322802</v>
      </c>
      <c r="DL205" s="82">
        <f>EXP(LN('Données projet'!B166)/'Données projet'!A166)</f>
        <v>1.1450200501108143</v>
      </c>
      <c r="EG205" s="82">
        <f>EXP(LN('Données projet'!B192)/'Données projet'!A192)</f>
        <v>1.3634196946295916</v>
      </c>
      <c r="FB205" s="82">
        <f>EXP(LN('Données projet'!B218)/'Données projet'!A218)</f>
        <v>1.3405093326912476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30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30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30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30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30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30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30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30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1" sqref="L11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92" t="s">
        <v>271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laricio</v>
      </c>
      <c r="B6" s="146">
        <f>'Données projet'!D9</f>
        <v>7.0000000000000009</v>
      </c>
      <c r="C6" s="147">
        <f ca="1">IF(OR('Données projet'!B9="",'Données projet'!C9="",'Données projet'!C9=0%),0,Calculateur!S3)</f>
        <v>284.60021367910457</v>
      </c>
      <c r="D6" s="147">
        <f>IF(OR('Données projet'!B9="",'Données projet'!C9="",'Données projet'!C9=0%),0,Calculateur!T3)</f>
        <v>301.41905904220812</v>
      </c>
      <c r="E6" s="147">
        <f ca="1">MIN(C6,D6)</f>
        <v>284.60021367910457</v>
      </c>
      <c r="F6" s="147">
        <f ca="1">E6*B6</f>
        <v>1992.2014957537322</v>
      </c>
      <c r="G6" s="147">
        <f ca="1">F6*(100%-'Données projet'!$C$24)*(100%-'Données projet'!$C$25)*(100%-'Données projet'!$C$26)*(100%-'Données projet'!$C$27)</f>
        <v>1792.981346178359</v>
      </c>
      <c r="H6" s="148">
        <f>IF(OR('Données projet'!B9="",'Données projet'!C9="",'Données projet'!C9=0%),0,AVERAGE(Calculateur!$AC$3:$AC$33)*B6)</f>
        <v>44.120339622871647</v>
      </c>
      <c r="I6" s="149">
        <f>H6*(100%-'Données projet'!$C$24)*(100%-'Données projet'!$C$25)*(100%-'Données projet'!$C$26)*(100%-'Données projet'!$C$27)</f>
        <v>39.708305660584486</v>
      </c>
      <c r="J6" s="150">
        <f>IF(OR('Données projet'!B9="",'Données projet'!C9="",'Données projet'!C9=0%),0,SUM(Calculateur!$V$3:$V$33)*VLOOKUP('Données projet'!$B$9,Paramètres!$A$1:$I$89,9,0)*B6)</f>
        <v>361.20000000000005</v>
      </c>
      <c r="K6" s="151">
        <f>J6*(100%-'Données projet'!$C$24)*(100%-'Données projet'!$C$25)*(100%-'Données projet'!$C$26)*(100%-'Données projet'!$C$27)</f>
        <v>325.08000000000004</v>
      </c>
      <c r="L6" s="152">
        <f ca="1">G6+I6+K6</f>
        <v>2157.7696518389434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Pin laricio</v>
      </c>
      <c r="B7" s="154">
        <f>'Données projet'!D10</f>
        <v>0.52000000000000013</v>
      </c>
      <c r="C7" s="147">
        <f ca="1">IF(OR('Données projet'!B10="",'Données projet'!C10="",'Données projet'!C10=0%),0,Calculateur!AN3)</f>
        <v>294.45857786714919</v>
      </c>
      <c r="D7" s="147">
        <f>IF(OR('Données projet'!B10="",'Données projet'!C10="",'Données projet'!C10=0%),0,Calculateur!AO3)</f>
        <v>221.9773436301067</v>
      </c>
      <c r="E7" s="147">
        <f t="shared" ref="E7:E15" ca="1" si="0">MIN(C7,D7)</f>
        <v>221.9773436301067</v>
      </c>
      <c r="F7" s="147">
        <f t="shared" ref="F7:F15" ca="1" si="1">E7*B7</f>
        <v>115.42821868765552</v>
      </c>
      <c r="G7" s="147">
        <f ca="1">F7*(100%-'Données projet'!$C$24)*(100%-'Données projet'!$C$25)*(100%-'Données projet'!$C$26)*(100%-'Données projet'!$C$27)</f>
        <v>103.88539681888997</v>
      </c>
      <c r="H7" s="155">
        <f>IF(OR('Données projet'!B10="",'Données projet'!C10="",'Données projet'!C10=0%),0,AVERAGE(Calculateur!$AX$3:$AX$33)*B7)</f>
        <v>1.4987976398172769</v>
      </c>
      <c r="I7" s="149">
        <f>H7*(100%-'Données projet'!$C$24)*(100%-'Données projet'!$C$25)*(100%-'Données projet'!$C$26)*(100%-'Données projet'!$C$27)</f>
        <v>1.3489178758355491</v>
      </c>
      <c r="J7" s="150">
        <f>IF(OR('Données projet'!B10="",'Données projet'!C10="",'Données projet'!C10=0%),0,SUM(Calculateur!$AQ$3:$AQ$33)*VLOOKUP('Données projet'!$B$10,Paramètres!$A$1:$I$89,9,0)*B7)</f>
        <v>14.981200000000003</v>
      </c>
      <c r="K7" s="151">
        <f>J7*(100%-'Données projet'!$C$24)*(100%-'Données projet'!$C$25)*(100%-'Données projet'!$C$26)*(100%-'Données projet'!$C$27)</f>
        <v>13.483080000000003</v>
      </c>
      <c r="L7" s="152">
        <f t="shared" ref="L7:L15" ca="1" si="2">G7+I7+K7</f>
        <v>118.71739469472553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Douglas</v>
      </c>
      <c r="B8" s="154">
        <f>'Données projet'!D11</f>
        <v>1.5000000000000002</v>
      </c>
      <c r="C8" s="147">
        <f ca="1">IF(OR('Données projet'!B11="",'Données projet'!C11="",'Données projet'!C11=0%),0,Calculateur!BI3)</f>
        <v>304.91676868833792</v>
      </c>
      <c r="D8" s="147">
        <f>IF(OR('Données projet'!B11="",'Données projet'!C11="",'Données projet'!C11=0%),0,Calculateur!BJ3)</f>
        <v>365.95065044620048</v>
      </c>
      <c r="E8" s="147">
        <f t="shared" ca="1" si="0"/>
        <v>304.91676868833792</v>
      </c>
      <c r="F8" s="147">
        <f t="shared" ca="1" si="1"/>
        <v>457.37515303250694</v>
      </c>
      <c r="G8" s="147">
        <f ca="1">F8*(100%-'Données projet'!$C$24)*(100%-'Données projet'!$C$25)*(100%-'Données projet'!$C$26)*(100%-'Données projet'!$C$27)</f>
        <v>411.63763772925626</v>
      </c>
      <c r="H8" s="155">
        <f>IF(OR('Données projet'!B11="",'Données projet'!C11="",'Données projet'!C11=0%),0,AVERAGE(Calculateur!$BS$3:$BS$33)*B8)</f>
        <v>2.3159837563433463</v>
      </c>
      <c r="I8" s="149">
        <f>H8*(100%-'Données projet'!$C$24)*(100%-'Données projet'!$C$25)*(100%-'Données projet'!$C$26)*(100%-'Données projet'!$C$27)</f>
        <v>2.0843853807090116</v>
      </c>
      <c r="J8" s="150">
        <f>IF(OR('Données projet'!B11="",'Données projet'!C11="",'Données projet'!C11=0%),0,SUM(Calculateur!$BL$3:$BL$33)*VLOOKUP('Données projet'!$B$11,Paramètres!$A$1:$I$89,9,0)*B8)</f>
        <v>36.120000000000005</v>
      </c>
      <c r="K8" s="151">
        <f>J8*(100%-'Données projet'!$C$24)*(100%-'Données projet'!$C$25)*(100%-'Données projet'!$C$26)*(100%-'Données projet'!$C$27)</f>
        <v>32.508000000000003</v>
      </c>
      <c r="L8" s="152">
        <f t="shared" ca="1" si="2"/>
        <v>446.23002310996526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Cèdre de l'Atlas</v>
      </c>
      <c r="B9" s="154">
        <f>'Données projet'!D12</f>
        <v>3.91</v>
      </c>
      <c r="C9" s="147">
        <f ca="1">IF(OR('Données projet'!B12="",'Données projet'!C12="",'Données projet'!C12=0%),0,Calculateur!CD3)</f>
        <v>259.87681411271632</v>
      </c>
      <c r="D9" s="147">
        <f>IF(OR('Données projet'!B12="",'Données projet'!C12="",'Données projet'!C12=0%),0,Calculateur!CE3)</f>
        <v>191.8684235641158</v>
      </c>
      <c r="E9" s="147">
        <f t="shared" ca="1" si="0"/>
        <v>191.8684235641158</v>
      </c>
      <c r="F9" s="147">
        <f t="shared" ca="1" si="1"/>
        <v>750.2055361356928</v>
      </c>
      <c r="G9" s="147">
        <f ca="1">F9*(100%-'Données projet'!$C$24)*(100%-'Données projet'!$C$25)*(100%-'Données projet'!$C$26)*(100%-'Données projet'!$C$27)</f>
        <v>675.18498252212351</v>
      </c>
      <c r="H9" s="155">
        <f>IF(OR('Données projet'!B12="",'Données projet'!C12="",'Données projet'!C12=0%),0,AVERAGE(Calculateur!$CN$3:$CN$33)*B9)</f>
        <v>12.561280168733125</v>
      </c>
      <c r="I9" s="149">
        <f>H9*(100%-'Données projet'!$C$24)*(100%-'Données projet'!$C$25)*(100%-'Données projet'!$C$26)*(100%-'Données projet'!$C$27)</f>
        <v>11.305152151859813</v>
      </c>
      <c r="J9" s="150">
        <f>IF(OR('Données projet'!B12="",'Données projet'!C12="",'Données projet'!C12=0%),0,SUM(Calculateur!$CG$3:$CG$33)*VLOOKUP('Données projet'!$B$12,Paramètres!$A$1:$I$89,9,0)*B9)</f>
        <v>127.7788</v>
      </c>
      <c r="K9" s="151">
        <f>J9*(100%-'Données projet'!$C$24)*(100%-'Données projet'!$C$25)*(100%-'Données projet'!$C$26)*(100%-'Données projet'!$C$27)</f>
        <v>115.00092000000001</v>
      </c>
      <c r="L9" s="152">
        <f t="shared" ca="1" si="2"/>
        <v>801.4910546739834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Cèdre de l'Atlas</v>
      </c>
      <c r="B10" s="154">
        <f>'Données projet'!D13</f>
        <v>0.20000000000000004</v>
      </c>
      <c r="C10" s="147">
        <f ca="1">IF(OR('Données projet'!B13="",'Données projet'!C13="",'Données projet'!C13=0%),0,Calculateur!CY3)</f>
        <v>137.59122085719031</v>
      </c>
      <c r="D10" s="147">
        <f>IF(OR('Données projet'!B13="",'Données projet'!C13="",'Données projet'!C13=0%),0,Calculateur!CZ3)</f>
        <v>130.1134470448718</v>
      </c>
      <c r="E10" s="147">
        <f t="shared" ca="1" si="0"/>
        <v>130.1134470448718</v>
      </c>
      <c r="F10" s="147">
        <f t="shared" ca="1" si="1"/>
        <v>26.022689408974365</v>
      </c>
      <c r="G10" s="147">
        <f ca="1">F10*(100%-'Données projet'!$C$24)*(100%-'Données projet'!$C$25)*(100%-'Données projet'!$C$26)*(100%-'Données projet'!$C$27)</f>
        <v>23.42042046807693</v>
      </c>
      <c r="H10" s="155">
        <f>IF(OR('Données projet'!B13="",'Données projet'!C13="",'Données projet'!C13=0%),0,AVERAGE(Calculateur!$DI$3:$DI$33)*B10)</f>
        <v>0.46135776834677167</v>
      </c>
      <c r="I10" s="149">
        <f>H10*(100%-'Données projet'!$C$24)*(100%-'Données projet'!$C$25)*(100%-'Données projet'!$C$26)*(100%-'Données projet'!$C$27)</f>
        <v>0.41522199151209449</v>
      </c>
      <c r="J10" s="150">
        <f>IF(OR('Données projet'!B13="",'Données projet'!C13="",'Données projet'!C13=0%),0,SUM(Calculateur!$DB$3:$DB$33)*VLOOKUP('Données projet'!$B$13,Paramètres!$A$1:$I$89,9,0)*B10)</f>
        <v>4.6784000000000017</v>
      </c>
      <c r="K10" s="151">
        <f>J10*(100%-'Données projet'!$C$24)*(100%-'Données projet'!$C$25)*(100%-'Données projet'!$C$26)*(100%-'Données projet'!$C$27)</f>
        <v>4.2105600000000019</v>
      </c>
      <c r="L10" s="152">
        <f t="shared" ca="1" si="2"/>
        <v>28.046202459589026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Chêne pubescent</v>
      </c>
      <c r="B11" s="154">
        <f>'Données projet'!D14</f>
        <v>0.09</v>
      </c>
      <c r="C11" s="147">
        <f ca="1">IF(OR('Données projet'!B14="",'Données projet'!C14="",'Données projet'!C14=0%),0,Calculateur!DT3)</f>
        <v>313.90901812281373</v>
      </c>
      <c r="D11" s="147">
        <f>IF(OR('Données projet'!B14="",'Données projet'!C14="",'Données projet'!C14=0%),0,Calculateur!DU3)</f>
        <v>210.54265725995265</v>
      </c>
      <c r="E11" s="147">
        <f t="shared" ca="1" si="0"/>
        <v>210.54265725995265</v>
      </c>
      <c r="F11" s="147">
        <f t="shared" ca="1" si="1"/>
        <v>18.948839153395738</v>
      </c>
      <c r="G11" s="147">
        <f ca="1">F11*(100%-'Données projet'!$C$24)*(100%-'Données projet'!$C$25)*(100%-'Données projet'!$C$26)*(100%-'Données projet'!$C$27)</f>
        <v>17.053955238056165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17.053955238056165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Erable plane</v>
      </c>
      <c r="B12" s="154">
        <f>'Données projet'!D15</f>
        <v>2.29</v>
      </c>
      <c r="C12" s="147">
        <f ca="1">IF(OR('Données projet'!B15="",'Données projet'!C15="",'Données projet'!C15=0%),0,Calculateur!EO3)</f>
        <v>316.52407313312403</v>
      </c>
      <c r="D12" s="147">
        <f>IF(OR('Données projet'!B15="",'Données projet'!C15="",'Données projet'!C15=0%),0,Calculateur!EP3)</f>
        <v>340.55949748167382</v>
      </c>
      <c r="E12" s="147">
        <f t="shared" ca="1" si="0"/>
        <v>316.52407313312403</v>
      </c>
      <c r="F12" s="147">
        <f t="shared" ca="1" si="1"/>
        <v>724.84012747485406</v>
      </c>
      <c r="G12" s="147">
        <f ca="1">F12*(100%-'Données projet'!$C$24)*(100%-'Données projet'!$C$25)*(100%-'Données projet'!$C$26)*(100%-'Données projet'!$C$27)</f>
        <v>652.35611472736866</v>
      </c>
      <c r="H12" s="155">
        <f>IF(OR('Données projet'!B15="",'Données projet'!C15="",'Données projet'!C15=0%),0,AVERAGE(Calculateur!$EY$3:$EY$33)*B12)</f>
        <v>4.2196842836900803</v>
      </c>
      <c r="I12" s="149">
        <f>H12*(100%-'Données projet'!$C$24)*(100%-'Données projet'!$C$25)*(100%-'Données projet'!$C$26)*(100%-'Données projet'!$C$27)</f>
        <v>3.7977158553210724</v>
      </c>
      <c r="J12" s="150">
        <f>IF(OR('Données projet'!B15="",'Données projet'!C15="",'Données projet'!C15=0%),0,SUM(Calculateur!$ER$3:$ER$33)*VLOOKUP('Données projet'!$B$15,Paramètres!$A$1:$I$89,9,0)*B12)</f>
        <v>28.99156697916667</v>
      </c>
      <c r="K12" s="151">
        <f>J12*(100%-'Données projet'!$C$24)*(100%-'Données projet'!$C$25)*(100%-'Données projet'!$C$26)*(100%-'Données projet'!$C$27)</f>
        <v>26.092410281250004</v>
      </c>
      <c r="L12" s="152">
        <f t="shared" ca="1" si="2"/>
        <v>682.24624086393965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Aulne à feuilles en cœur</v>
      </c>
      <c r="B13" s="154">
        <f>'Données projet'!D16</f>
        <v>5.000000000000001E-2</v>
      </c>
      <c r="C13" s="147">
        <f ca="1">IF(OR('Données projet'!B16="",'Données projet'!C16="",'Données projet'!C16=0%),0,Calculateur!FJ3)</f>
        <v>199.99826357281154</v>
      </c>
      <c r="D13" s="147">
        <f>IF(OR('Données projet'!B16="",'Données projet'!C16="",'Données projet'!C16=0%),0,Calculateur!FK3)</f>
        <v>214.67424457475136</v>
      </c>
      <c r="E13" s="147">
        <f t="shared" ca="1" si="0"/>
        <v>199.99826357281154</v>
      </c>
      <c r="F13" s="147">
        <f t="shared" ca="1" si="1"/>
        <v>9.999913178640579</v>
      </c>
      <c r="G13" s="147">
        <f ca="1">F13*(100%-'Données projet'!$C$24)*(100%-'Données projet'!$C$25)*(100%-'Données projet'!$C$26)*(100%-'Données projet'!$C$27)</f>
        <v>8.9999218607765208</v>
      </c>
      <c r="H13" s="155">
        <f>IF(OR('Données projet'!B16="",'Données projet'!C16="",'Données projet'!C16=0%),0,AVERAGE(Calculateur!$FT$3:$FT$33)*B13)</f>
        <v>4.9132442229913191E-2</v>
      </c>
      <c r="I13" s="149">
        <f>H13*(100%-'Données projet'!$C$24)*(100%-'Données projet'!$C$25)*(100%-'Données projet'!$C$26)*(100%-'Données projet'!$C$27)</f>
        <v>4.4219198006921874E-2</v>
      </c>
      <c r="J13" s="150">
        <f>IF(OR('Données projet'!C16="",'Données projet'!C16=0%),0,SUM(Calculateur!$FM$3:$FM$33)*VLOOKUP('Données projet'!$B$16,Paramètres!$A$1:$I$89,9,0)*B13)</f>
        <v>0.47466145833333345</v>
      </c>
      <c r="K13" s="151">
        <f>J13*(100%-'Données projet'!$C$24)*(100%-'Données projet'!$C$25)*(100%-'Données projet'!$C$26)*(100%-'Données projet'!$C$27)</f>
        <v>0.42719531250000009</v>
      </c>
      <c r="L13" s="152">
        <f t="shared" ca="1" si="2"/>
        <v>9.4713363712834422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4095.0219728254524</v>
      </c>
      <c r="G16" s="166">
        <f t="shared" ca="1" si="3"/>
        <v>3685.5197755429062</v>
      </c>
      <c r="H16" s="167">
        <f t="shared" si="3"/>
        <v>65.226575682032163</v>
      </c>
      <c r="I16" s="167">
        <f t="shared" si="3"/>
        <v>58.703918113828941</v>
      </c>
      <c r="J16" s="168">
        <f t="shared" si="3"/>
        <v>574.22462843750009</v>
      </c>
      <c r="K16" s="168">
        <f t="shared" si="3"/>
        <v>516.80216559375003</v>
      </c>
      <c r="L16" s="169">
        <f t="shared" ca="1" si="3"/>
        <v>4261.0258592504861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304" t="s">
        <v>246</v>
      </c>
      <c r="G17" s="305"/>
      <c r="H17" s="305"/>
      <c r="I17" s="305"/>
      <c r="J17" s="305"/>
      <c r="K17" s="305"/>
      <c r="L17" s="30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91"/>
      <c r="G18" s="291"/>
      <c r="H18" s="291"/>
      <c r="I18" s="291"/>
      <c r="J18" s="291"/>
      <c r="K18" s="291"/>
      <c r="L18" s="29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Erable plane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Aulne à feuilles en cœur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0" zoomScale="80" zoomScaleNormal="80" workbookViewId="0">
      <selection activeCell="C94" sqref="C94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92" t="s">
        <v>272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78" t="s">
        <v>315</v>
      </c>
      <c r="I4" s="278"/>
      <c r="K4" s="320" t="s">
        <v>253</v>
      </c>
      <c r="L4" s="32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12" t="s">
        <v>310</v>
      </c>
      <c r="S7" s="313"/>
      <c r="T7" s="313"/>
      <c r="U7" s="313"/>
      <c r="V7" s="31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197.25069258013696</v>
      </c>
      <c r="U10" s="178">
        <f>'Données projet'!D9</f>
        <v>7.0000000000000009</v>
      </c>
      <c r="V10" s="177">
        <f>U10*T10</f>
        <v>1380.7548480609589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-1141.8577310600299</v>
      </c>
      <c r="U11" s="178">
        <f>'Données projet'!D10</f>
        <v>0.52000000000000013</v>
      </c>
      <c r="V11" s="177">
        <f t="shared" ref="V11" si="0">U11*T11</f>
        <v>-593.76602015121568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1564.0903216248962</v>
      </c>
      <c r="U12" s="178">
        <f>'Données projet'!D11</f>
        <v>1.5000000000000002</v>
      </c>
      <c r="V12" s="177">
        <f t="shared" ref="V12:V19" si="1">U12*T12</f>
        <v>2346.1354824373448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-839.69936557404708</v>
      </c>
      <c r="U13" s="178">
        <f>'Données projet'!D12</f>
        <v>3.91</v>
      </c>
      <c r="V13" s="177">
        <f t="shared" si="1"/>
        <v>-3283.2245193945241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Cèdre de l'Atlas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-2469.4381018034701</v>
      </c>
      <c r="U14" s="178">
        <f>'Données projet'!D13</f>
        <v>0.20000000000000004</v>
      </c>
      <c r="V14" s="177">
        <f t="shared" si="1"/>
        <v>-493.88762036069409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23" t="s">
        <v>318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-3095.1359930184449</v>
      </c>
      <c r="U15" s="178">
        <f>'Données projet'!D14</f>
        <v>0.09</v>
      </c>
      <c r="V15" s="177">
        <f t="shared" si="1"/>
        <v>-278.56223937166004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23"/>
      <c r="H16" s="190"/>
      <c r="I16" s="191"/>
      <c r="J16" s="202"/>
      <c r="K16" s="208"/>
      <c r="L16" s="320" t="s">
        <v>254</v>
      </c>
      <c r="M16" s="321"/>
      <c r="N16" s="2">
        <v>30</v>
      </c>
      <c r="O16" s="23"/>
      <c r="P16" s="23"/>
      <c r="Q16" s="234"/>
      <c r="R16" s="23"/>
      <c r="S16" s="36" t="str">
        <f>B200</f>
        <v>Erable plane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-1801.2281127635199</v>
      </c>
      <c r="U16" s="178">
        <f>'Données projet'!D15</f>
        <v>2.29</v>
      </c>
      <c r="V16" s="177">
        <f t="shared" si="1"/>
        <v>-4124.8123782284611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274">
        <v>2500</v>
      </c>
      <c r="F17" s="230"/>
      <c r="G17" s="323"/>
      <c r="J17" s="202"/>
      <c r="K17" s="208"/>
      <c r="L17" s="280" t="s">
        <v>289</v>
      </c>
      <c r="M17" s="28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Aulne à feuilles en cœur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-2228.0813056404986</v>
      </c>
      <c r="U17" s="178">
        <f>'Données projet'!D16</f>
        <v>5.000000000000001E-2</v>
      </c>
      <c r="V17" s="177">
        <f t="shared" si="1"/>
        <v>-111.40406528202496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274">
        <v>300</v>
      </c>
      <c r="F18" s="230"/>
      <c r="G18" s="323"/>
      <c r="J18" s="202"/>
      <c r="K18" s="208"/>
      <c r="L18" s="280" t="s">
        <v>255</v>
      </c>
      <c r="M18" s="282"/>
      <c r="N18" s="192">
        <v>8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274"/>
      <c r="F19" s="230"/>
      <c r="G19" s="323"/>
      <c r="H19" s="212" t="s">
        <v>178</v>
      </c>
      <c r="I19" s="212" t="s">
        <v>287</v>
      </c>
      <c r="J19" s="93"/>
      <c r="K19" s="173"/>
      <c r="L19" s="320" t="s">
        <v>288</v>
      </c>
      <c r="M19" s="321"/>
      <c r="N19" s="179">
        <f>N17*N18</f>
        <v>239.99999999999994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274">
        <v>300</v>
      </c>
      <c r="F20" s="230"/>
      <c r="G20" s="323"/>
      <c r="H20" s="190">
        <v>1</v>
      </c>
      <c r="I20" s="191">
        <v>117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274"/>
      <c r="F21" s="230"/>
      <c r="H21" s="190">
        <v>2</v>
      </c>
      <c r="I21" s="191">
        <v>117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274">
        <v>300</v>
      </c>
      <c r="F22" s="230"/>
      <c r="H22" s="190">
        <v>3</v>
      </c>
      <c r="I22" s="191">
        <v>117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17</v>
      </c>
      <c r="B23" s="181">
        <f>'Données projet'!D36</f>
        <v>15</v>
      </c>
      <c r="C23" s="275">
        <v>5</v>
      </c>
      <c r="D23" s="182">
        <f>B23*C23</f>
        <v>75</v>
      </c>
      <c r="E23" s="193"/>
      <c r="F23" s="230"/>
      <c r="H23" s="190">
        <v>4</v>
      </c>
      <c r="I23" s="191">
        <v>117</v>
      </c>
      <c r="K23" s="208"/>
      <c r="L23" s="322" t="s">
        <v>260</v>
      </c>
      <c r="M23" s="322"/>
      <c r="N23" s="322"/>
      <c r="O23" s="23"/>
      <c r="P23" s="23"/>
      <c r="Q23" s="234"/>
      <c r="R23" s="23"/>
      <c r="S23" s="36" t="s">
        <v>264</v>
      </c>
      <c r="T23" s="31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-34326.93501670823</v>
      </c>
      <c r="U23" s="317"/>
      <c r="V23" s="31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20</v>
      </c>
      <c r="B24" s="181">
        <f>'Données projet'!D37</f>
        <v>15</v>
      </c>
      <c r="C24" s="275">
        <v>10</v>
      </c>
      <c r="D24" s="182">
        <f t="shared" ref="D24:D42" si="2">B24*C24</f>
        <v>150</v>
      </c>
      <c r="E24" s="193"/>
      <c r="F24" s="233"/>
      <c r="H24" s="190">
        <v>5</v>
      </c>
      <c r="I24" s="191">
        <v>117</v>
      </c>
      <c r="K24" s="208"/>
      <c r="O24" s="23"/>
      <c r="P24" s="23"/>
      <c r="Q24" s="234"/>
      <c r="R24" s="23"/>
      <c r="S24" s="36" t="s">
        <v>261</v>
      </c>
      <c r="T24" s="318">
        <f ca="1">'Scénario référence'!$B$8*$M$30*'Données projet'!$C$5+('Scénario référence'!B9+'Scénario référence'!B10+'Scénario référence'!F8+'Scénario référence'!F9)*$N$19/(1+M4)^N16*'Données projet'!$C$5</f>
        <v>997.08485790935185</v>
      </c>
      <c r="U24" s="318"/>
      <c r="V24" s="31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25</v>
      </c>
      <c r="B25" s="181">
        <f>'Données projet'!D38</f>
        <v>36</v>
      </c>
      <c r="C25" s="275">
        <v>20</v>
      </c>
      <c r="D25" s="182">
        <f t="shared" si="2"/>
        <v>720</v>
      </c>
      <c r="E25" s="193"/>
      <c r="F25" s="233"/>
      <c r="H25" s="190">
        <v>6</v>
      </c>
      <c r="I25" s="191">
        <v>117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19">
        <f ca="1">T23-T24</f>
        <v>-35324.019874617581</v>
      </c>
      <c r="U25" s="319"/>
      <c r="V25" s="31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54</v>
      </c>
      <c r="C26" s="275">
        <v>25</v>
      </c>
      <c r="D26" s="182">
        <f t="shared" si="2"/>
        <v>1350</v>
      </c>
      <c r="E26" s="193"/>
      <c r="F26" s="233"/>
      <c r="G26" s="229"/>
      <c r="H26" s="190">
        <v>7</v>
      </c>
      <c r="I26" s="191">
        <v>117</v>
      </c>
      <c r="K26" s="208"/>
      <c r="L26" s="306" t="s">
        <v>258</v>
      </c>
      <c r="M26" s="307"/>
      <c r="N26" s="307"/>
      <c r="O26" s="307"/>
      <c r="P26" s="308"/>
      <c r="Q26" s="234"/>
      <c r="R26" s="23"/>
      <c r="S26" s="186" t="s">
        <v>265</v>
      </c>
      <c r="T26" s="316" t="str">
        <f ca="1">IF(T25&lt;0,"Votre projet est additionnel","Votre projet n'est pas additionnel")</f>
        <v>Votre projet est additionnel</v>
      </c>
      <c r="U26" s="316"/>
      <c r="V26" s="31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35</v>
      </c>
      <c r="B27" s="181">
        <f>'Données projet'!D40</f>
        <v>55</v>
      </c>
      <c r="C27" s="275">
        <v>30</v>
      </c>
      <c r="D27" s="182">
        <f t="shared" si="2"/>
        <v>1650</v>
      </c>
      <c r="E27" s="193"/>
      <c r="F27" s="233"/>
      <c r="G27" s="229"/>
      <c r="H27" s="190">
        <v>8</v>
      </c>
      <c r="I27" s="191">
        <v>117</v>
      </c>
      <c r="K27" s="208"/>
      <c r="L27" s="309"/>
      <c r="M27" s="310"/>
      <c r="N27" s="310"/>
      <c r="O27" s="310"/>
      <c r="P27" s="311"/>
      <c r="Q27" s="234"/>
      <c r="R27" s="23"/>
      <c r="S27" s="315" t="s">
        <v>267</v>
      </c>
      <c r="T27" s="315"/>
      <c r="U27" s="315"/>
      <c r="V27" s="31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40</v>
      </c>
      <c r="B28" s="181">
        <f>'Données projet'!D41</f>
        <v>48</v>
      </c>
      <c r="C28" s="275">
        <v>35</v>
      </c>
      <c r="D28" s="182">
        <f t="shared" si="2"/>
        <v>1680</v>
      </c>
      <c r="E28" s="193"/>
      <c r="F28" s="233"/>
      <c r="G28" s="205"/>
      <c r="H28" s="190">
        <v>9</v>
      </c>
      <c r="I28" s="191">
        <v>117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45</v>
      </c>
      <c r="B29" s="181">
        <f>'Données projet'!D42</f>
        <v>57</v>
      </c>
      <c r="C29" s="275">
        <v>35</v>
      </c>
      <c r="D29" s="182">
        <f t="shared" si="2"/>
        <v>1995</v>
      </c>
      <c r="E29" s="193"/>
      <c r="F29" s="233"/>
      <c r="G29" s="203"/>
      <c r="H29" s="190">
        <v>10</v>
      </c>
      <c r="I29" s="191">
        <v>117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50</v>
      </c>
      <c r="B30" s="181">
        <f>'Données projet'!D43</f>
        <v>47</v>
      </c>
      <c r="C30" s="275">
        <v>35</v>
      </c>
      <c r="D30" s="182">
        <f t="shared" si="2"/>
        <v>1645</v>
      </c>
      <c r="E30" s="193"/>
      <c r="F30" s="233"/>
      <c r="G30" s="203"/>
      <c r="H30" s="190">
        <v>11</v>
      </c>
      <c r="I30" s="191">
        <v>117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55</v>
      </c>
      <c r="B31" s="181">
        <f>'Données projet'!D44</f>
        <v>48</v>
      </c>
      <c r="C31" s="275">
        <v>40</v>
      </c>
      <c r="D31" s="182">
        <f t="shared" si="2"/>
        <v>1920</v>
      </c>
      <c r="E31" s="193"/>
      <c r="F31" s="233"/>
      <c r="G31" s="203"/>
      <c r="H31" s="190">
        <v>12</v>
      </c>
      <c r="I31" s="191">
        <v>117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60</v>
      </c>
      <c r="B32" s="181">
        <f>'Données projet'!D45</f>
        <v>32</v>
      </c>
      <c r="C32" s="275">
        <v>40</v>
      </c>
      <c r="D32" s="182">
        <f t="shared" si="2"/>
        <v>1280</v>
      </c>
      <c r="E32" s="193"/>
      <c r="F32" s="233"/>
      <c r="G32" s="203"/>
      <c r="H32" s="190">
        <v>13</v>
      </c>
      <c r="I32" s="191">
        <v>117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65</v>
      </c>
      <c r="B33" s="181">
        <f>'Données projet'!D46</f>
        <v>555</v>
      </c>
      <c r="C33" s="275">
        <v>45</v>
      </c>
      <c r="D33" s="182">
        <f t="shared" si="2"/>
        <v>24975</v>
      </c>
      <c r="E33" s="193"/>
      <c r="F33" s="233"/>
      <c r="G33" s="203"/>
      <c r="H33" s="190">
        <v>14</v>
      </c>
      <c r="I33" s="191">
        <v>117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117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117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117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117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117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117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117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117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117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117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>
        <v>25</v>
      </c>
      <c r="I44" s="191">
        <v>117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117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>
        <v>27</v>
      </c>
      <c r="I46" s="191">
        <v>117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117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274">
        <v>2500</v>
      </c>
      <c r="F48" s="231"/>
      <c r="G48" s="203"/>
      <c r="H48" s="190">
        <v>29</v>
      </c>
      <c r="I48" s="191">
        <v>117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274">
        <v>300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274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274">
        <v>300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274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274">
        <v>300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22</v>
      </c>
      <c r="B54" s="181">
        <f>'Données projet'!D62</f>
        <v>16</v>
      </c>
      <c r="C54" s="275">
        <v>5</v>
      </c>
      <c r="D54" s="179">
        <f>B54*C54</f>
        <v>80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17</v>
      </c>
      <c r="C55" s="275">
        <v>10</v>
      </c>
      <c r="D55" s="179">
        <f t="shared" ref="D55:D73" si="4">B55*C55</f>
        <v>170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34</v>
      </c>
      <c r="C56" s="275">
        <v>20</v>
      </c>
      <c r="D56" s="179">
        <f t="shared" si="4"/>
        <v>680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41</v>
      </c>
      <c r="C57" s="275">
        <v>25</v>
      </c>
      <c r="D57" s="179">
        <f t="shared" si="4"/>
        <v>1025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41</v>
      </c>
      <c r="C58" s="275">
        <v>30</v>
      </c>
      <c r="D58" s="179">
        <f t="shared" si="4"/>
        <v>1230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41</v>
      </c>
      <c r="C59" s="275">
        <v>35</v>
      </c>
      <c r="D59" s="179">
        <f t="shared" si="4"/>
        <v>1435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53</v>
      </c>
      <c r="C60" s="275">
        <v>35</v>
      </c>
      <c r="D60" s="179">
        <f t="shared" si="4"/>
        <v>1855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58</v>
      </c>
      <c r="B61" s="181">
        <f>'Données projet'!D69</f>
        <v>78</v>
      </c>
      <c r="C61" s="275">
        <v>35</v>
      </c>
      <c r="D61" s="179">
        <f t="shared" si="4"/>
        <v>2730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66</v>
      </c>
      <c r="B62" s="181">
        <f>'Données projet'!D70</f>
        <v>65</v>
      </c>
      <c r="C62" s="275">
        <v>40</v>
      </c>
      <c r="D62" s="179">
        <f t="shared" si="4"/>
        <v>2600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74</v>
      </c>
      <c r="B63" s="181">
        <f>'Données projet'!D71</f>
        <v>37</v>
      </c>
      <c r="C63" s="275">
        <v>40</v>
      </c>
      <c r="D63" s="179">
        <f t="shared" si="4"/>
        <v>1480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82</v>
      </c>
      <c r="B64" s="181">
        <f>'Données projet'!D72</f>
        <v>567</v>
      </c>
      <c r="C64" s="275">
        <v>45</v>
      </c>
      <c r="D64" s="179">
        <f t="shared" si="4"/>
        <v>25515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274">
        <v>3000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274">
        <v>300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274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274">
        <v>300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274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274">
        <v>300</v>
      </c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23</v>
      </c>
      <c r="B85" s="181">
        <f>'Données projet'!D88</f>
        <v>0</v>
      </c>
      <c r="C85" s="274">
        <v>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25</v>
      </c>
      <c r="B86" s="181">
        <f>'Données projet'!D89</f>
        <v>14</v>
      </c>
      <c r="C86" s="274">
        <v>15</v>
      </c>
      <c r="D86" s="179">
        <f t="shared" ref="D86:D104" si="6">B86*C86</f>
        <v>210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30</v>
      </c>
      <c r="B87" s="181">
        <f>'Données projet'!D90</f>
        <v>42</v>
      </c>
      <c r="C87" s="274">
        <v>30</v>
      </c>
      <c r="D87" s="179">
        <f t="shared" si="6"/>
        <v>1260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35</v>
      </c>
      <c r="B88" s="181">
        <f>'Données projet'!D91</f>
        <v>49</v>
      </c>
      <c r="C88" s="274">
        <v>40</v>
      </c>
      <c r="D88" s="179">
        <f t="shared" si="6"/>
        <v>1960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40</v>
      </c>
      <c r="B89" s="181">
        <f>'Données projet'!D92</f>
        <v>58</v>
      </c>
      <c r="C89" s="274">
        <v>45</v>
      </c>
      <c r="D89" s="179">
        <f t="shared" si="6"/>
        <v>2610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str">
        <f>IF(O88+1&lt;=MIN('Données projet'!$E$9:$E$18),O88+1,"STOP")</f>
        <v>STOP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45</v>
      </c>
      <c r="B90" s="181">
        <f>'Données projet'!D93</f>
        <v>57</v>
      </c>
      <c r="C90" s="274">
        <v>50</v>
      </c>
      <c r="D90" s="179">
        <f t="shared" si="6"/>
        <v>2850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50</v>
      </c>
      <c r="B91" s="181">
        <f>'Données projet'!D94</f>
        <v>42</v>
      </c>
      <c r="C91" s="274">
        <v>55</v>
      </c>
      <c r="D91" s="179">
        <f t="shared" si="6"/>
        <v>2310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55</v>
      </c>
      <c r="B92" s="181">
        <f>'Données projet'!D95</f>
        <v>37</v>
      </c>
      <c r="C92" s="274">
        <v>60</v>
      </c>
      <c r="D92" s="179">
        <f t="shared" si="6"/>
        <v>2220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60</v>
      </c>
      <c r="B93" s="181">
        <f>'Données projet'!D96</f>
        <v>567</v>
      </c>
      <c r="C93" s="274">
        <v>80</v>
      </c>
      <c r="D93" s="179">
        <f t="shared" si="6"/>
        <v>45360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274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3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274">
        <v>3000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274">
        <v>300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274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274">
        <v>300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274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274">
        <v>300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20</v>
      </c>
      <c r="B116" s="181">
        <f>'Données projet'!D114</f>
        <v>32</v>
      </c>
      <c r="C116" s="274">
        <v>5</v>
      </c>
      <c r="D116" s="179">
        <f>B116*C116</f>
        <v>160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30</v>
      </c>
      <c r="B117" s="181">
        <f>'Données projet'!D115</f>
        <v>44</v>
      </c>
      <c r="C117" s="274">
        <v>15</v>
      </c>
      <c r="D117" s="179">
        <f t="shared" ref="D117:D135" si="8">B117*C117</f>
        <v>660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40</v>
      </c>
      <c r="B118" s="181">
        <f>'Données projet'!D116</f>
        <v>55</v>
      </c>
      <c r="C118" s="274">
        <v>30</v>
      </c>
      <c r="D118" s="179">
        <f t="shared" si="8"/>
        <v>1650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50</v>
      </c>
      <c r="B119" s="181">
        <f>'Données projet'!D117</f>
        <v>67</v>
      </c>
      <c r="C119" s="274">
        <v>40</v>
      </c>
      <c r="D119" s="179">
        <f t="shared" si="8"/>
        <v>2680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60</v>
      </c>
      <c r="B120" s="181">
        <f>'Données projet'!D118</f>
        <v>81</v>
      </c>
      <c r="C120" s="274">
        <v>45</v>
      </c>
      <c r="D120" s="179">
        <f t="shared" si="8"/>
        <v>3645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70</v>
      </c>
      <c r="B121" s="181">
        <f>'Données projet'!D119</f>
        <v>95</v>
      </c>
      <c r="C121" s="274">
        <v>50</v>
      </c>
      <c r="D121" s="179">
        <f t="shared" si="8"/>
        <v>4750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80</v>
      </c>
      <c r="B122" s="181">
        <f>'Données projet'!D120</f>
        <v>110</v>
      </c>
      <c r="C122" s="274">
        <v>55</v>
      </c>
      <c r="D122" s="179">
        <f t="shared" si="8"/>
        <v>6050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90</v>
      </c>
      <c r="B123" s="181">
        <f>'Données projet'!D121</f>
        <v>123</v>
      </c>
      <c r="C123" s="274">
        <v>60</v>
      </c>
      <c r="D123" s="179">
        <f t="shared" si="8"/>
        <v>7380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100</v>
      </c>
      <c r="B124" s="181">
        <f>'Données projet'!D122</f>
        <v>678</v>
      </c>
      <c r="C124" s="274">
        <v>65</v>
      </c>
      <c r="D124" s="179">
        <f t="shared" si="8"/>
        <v>44070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276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276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274">
        <v>3000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274">
        <v>300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274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274">
        <v>300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274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274">
        <v>300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20</v>
      </c>
      <c r="B147" s="175">
        <f>'Données projet'!D140</f>
        <v>23</v>
      </c>
      <c r="C147" s="274">
        <v>5</v>
      </c>
      <c r="D147" s="182">
        <f>B147*C147</f>
        <v>115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30</v>
      </c>
      <c r="B148" s="175">
        <f>'Données projet'!D141</f>
        <v>31.400000000000002</v>
      </c>
      <c r="C148" s="274">
        <v>15</v>
      </c>
      <c r="D148" s="182">
        <f t="shared" ref="D148:D166" si="10">B148*C148</f>
        <v>471.00000000000006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40</v>
      </c>
      <c r="B149" s="175">
        <f>'Données projet'!D142</f>
        <v>39.120000000000005</v>
      </c>
      <c r="C149" s="274">
        <v>30</v>
      </c>
      <c r="D149" s="182">
        <f t="shared" si="10"/>
        <v>1173.6000000000001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50</v>
      </c>
      <c r="B150" s="175">
        <f>'Données projet'!D143</f>
        <v>45.295999999999999</v>
      </c>
      <c r="C150" s="274">
        <v>40</v>
      </c>
      <c r="D150" s="182">
        <f t="shared" si="10"/>
        <v>1811.84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60</v>
      </c>
      <c r="B151" s="175">
        <f>'Données projet'!D144</f>
        <v>52.236799999999995</v>
      </c>
      <c r="C151" s="274">
        <v>45</v>
      </c>
      <c r="D151" s="182">
        <f t="shared" si="10"/>
        <v>2350.6559999999999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70</v>
      </c>
      <c r="B152" s="175">
        <f>'Données projet'!D145</f>
        <v>56.789439999999992</v>
      </c>
      <c r="C152" s="274">
        <v>50</v>
      </c>
      <c r="D152" s="182">
        <f t="shared" si="10"/>
        <v>2839.4719999999998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80</v>
      </c>
      <c r="B153" s="175">
        <f>'Données projet'!D146</f>
        <v>60.831551999999988</v>
      </c>
      <c r="C153" s="274">
        <v>55</v>
      </c>
      <c r="D153" s="182">
        <f t="shared" si="10"/>
        <v>3345.7353599999992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90</v>
      </c>
      <c r="B154" s="175">
        <f>'Données projet'!D147</f>
        <v>65.265241599999996</v>
      </c>
      <c r="C154" s="274">
        <v>60</v>
      </c>
      <c r="D154" s="182">
        <f t="shared" si="10"/>
        <v>3915.9144959999999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100</v>
      </c>
      <c r="B155" s="175">
        <f>'Données projet'!D148</f>
        <v>344.06096639999998</v>
      </c>
      <c r="C155" s="274">
        <v>65</v>
      </c>
      <c r="D155" s="182">
        <f t="shared" si="10"/>
        <v>22363.962815999999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274">
        <v>3000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274">
        <v>420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274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274">
        <v>420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274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274">
        <v>420</v>
      </c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36</v>
      </c>
      <c r="B178" s="181">
        <f>'Données projet'!D166</f>
        <v>36</v>
      </c>
      <c r="C178" s="275">
        <v>5</v>
      </c>
      <c r="D178" s="179">
        <f>B178*C178</f>
        <v>180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42</v>
      </c>
      <c r="B179" s="181">
        <f>'Données projet'!D167</f>
        <v>41</v>
      </c>
      <c r="C179" s="275">
        <v>5</v>
      </c>
      <c r="D179" s="179">
        <f t="shared" ref="D179:D197" si="11">B179*C179</f>
        <v>205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48</v>
      </c>
      <c r="B180" s="181">
        <f>'Données projet'!D168</f>
        <v>41</v>
      </c>
      <c r="C180" s="275">
        <v>5</v>
      </c>
      <c r="D180" s="179">
        <f t="shared" si="11"/>
        <v>205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54</v>
      </c>
      <c r="B181" s="181">
        <f>'Données projet'!D169</f>
        <v>31</v>
      </c>
      <c r="C181" s="275">
        <v>50</v>
      </c>
      <c r="D181" s="179">
        <f t="shared" si="11"/>
        <v>1550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62</v>
      </c>
      <c r="B182" s="181">
        <f>'Données projet'!D170</f>
        <v>39</v>
      </c>
      <c r="C182" s="275">
        <v>50</v>
      </c>
      <c r="D182" s="179">
        <f t="shared" si="11"/>
        <v>1950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70</v>
      </c>
      <c r="B183" s="181">
        <f>'Données projet'!D171</f>
        <v>53</v>
      </c>
      <c r="C183" s="275">
        <v>70</v>
      </c>
      <c r="D183" s="179">
        <f t="shared" si="11"/>
        <v>3710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78</v>
      </c>
      <c r="B184" s="181">
        <f>'Données projet'!D172</f>
        <v>42</v>
      </c>
      <c r="C184" s="275">
        <v>70</v>
      </c>
      <c r="D184" s="179">
        <f t="shared" si="11"/>
        <v>2940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87</v>
      </c>
      <c r="B185" s="181">
        <f>'Données projet'!D173</f>
        <v>39</v>
      </c>
      <c r="C185" s="275">
        <v>90</v>
      </c>
      <c r="D185" s="179">
        <f t="shared" si="11"/>
        <v>3510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97</v>
      </c>
      <c r="B186" s="181">
        <f>'Données projet'!D174</f>
        <v>42</v>
      </c>
      <c r="C186" s="275">
        <v>90</v>
      </c>
      <c r="D186" s="179">
        <f t="shared" si="11"/>
        <v>3780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107</v>
      </c>
      <c r="B187" s="181">
        <f>'Données projet'!D175</f>
        <v>46</v>
      </c>
      <c r="C187" s="275">
        <v>110</v>
      </c>
      <c r="D187" s="179">
        <f t="shared" si="11"/>
        <v>5060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117</v>
      </c>
      <c r="B188" s="181">
        <f>'Données projet'!D176</f>
        <v>45</v>
      </c>
      <c r="C188" s="275">
        <v>130</v>
      </c>
      <c r="D188" s="179">
        <f t="shared" si="11"/>
        <v>5850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129</v>
      </c>
      <c r="B189" s="181">
        <f>'Données projet'!D177</f>
        <v>337</v>
      </c>
      <c r="C189" s="275">
        <v>150</v>
      </c>
      <c r="D189" s="179">
        <f t="shared" si="11"/>
        <v>50550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Erable plane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274">
        <v>3000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274">
        <v>420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274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274">
        <v>420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274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274">
        <v>420</v>
      </c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15</v>
      </c>
      <c r="B209" s="181">
        <f>'Données projet'!D192</f>
        <v>20</v>
      </c>
      <c r="C209" s="275">
        <v>5</v>
      </c>
      <c r="D209" s="179">
        <f>B209*C209</f>
        <v>100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25</v>
      </c>
      <c r="B210" s="181">
        <f>'Données projet'!D193</f>
        <v>30.64029166666667</v>
      </c>
      <c r="C210" s="275">
        <v>10</v>
      </c>
      <c r="D210" s="179">
        <f t="shared" ref="D210:D228" si="12">B210*C210</f>
        <v>306.40291666666667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35</v>
      </c>
      <c r="B211" s="181">
        <f>'Données projet'!D194</f>
        <v>46.290743055555566</v>
      </c>
      <c r="C211" s="275">
        <v>15</v>
      </c>
      <c r="D211" s="179">
        <f t="shared" si="12"/>
        <v>694.36114583333347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45</v>
      </c>
      <c r="B212" s="181">
        <f>'Données projet'!D195</f>
        <v>63.546119212962964</v>
      </c>
      <c r="C212" s="275">
        <v>30</v>
      </c>
      <c r="D212" s="179">
        <f t="shared" si="12"/>
        <v>1906.383576388889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55</v>
      </c>
      <c r="B213" s="181">
        <f>'Données projet'!D196</f>
        <v>489.7493460648148</v>
      </c>
      <c r="C213" s="275">
        <v>40</v>
      </c>
      <c r="D213" s="179">
        <f t="shared" si="12"/>
        <v>19589.973842592593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Aulne à feuilles en cœur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274">
        <v>3000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274">
        <v>420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274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274">
        <v>420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274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274">
        <v>420</v>
      </c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15</v>
      </c>
      <c r="B240" s="181">
        <f>'Données projet'!D218</f>
        <v>13.517499999999998</v>
      </c>
      <c r="C240" s="275">
        <v>5</v>
      </c>
      <c r="D240" s="179">
        <f>B240*C240</f>
        <v>67.587499999999991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25</v>
      </c>
      <c r="B241" s="181">
        <f>'Données projet'!D219</f>
        <v>24.455416666666672</v>
      </c>
      <c r="C241" s="275">
        <v>10</v>
      </c>
      <c r="D241" s="179">
        <f t="shared" ref="D241:D259" si="13">B241*C241</f>
        <v>244.55416666666673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35</v>
      </c>
      <c r="B242" s="181">
        <f>'Données projet'!D220</f>
        <v>36.913680555555565</v>
      </c>
      <c r="C242" s="275">
        <v>20</v>
      </c>
      <c r="D242" s="179">
        <f t="shared" si="13"/>
        <v>738.27361111111134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45</v>
      </c>
      <c r="B243" s="181">
        <f>'Données projet'!D221</f>
        <v>50.638900462962958</v>
      </c>
      <c r="C243" s="275">
        <v>30</v>
      </c>
      <c r="D243" s="179">
        <f t="shared" si="13"/>
        <v>1519.1670138888887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55</v>
      </c>
      <c r="B244" s="181">
        <f>'Données projet'!D222</f>
        <v>392.51950231481487</v>
      </c>
      <c r="C244" s="275">
        <v>40</v>
      </c>
      <c r="D244" s="179">
        <f t="shared" si="13"/>
        <v>15700.780092592595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6" ma:contentTypeDescription="Crée un document." ma:contentTypeScope="" ma:versionID="264f1e0e05f20c30c69198eb65f88b80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362cea35d0b68dc6566f6fa6cf7be5c1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Props1.xml><?xml version="1.0" encoding="utf-8"?>
<ds:datastoreItem xmlns:ds="http://schemas.openxmlformats.org/officeDocument/2006/customXml" ds:itemID="{1C2E3F89-D935-425C-B739-A13258D750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FEEAA-5E60-4649-9071-ECFDE6D75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D08019-165D-4837-8F66-5D7B85961D22}">
  <ds:schemaRefs>
    <ds:schemaRef ds:uri="http://purl.org/dc/elements/1.1/"/>
    <ds:schemaRef ds:uri="http://schemas.microsoft.com/office/2006/documentManagement/types"/>
    <ds:schemaRef ds:uri="http://purl.org/dc/dcmitype/"/>
    <ds:schemaRef ds:uri="8c1d9445-5ca3-48db-a349-49511c70e687"/>
    <ds:schemaRef ds:uri="http://www.w3.org/XML/1998/namespace"/>
    <ds:schemaRef ds:uri="http://purl.org/dc/terms/"/>
    <ds:schemaRef ds:uri="1cca48d1-260d-4848-9875-be9a6e46318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Pailler</cp:lastModifiedBy>
  <dcterms:created xsi:type="dcterms:W3CDTF">2021-02-01T08:22:39Z</dcterms:created>
  <dcterms:modified xsi:type="dcterms:W3CDTF">2022-09-21T09:16:50Z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